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updateLinks="never" codeName="현재_통합_문서" defaultThemeVersion="124226"/>
  <bookViews>
    <workbookView xWindow="-120" yWindow="-120" windowWidth="29040" windowHeight="15720" tabRatio="759"/>
  </bookViews>
  <sheets>
    <sheet name="운용리스" sheetId="10" r:id="rId1"/>
    <sheet name="차량가" sheetId="4" r:id="rId2"/>
    <sheet name="Sheet3" sheetId="25" r:id="rId3"/>
    <sheet name="금리테이블" sheetId="23" r:id="rId4"/>
    <sheet name="잔가군" sheetId="19" r:id="rId5"/>
    <sheet name="1" sheetId="5" r:id="rId6"/>
    <sheet name="Sheet1" sheetId="26" r:id="rId7"/>
  </sheets>
  <externalReferences>
    <externalReference r:id="rId8"/>
    <externalReference r:id="rId9"/>
    <externalReference r:id="rId10"/>
  </externalReferences>
  <definedNames>
    <definedName name="_xlnm._FilterDatabase" localSheetId="0" hidden="1">운용리스!$BI$264:$BO$264</definedName>
    <definedName name="_xlnm._FilterDatabase" localSheetId="1" hidden="1">차량가!$A$1:$BH$1414</definedName>
    <definedName name="_xlnm.Print_Area" localSheetId="0">운용리스!$B$1:$AV$41</definedName>
    <definedName name="구매잔가율">OFFSET('[1]구매형(일반잔가)'!$Y$60,1,0,37-COUNTBLANK('[1]구매형(일반잔가)'!$Y$61:$Y$96),1)</definedName>
    <definedName name="구매형_상품구분">'[1]1'!$E$80:$E$83</definedName>
    <definedName name="금융최대수수료">MIN([2]금융!$Q$17,5000000)*5%+MAX(0,MIN([2]금융!$Q$17-5000000,10000000-5000000))*4%+MAX(0,[2]금융!$Q$17-10000000)*3%</definedName>
    <definedName name="모델">OFFSET(#REF!,1,0,40-COUNTBLANK(#REF!),1)</definedName>
    <definedName name="모델1">OFFSET('[1]구매형(일반잔가)'!$BC$3,1,0,40-COUNTBLANK('[1]구매형(일반잔가)'!$BC$3:$BC$42),1)</definedName>
    <definedName name="모델임" localSheetId="0">OFFSET(운용리스!$CL$3,1,0,운용리스!$CQ$3,1)</definedName>
    <definedName name="수입국산">'[1]1'!$F$2:$F$3</definedName>
    <definedName name="임대형_상품구분">'[1]1'!$F$80:$F$83</definedName>
    <definedName name="잔가참조영역">CONCATENATE("최대표!",[2]최대표!$K$1)</definedName>
    <definedName name="제조사">OFFSET('1'!$N$1,1,0,31-COUNTBLANK('1'!$N$2:$N$32),1)</definedName>
    <definedName name="제조사최대">OFFSET('1'!$N$42,1,0,31-COUNTBLANK('1'!$N$43:$N$73),1)</definedName>
    <definedName name="제조사할부">OFFSET('1'!$N$117,1,0,31-COUNTBLANK('1'!$N$118:$N$148),1)</definedName>
    <definedName name="차량가격최대잔가율">INDEX([2]잔가표!$A$1:$H$40,MATCH(INDEX([2]차량정보!$B$3:$F$131,[2]차량정보!$A$3+1,4),[2]잔가표!$A:$A,0),MATCH('[2]운용-20,000km'!$J$24,[2]잔가표!$A$1:$H$1,0))</definedName>
    <definedName name="차종" localSheetId="0">OFFSET(운용리스!$BZ$2,1,0,38-COUNTBLANK(운용리스!$BZ$3:$BZ$40),1)</definedName>
    <definedName name="차종">OFFSET(#REF!,1,0,38-COUNTBLANK(#REF!),1)</definedName>
    <definedName name="최대잔가율">#N/A</definedName>
    <definedName name="특판여부">'[1]1'!$F$8:$F$9</definedName>
    <definedName name="할부최대수수료">MIN([2]할부!$Q$16,5000000)*5%+MAX(0,MIN([2]할부!$Q$16-5000000,10000000-5000000))*4%+MAX(0,[2]할부!$Q$16-10000000)*3%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5" i="4" l="1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BD109" i="4"/>
  <c r="BD110" i="4"/>
  <c r="BD111" i="4"/>
  <c r="BD112" i="4"/>
  <c r="BD113" i="4"/>
  <c r="BD114" i="4"/>
  <c r="BD115" i="4"/>
  <c r="BD116" i="4"/>
  <c r="BD117" i="4"/>
  <c r="BD118" i="4"/>
  <c r="BD119" i="4"/>
  <c r="BD120" i="4"/>
  <c r="BD121" i="4"/>
  <c r="BD122" i="4"/>
  <c r="BD123" i="4"/>
  <c r="BD124" i="4"/>
  <c r="BD125" i="4"/>
  <c r="BD126" i="4"/>
  <c r="BD127" i="4"/>
  <c r="BD128" i="4"/>
  <c r="BD129" i="4"/>
  <c r="BD130" i="4"/>
  <c r="BD131" i="4"/>
  <c r="BD132" i="4"/>
  <c r="BD133" i="4"/>
  <c r="BD134" i="4"/>
  <c r="BD135" i="4"/>
  <c r="BD136" i="4"/>
  <c r="BD137" i="4"/>
  <c r="BD138" i="4"/>
  <c r="BD139" i="4"/>
  <c r="BD140" i="4"/>
  <c r="BD141" i="4"/>
  <c r="BD142" i="4"/>
  <c r="BD143" i="4"/>
  <c r="BD144" i="4"/>
  <c r="BD145" i="4"/>
  <c r="BD146" i="4"/>
  <c r="BD147" i="4"/>
  <c r="BD148" i="4"/>
  <c r="BD149" i="4"/>
  <c r="BD150" i="4"/>
  <c r="BD151" i="4"/>
  <c r="BD152" i="4"/>
  <c r="BD153" i="4"/>
  <c r="BD154" i="4"/>
  <c r="BD155" i="4"/>
  <c r="BD156" i="4"/>
  <c r="BD157" i="4"/>
  <c r="BD158" i="4"/>
  <c r="BD159" i="4"/>
  <c r="BD160" i="4"/>
  <c r="BD161" i="4"/>
  <c r="BD162" i="4"/>
  <c r="BD163" i="4"/>
  <c r="BD164" i="4"/>
  <c r="BD165" i="4"/>
  <c r="BD166" i="4"/>
  <c r="BD167" i="4"/>
  <c r="BD168" i="4"/>
  <c r="BD169" i="4"/>
  <c r="BD170" i="4"/>
  <c r="BD171" i="4"/>
  <c r="BD172" i="4"/>
  <c r="BD173" i="4"/>
  <c r="BD174" i="4"/>
  <c r="BD175" i="4"/>
  <c r="BD176" i="4"/>
  <c r="BD177" i="4"/>
  <c r="BD178" i="4"/>
  <c r="BD179" i="4"/>
  <c r="BD180" i="4"/>
  <c r="BD181" i="4"/>
  <c r="BD182" i="4"/>
  <c r="BD183" i="4"/>
  <c r="BD184" i="4"/>
  <c r="BD185" i="4"/>
  <c r="BD186" i="4"/>
  <c r="BD187" i="4"/>
  <c r="BD188" i="4"/>
  <c r="BD189" i="4"/>
  <c r="BD190" i="4"/>
  <c r="BD191" i="4"/>
  <c r="BD192" i="4"/>
  <c r="BD193" i="4"/>
  <c r="BD194" i="4"/>
  <c r="BD195" i="4"/>
  <c r="BD196" i="4"/>
  <c r="BD197" i="4"/>
  <c r="BD198" i="4"/>
  <c r="BD199" i="4"/>
  <c r="BD200" i="4"/>
  <c r="BD201" i="4"/>
  <c r="BD202" i="4"/>
  <c r="BD203" i="4"/>
  <c r="BD204" i="4"/>
  <c r="BD205" i="4"/>
  <c r="BD206" i="4"/>
  <c r="BD207" i="4"/>
  <c r="BD208" i="4"/>
  <c r="BD209" i="4"/>
  <c r="BD210" i="4"/>
  <c r="BD211" i="4"/>
  <c r="BD212" i="4"/>
  <c r="BD213" i="4"/>
  <c r="BD214" i="4"/>
  <c r="BD215" i="4"/>
  <c r="BD216" i="4"/>
  <c r="BD217" i="4"/>
  <c r="BD218" i="4"/>
  <c r="BD219" i="4"/>
  <c r="BD220" i="4"/>
  <c r="BD221" i="4"/>
  <c r="BD222" i="4"/>
  <c r="BD223" i="4"/>
  <c r="BD224" i="4"/>
  <c r="BD225" i="4"/>
  <c r="BD226" i="4"/>
  <c r="BD227" i="4"/>
  <c r="BD228" i="4"/>
  <c r="BD229" i="4"/>
  <c r="BD230" i="4"/>
  <c r="BD231" i="4"/>
  <c r="BD232" i="4"/>
  <c r="BD233" i="4"/>
  <c r="BD234" i="4"/>
  <c r="BD235" i="4"/>
  <c r="BD236" i="4"/>
  <c r="BD237" i="4"/>
  <c r="BD238" i="4"/>
  <c r="BD239" i="4"/>
  <c r="BD240" i="4"/>
  <c r="BD241" i="4"/>
  <c r="BD242" i="4"/>
  <c r="BD243" i="4"/>
  <c r="BD244" i="4"/>
  <c r="BD245" i="4"/>
  <c r="BD246" i="4"/>
  <c r="BD247" i="4"/>
  <c r="BD248" i="4"/>
  <c r="BD249" i="4"/>
  <c r="BD250" i="4"/>
  <c r="BD251" i="4"/>
  <c r="BD252" i="4"/>
  <c r="BD253" i="4"/>
  <c r="BD254" i="4"/>
  <c r="BD255" i="4"/>
  <c r="BD256" i="4"/>
  <c r="BD257" i="4"/>
  <c r="BD258" i="4"/>
  <c r="BD259" i="4"/>
  <c r="BD260" i="4"/>
  <c r="BD261" i="4"/>
  <c r="BD262" i="4"/>
  <c r="BD263" i="4"/>
  <c r="BD264" i="4"/>
  <c r="BD265" i="4"/>
  <c r="BD266" i="4"/>
  <c r="BD267" i="4"/>
  <c r="BD268" i="4"/>
  <c r="BD269" i="4"/>
  <c r="BD270" i="4"/>
  <c r="BD271" i="4"/>
  <c r="BD272" i="4"/>
  <c r="BD273" i="4"/>
  <c r="BD274" i="4"/>
  <c r="BD275" i="4"/>
  <c r="BD276" i="4"/>
  <c r="BD277" i="4"/>
  <c r="BD278" i="4"/>
  <c r="BD279" i="4"/>
  <c r="BD280" i="4"/>
  <c r="BD281" i="4"/>
  <c r="BD282" i="4"/>
  <c r="BD283" i="4"/>
  <c r="BD284" i="4"/>
  <c r="BD285" i="4"/>
  <c r="BD286" i="4"/>
  <c r="BD287" i="4"/>
  <c r="BD288" i="4"/>
  <c r="BD289" i="4"/>
  <c r="BD290" i="4"/>
  <c r="BD291" i="4"/>
  <c r="BD292" i="4"/>
  <c r="BD293" i="4"/>
  <c r="BD294" i="4"/>
  <c r="BD295" i="4"/>
  <c r="BD296" i="4"/>
  <c r="BD297" i="4"/>
  <c r="BD298" i="4"/>
  <c r="BD299" i="4"/>
  <c r="BD300" i="4"/>
  <c r="BD301" i="4"/>
  <c r="BD302" i="4"/>
  <c r="BD303" i="4"/>
  <c r="BD304" i="4"/>
  <c r="BD305" i="4"/>
  <c r="BD306" i="4"/>
  <c r="BD307" i="4"/>
  <c r="BD308" i="4"/>
  <c r="BD309" i="4"/>
  <c r="BD310" i="4"/>
  <c r="BD311" i="4"/>
  <c r="BD312" i="4"/>
  <c r="BD313" i="4"/>
  <c r="BD314" i="4"/>
  <c r="BD315" i="4"/>
  <c r="BD316" i="4"/>
  <c r="BD317" i="4"/>
  <c r="BD318" i="4"/>
  <c r="BD319" i="4"/>
  <c r="BD320" i="4"/>
  <c r="BD321" i="4"/>
  <c r="BD322" i="4"/>
  <c r="BD323" i="4"/>
  <c r="BD324" i="4"/>
  <c r="BD325" i="4"/>
  <c r="BD326" i="4"/>
  <c r="BD327" i="4"/>
  <c r="BD328" i="4"/>
  <c r="BD329" i="4"/>
  <c r="BD330" i="4"/>
  <c r="BD331" i="4"/>
  <c r="BD332" i="4"/>
  <c r="BD333" i="4"/>
  <c r="BD334" i="4"/>
  <c r="BD335" i="4"/>
  <c r="BD336" i="4"/>
  <c r="BD337" i="4"/>
  <c r="BD338" i="4"/>
  <c r="BD339" i="4"/>
  <c r="BD340" i="4"/>
  <c r="BD341" i="4"/>
  <c r="BD342" i="4"/>
  <c r="BD343" i="4"/>
  <c r="BD344" i="4"/>
  <c r="BD345" i="4"/>
  <c r="BD346" i="4"/>
  <c r="BD347" i="4"/>
  <c r="BD348" i="4"/>
  <c r="BD349" i="4"/>
  <c r="BD350" i="4"/>
  <c r="BD351" i="4"/>
  <c r="BD352" i="4"/>
  <c r="BD353" i="4"/>
  <c r="BD354" i="4"/>
  <c r="BD355" i="4"/>
  <c r="BD356" i="4"/>
  <c r="BD357" i="4"/>
  <c r="BD358" i="4"/>
  <c r="BD359" i="4"/>
  <c r="BD360" i="4"/>
  <c r="BD361" i="4"/>
  <c r="BD362" i="4"/>
  <c r="BD363" i="4"/>
  <c r="BD364" i="4"/>
  <c r="BD365" i="4"/>
  <c r="BD366" i="4"/>
  <c r="BD367" i="4"/>
  <c r="BD368" i="4"/>
  <c r="BD369" i="4"/>
  <c r="BD370" i="4"/>
  <c r="BD371" i="4"/>
  <c r="BD372" i="4"/>
  <c r="BD373" i="4"/>
  <c r="BD374" i="4"/>
  <c r="BD375" i="4"/>
  <c r="BD376" i="4"/>
  <c r="BD377" i="4"/>
  <c r="BD378" i="4"/>
  <c r="BD379" i="4"/>
  <c r="BD380" i="4"/>
  <c r="BD381" i="4"/>
  <c r="BD382" i="4"/>
  <c r="BD383" i="4"/>
  <c r="BD384" i="4"/>
  <c r="BD385" i="4"/>
  <c r="BD386" i="4"/>
  <c r="BD387" i="4"/>
  <c r="BD388" i="4"/>
  <c r="BD389" i="4"/>
  <c r="BD390" i="4"/>
  <c r="BD391" i="4"/>
  <c r="BD392" i="4"/>
  <c r="BD393" i="4"/>
  <c r="BD394" i="4"/>
  <c r="BD395" i="4"/>
  <c r="BD396" i="4"/>
  <c r="BD397" i="4"/>
  <c r="BD398" i="4"/>
  <c r="BD399" i="4"/>
  <c r="BD400" i="4"/>
  <c r="BD401" i="4"/>
  <c r="BD402" i="4"/>
  <c r="BD403" i="4"/>
  <c r="BD404" i="4"/>
  <c r="BD405" i="4"/>
  <c r="BD406" i="4"/>
  <c r="BD407" i="4"/>
  <c r="BD408" i="4"/>
  <c r="BD409" i="4"/>
  <c r="BD410" i="4"/>
  <c r="BD411" i="4"/>
  <c r="BD412" i="4"/>
  <c r="BD413" i="4"/>
  <c r="BD414" i="4"/>
  <c r="BD415" i="4"/>
  <c r="BD416" i="4"/>
  <c r="BD417" i="4"/>
  <c r="BD418" i="4"/>
  <c r="BD419" i="4"/>
  <c r="BD420" i="4"/>
  <c r="BD421" i="4"/>
  <c r="BD422" i="4"/>
  <c r="BD423" i="4"/>
  <c r="BD424" i="4"/>
  <c r="BD425" i="4"/>
  <c r="BD426" i="4"/>
  <c r="BD427" i="4"/>
  <c r="BD428" i="4"/>
  <c r="BD429" i="4"/>
  <c r="BD430" i="4"/>
  <c r="BD431" i="4"/>
  <c r="BD432" i="4"/>
  <c r="BD433" i="4"/>
  <c r="BD434" i="4"/>
  <c r="BD435" i="4"/>
  <c r="BD436" i="4"/>
  <c r="BD437" i="4"/>
  <c r="BD438" i="4"/>
  <c r="BD439" i="4"/>
  <c r="BD440" i="4"/>
  <c r="BD441" i="4"/>
  <c r="BD442" i="4"/>
  <c r="BD443" i="4"/>
  <c r="BD444" i="4"/>
  <c r="BD445" i="4"/>
  <c r="BD446" i="4"/>
  <c r="BD447" i="4"/>
  <c r="BD448" i="4"/>
  <c r="BD449" i="4"/>
  <c r="BD450" i="4"/>
  <c r="BD451" i="4"/>
  <c r="BD452" i="4"/>
  <c r="BD453" i="4"/>
  <c r="BD454" i="4"/>
  <c r="BD455" i="4"/>
  <c r="BD456" i="4"/>
  <c r="BD457" i="4"/>
  <c r="BD458" i="4"/>
  <c r="BD459" i="4"/>
  <c r="BD460" i="4"/>
  <c r="BD461" i="4"/>
  <c r="BD462" i="4"/>
  <c r="BD463" i="4"/>
  <c r="BD464" i="4"/>
  <c r="BD465" i="4"/>
  <c r="BD466" i="4"/>
  <c r="BD467" i="4"/>
  <c r="BD468" i="4"/>
  <c r="BD469" i="4"/>
  <c r="BD470" i="4"/>
  <c r="BD471" i="4"/>
  <c r="BD472" i="4"/>
  <c r="BD473" i="4"/>
  <c r="BD474" i="4"/>
  <c r="BD475" i="4"/>
  <c r="BD476" i="4"/>
  <c r="BD477" i="4"/>
  <c r="BD478" i="4"/>
  <c r="BD479" i="4"/>
  <c r="BD480" i="4"/>
  <c r="BD481" i="4"/>
  <c r="BD482" i="4"/>
  <c r="BD483" i="4"/>
  <c r="BD484" i="4"/>
  <c r="BD485" i="4"/>
  <c r="BD486" i="4"/>
  <c r="BD487" i="4"/>
  <c r="BD488" i="4"/>
  <c r="BD489" i="4"/>
  <c r="BD490" i="4"/>
  <c r="BD491" i="4"/>
  <c r="BD492" i="4"/>
  <c r="BD493" i="4"/>
  <c r="BD494" i="4"/>
  <c r="BD495" i="4"/>
  <c r="BD496" i="4"/>
  <c r="BD497" i="4"/>
  <c r="BD498" i="4"/>
  <c r="BD499" i="4"/>
  <c r="BD500" i="4"/>
  <c r="BD501" i="4"/>
  <c r="BD502" i="4"/>
  <c r="BD503" i="4"/>
  <c r="BD504" i="4"/>
  <c r="BD505" i="4"/>
  <c r="BD506" i="4"/>
  <c r="BD507" i="4"/>
  <c r="BD508" i="4"/>
  <c r="BD509" i="4"/>
  <c r="BD510" i="4"/>
  <c r="BD511" i="4"/>
  <c r="BD512" i="4"/>
  <c r="BD513" i="4"/>
  <c r="BD514" i="4"/>
  <c r="BD515" i="4"/>
  <c r="BD516" i="4"/>
  <c r="BD517" i="4"/>
  <c r="BD518" i="4"/>
  <c r="BD519" i="4"/>
  <c r="BD520" i="4"/>
  <c r="BD521" i="4"/>
  <c r="BD522" i="4"/>
  <c r="BD523" i="4"/>
  <c r="BD524" i="4"/>
  <c r="BD525" i="4"/>
  <c r="BD526" i="4"/>
  <c r="BD527" i="4"/>
  <c r="BD528" i="4"/>
  <c r="BD529" i="4"/>
  <c r="BD530" i="4"/>
  <c r="BD531" i="4"/>
  <c r="BD532" i="4"/>
  <c r="BD533" i="4"/>
  <c r="BD534" i="4"/>
  <c r="BD535" i="4"/>
  <c r="BD536" i="4"/>
  <c r="BD537" i="4"/>
  <c r="BD538" i="4"/>
  <c r="BD539" i="4"/>
  <c r="BD540" i="4"/>
  <c r="BD541" i="4"/>
  <c r="BD542" i="4"/>
  <c r="BD543" i="4"/>
  <c r="BD544" i="4"/>
  <c r="BD545" i="4"/>
  <c r="BD546" i="4"/>
  <c r="BD547" i="4"/>
  <c r="BD548" i="4"/>
  <c r="BD549" i="4"/>
  <c r="BD550" i="4"/>
  <c r="BD551" i="4"/>
  <c r="BD552" i="4"/>
  <c r="BD553" i="4"/>
  <c r="BD554" i="4"/>
  <c r="BD555" i="4"/>
  <c r="BD556" i="4"/>
  <c r="BD557" i="4"/>
  <c r="BD558" i="4"/>
  <c r="BD559" i="4"/>
  <c r="BD560" i="4"/>
  <c r="BD561" i="4"/>
  <c r="BD562" i="4"/>
  <c r="BD563" i="4"/>
  <c r="BD564" i="4"/>
  <c r="BD565" i="4"/>
  <c r="BD566" i="4"/>
  <c r="BD567" i="4"/>
  <c r="BD568" i="4"/>
  <c r="BD569" i="4"/>
  <c r="BD570" i="4"/>
  <c r="BD571" i="4"/>
  <c r="BD572" i="4"/>
  <c r="BD573" i="4"/>
  <c r="BD574" i="4"/>
  <c r="BD575" i="4"/>
  <c r="BD576" i="4"/>
  <c r="BD577" i="4"/>
  <c r="BD578" i="4"/>
  <c r="BD579" i="4"/>
  <c r="BD580" i="4"/>
  <c r="BD581" i="4"/>
  <c r="BD582" i="4"/>
  <c r="BD583" i="4"/>
  <c r="BD584" i="4"/>
  <c r="BD585" i="4"/>
  <c r="BD586" i="4"/>
  <c r="BD587" i="4"/>
  <c r="BD588" i="4"/>
  <c r="BD589" i="4"/>
  <c r="BD590" i="4"/>
  <c r="BD591" i="4"/>
  <c r="BD592" i="4"/>
  <c r="BD593" i="4"/>
  <c r="BD594" i="4"/>
  <c r="BD595" i="4"/>
  <c r="BD596" i="4"/>
  <c r="BD597" i="4"/>
  <c r="BD598" i="4"/>
  <c r="BD599" i="4"/>
  <c r="BD600" i="4"/>
  <c r="BD601" i="4"/>
  <c r="BD602" i="4"/>
  <c r="BD603" i="4"/>
  <c r="BD604" i="4"/>
  <c r="BD605" i="4"/>
  <c r="BD606" i="4"/>
  <c r="BD607" i="4"/>
  <c r="BD608" i="4"/>
  <c r="BD609" i="4"/>
  <c r="BD610" i="4"/>
  <c r="BD611" i="4"/>
  <c r="BD612" i="4"/>
  <c r="BD613" i="4"/>
  <c r="BD614" i="4"/>
  <c r="BD615" i="4"/>
  <c r="BD616" i="4"/>
  <c r="BD617" i="4"/>
  <c r="BD618" i="4"/>
  <c r="BD619" i="4"/>
  <c r="BD620" i="4"/>
  <c r="BD621" i="4"/>
  <c r="BD622" i="4"/>
  <c r="BD623" i="4"/>
  <c r="BD624" i="4"/>
  <c r="BD625" i="4"/>
  <c r="BD626" i="4"/>
  <c r="BD627" i="4"/>
  <c r="BD628" i="4"/>
  <c r="BD629" i="4"/>
  <c r="BD630" i="4"/>
  <c r="BD631" i="4"/>
  <c r="BD632" i="4"/>
  <c r="BD633" i="4"/>
  <c r="BD634" i="4"/>
  <c r="BD635" i="4"/>
  <c r="BD636" i="4"/>
  <c r="BD637" i="4"/>
  <c r="BD638" i="4"/>
  <c r="BD639" i="4"/>
  <c r="BD640" i="4"/>
  <c r="BD641" i="4"/>
  <c r="BD642" i="4"/>
  <c r="BD643" i="4"/>
  <c r="BD644" i="4"/>
  <c r="BD645" i="4"/>
  <c r="BD646" i="4"/>
  <c r="BD647" i="4"/>
  <c r="BD648" i="4"/>
  <c r="BD649" i="4"/>
  <c r="BD650" i="4"/>
  <c r="BD651" i="4"/>
  <c r="BD652" i="4"/>
  <c r="BD653" i="4"/>
  <c r="BD654" i="4"/>
  <c r="BD655" i="4"/>
  <c r="BD656" i="4"/>
  <c r="BD657" i="4"/>
  <c r="BD658" i="4"/>
  <c r="BD659" i="4"/>
  <c r="BD660" i="4"/>
  <c r="BD661" i="4"/>
  <c r="BD662" i="4"/>
  <c r="BD663" i="4"/>
  <c r="BD664" i="4"/>
  <c r="BD665" i="4"/>
  <c r="BD666" i="4"/>
  <c r="BD667" i="4"/>
  <c r="BD668" i="4"/>
  <c r="BD669" i="4"/>
  <c r="BD670" i="4"/>
  <c r="BD671" i="4"/>
  <c r="BD672" i="4"/>
  <c r="BD673" i="4"/>
  <c r="BD674" i="4"/>
  <c r="BD675" i="4"/>
  <c r="BD676" i="4"/>
  <c r="BD677" i="4"/>
  <c r="BD678" i="4"/>
  <c r="BD679" i="4"/>
  <c r="BD680" i="4"/>
  <c r="BD681" i="4"/>
  <c r="BD682" i="4"/>
  <c r="BD683" i="4"/>
  <c r="BD684" i="4"/>
  <c r="BD685" i="4"/>
  <c r="BD686" i="4"/>
  <c r="BD687" i="4"/>
  <c r="BD688" i="4"/>
  <c r="BD689" i="4"/>
  <c r="BD690" i="4"/>
  <c r="BD691" i="4"/>
  <c r="BD692" i="4"/>
  <c r="BD693" i="4"/>
  <c r="BD694" i="4"/>
  <c r="BD695" i="4"/>
  <c r="BD696" i="4"/>
  <c r="BD697" i="4"/>
  <c r="BD698" i="4"/>
  <c r="BD699" i="4"/>
  <c r="BD700" i="4"/>
  <c r="BD701" i="4"/>
  <c r="BD702" i="4"/>
  <c r="BD703" i="4"/>
  <c r="BD704" i="4"/>
  <c r="BD705" i="4"/>
  <c r="BD706" i="4"/>
  <c r="BD707" i="4"/>
  <c r="BD708" i="4"/>
  <c r="BD709" i="4"/>
  <c r="BD710" i="4"/>
  <c r="BD711" i="4"/>
  <c r="BD712" i="4"/>
  <c r="BD713" i="4"/>
  <c r="BD714" i="4"/>
  <c r="BD715" i="4"/>
  <c r="BD716" i="4"/>
  <c r="BD717" i="4"/>
  <c r="BD718" i="4"/>
  <c r="BD719" i="4"/>
  <c r="BD720" i="4"/>
  <c r="BD721" i="4"/>
  <c r="BD722" i="4"/>
  <c r="BD723" i="4"/>
  <c r="BD724" i="4"/>
  <c r="BD725" i="4"/>
  <c r="BD726" i="4"/>
  <c r="BD727" i="4"/>
  <c r="BD728" i="4"/>
  <c r="BD729" i="4"/>
  <c r="BD730" i="4"/>
  <c r="BD731" i="4"/>
  <c r="BD732" i="4"/>
  <c r="BD733" i="4"/>
  <c r="BD734" i="4"/>
  <c r="BD735" i="4"/>
  <c r="BD736" i="4"/>
  <c r="BD737" i="4"/>
  <c r="BD738" i="4"/>
  <c r="BD739" i="4"/>
  <c r="BD740" i="4"/>
  <c r="BD741" i="4"/>
  <c r="BD742" i="4"/>
  <c r="BD743" i="4"/>
  <c r="BD744" i="4"/>
  <c r="BD745" i="4"/>
  <c r="BD746" i="4"/>
  <c r="BD747" i="4"/>
  <c r="BD748" i="4"/>
  <c r="BD749" i="4"/>
  <c r="BD750" i="4"/>
  <c r="BD751" i="4"/>
  <c r="BD752" i="4"/>
  <c r="BD753" i="4"/>
  <c r="BD754" i="4"/>
  <c r="BD755" i="4"/>
  <c r="BD756" i="4"/>
  <c r="BD757" i="4"/>
  <c r="BD758" i="4"/>
  <c r="BD759" i="4"/>
  <c r="BD760" i="4"/>
  <c r="BD761" i="4"/>
  <c r="BD762" i="4"/>
  <c r="BD763" i="4"/>
  <c r="BD764" i="4"/>
  <c r="BD765" i="4"/>
  <c r="BD766" i="4"/>
  <c r="BD767" i="4"/>
  <c r="BD768" i="4"/>
  <c r="BD769" i="4"/>
  <c r="BD770" i="4"/>
  <c r="BD771" i="4"/>
  <c r="BD772" i="4"/>
  <c r="BD773" i="4"/>
  <c r="BD774" i="4"/>
  <c r="BD775" i="4"/>
  <c r="BD776" i="4"/>
  <c r="BD777" i="4"/>
  <c r="BD778" i="4"/>
  <c r="BD779" i="4"/>
  <c r="BD780" i="4"/>
  <c r="BD781" i="4"/>
  <c r="BD782" i="4"/>
  <c r="BD783" i="4"/>
  <c r="BD784" i="4"/>
  <c r="BD785" i="4"/>
  <c r="BD786" i="4"/>
  <c r="BD787" i="4"/>
  <c r="BD788" i="4"/>
  <c r="BD789" i="4"/>
  <c r="BD790" i="4"/>
  <c r="BD791" i="4"/>
  <c r="BD792" i="4"/>
  <c r="BD793" i="4"/>
  <c r="BD794" i="4"/>
  <c r="BD795" i="4"/>
  <c r="BD796" i="4"/>
  <c r="BD797" i="4"/>
  <c r="BD798" i="4"/>
  <c r="BD799" i="4"/>
  <c r="BD800" i="4"/>
  <c r="BD801" i="4"/>
  <c r="BD802" i="4"/>
  <c r="BD803" i="4"/>
  <c r="BD804" i="4"/>
  <c r="BD805" i="4"/>
  <c r="BD806" i="4"/>
  <c r="BD807" i="4"/>
  <c r="BD808" i="4"/>
  <c r="BD809" i="4"/>
  <c r="BD810" i="4"/>
  <c r="BD811" i="4"/>
  <c r="BD812" i="4"/>
  <c r="BD813" i="4"/>
  <c r="BD814" i="4"/>
  <c r="BD815" i="4"/>
  <c r="BD816" i="4"/>
  <c r="BD817" i="4"/>
  <c r="BD818" i="4"/>
  <c r="BD819" i="4"/>
  <c r="BD820" i="4"/>
  <c r="BD821" i="4"/>
  <c r="BD822" i="4"/>
  <c r="BD823" i="4"/>
  <c r="BD824" i="4"/>
  <c r="BD825" i="4"/>
  <c r="BD826" i="4"/>
  <c r="BD827" i="4"/>
  <c r="BD828" i="4"/>
  <c r="BD829" i="4"/>
  <c r="BD830" i="4"/>
  <c r="BD831" i="4"/>
  <c r="BD832" i="4"/>
  <c r="BD833" i="4"/>
  <c r="BD834" i="4"/>
  <c r="BD835" i="4"/>
  <c r="BD836" i="4"/>
  <c r="BD837" i="4"/>
  <c r="BD838" i="4"/>
  <c r="BD839" i="4"/>
  <c r="BD840" i="4"/>
  <c r="BD841" i="4"/>
  <c r="BD842" i="4"/>
  <c r="BD843" i="4"/>
  <c r="BD844" i="4"/>
  <c r="BD845" i="4"/>
  <c r="BD846" i="4"/>
  <c r="BD847" i="4"/>
  <c r="BD848" i="4"/>
  <c r="BD849" i="4"/>
  <c r="BD850" i="4"/>
  <c r="BD851" i="4"/>
  <c r="BD852" i="4"/>
  <c r="BD853" i="4"/>
  <c r="BD854" i="4"/>
  <c r="BD855" i="4"/>
  <c r="BD856" i="4"/>
  <c r="BD857" i="4"/>
  <c r="BD858" i="4"/>
  <c r="BD859" i="4"/>
  <c r="BD860" i="4"/>
  <c r="BD861" i="4"/>
  <c r="BD862" i="4"/>
  <c r="BD863" i="4"/>
  <c r="BD864" i="4"/>
  <c r="BD865" i="4"/>
  <c r="BD866" i="4"/>
  <c r="BD867" i="4"/>
  <c r="BD868" i="4"/>
  <c r="BD869" i="4"/>
  <c r="BD870" i="4"/>
  <c r="BD871" i="4"/>
  <c r="BD872" i="4"/>
  <c r="BD873" i="4"/>
  <c r="BD874" i="4"/>
  <c r="BD875" i="4"/>
  <c r="BD876" i="4"/>
  <c r="BD877" i="4"/>
  <c r="BD878" i="4"/>
  <c r="BD879" i="4"/>
  <c r="BD880" i="4"/>
  <c r="BD881" i="4"/>
  <c r="BD882" i="4"/>
  <c r="BD883" i="4"/>
  <c r="BD884" i="4"/>
  <c r="BD885" i="4"/>
  <c r="BD886" i="4"/>
  <c r="BD887" i="4"/>
  <c r="BD888" i="4"/>
  <c r="BD889" i="4"/>
  <c r="BD890" i="4"/>
  <c r="BD891" i="4"/>
  <c r="BD892" i="4"/>
  <c r="BD893" i="4"/>
  <c r="BD894" i="4"/>
  <c r="BD895" i="4"/>
  <c r="BD896" i="4"/>
  <c r="BD897" i="4"/>
  <c r="BD898" i="4"/>
  <c r="BD899" i="4"/>
  <c r="BD900" i="4"/>
  <c r="BD901" i="4"/>
  <c r="BD902" i="4"/>
  <c r="BD903" i="4"/>
  <c r="BD904" i="4"/>
  <c r="BD905" i="4"/>
  <c r="BD906" i="4"/>
  <c r="BD907" i="4"/>
  <c r="BD908" i="4"/>
  <c r="BD909" i="4"/>
  <c r="BD910" i="4"/>
  <c r="BD911" i="4"/>
  <c r="BD912" i="4"/>
  <c r="BD913" i="4"/>
  <c r="BD914" i="4"/>
  <c r="BD915" i="4"/>
  <c r="BD916" i="4"/>
  <c r="BD917" i="4"/>
  <c r="BD918" i="4"/>
  <c r="BD919" i="4"/>
  <c r="BD920" i="4"/>
  <c r="BD921" i="4"/>
  <c r="BD922" i="4"/>
  <c r="BD923" i="4"/>
  <c r="BD924" i="4"/>
  <c r="BD925" i="4"/>
  <c r="BD926" i="4"/>
  <c r="BD927" i="4"/>
  <c r="BD928" i="4"/>
  <c r="BD929" i="4"/>
  <c r="BD930" i="4"/>
  <c r="BD931" i="4"/>
  <c r="BD932" i="4"/>
  <c r="BD933" i="4"/>
  <c r="BD934" i="4"/>
  <c r="BD935" i="4"/>
  <c r="BD936" i="4"/>
  <c r="BD937" i="4"/>
  <c r="BD938" i="4"/>
  <c r="BD939" i="4"/>
  <c r="BD940" i="4"/>
  <c r="BD941" i="4"/>
  <c r="BD942" i="4"/>
  <c r="BD943" i="4"/>
  <c r="BD944" i="4"/>
  <c r="BD945" i="4"/>
  <c r="BD946" i="4"/>
  <c r="BD947" i="4"/>
  <c r="BD948" i="4"/>
  <c r="BD949" i="4"/>
  <c r="BD950" i="4"/>
  <c r="BD951" i="4"/>
  <c r="BD952" i="4"/>
  <c r="BD953" i="4"/>
  <c r="BD954" i="4"/>
  <c r="BD955" i="4"/>
  <c r="BD956" i="4"/>
  <c r="BD957" i="4"/>
  <c r="BD958" i="4"/>
  <c r="BD959" i="4"/>
  <c r="BD960" i="4"/>
  <c r="BD961" i="4"/>
  <c r="BD962" i="4"/>
  <c r="BD963" i="4"/>
  <c r="BD964" i="4"/>
  <c r="BD965" i="4"/>
  <c r="BD966" i="4"/>
  <c r="BD967" i="4"/>
  <c r="BD968" i="4"/>
  <c r="BD969" i="4"/>
  <c r="BD970" i="4"/>
  <c r="BD971" i="4"/>
  <c r="BD972" i="4"/>
  <c r="BD973" i="4"/>
  <c r="BD974" i="4"/>
  <c r="BD975" i="4"/>
  <c r="BD976" i="4"/>
  <c r="BD977" i="4"/>
  <c r="BD978" i="4"/>
  <c r="BD979" i="4"/>
  <c r="BD980" i="4"/>
  <c r="BD981" i="4"/>
  <c r="BD982" i="4"/>
  <c r="BD983" i="4"/>
  <c r="BD984" i="4"/>
  <c r="BD985" i="4"/>
  <c r="BD986" i="4"/>
  <c r="BD987" i="4"/>
  <c r="BD988" i="4"/>
  <c r="BD989" i="4"/>
  <c r="BD990" i="4"/>
  <c r="BD991" i="4"/>
  <c r="BD992" i="4"/>
  <c r="BD993" i="4"/>
  <c r="BD994" i="4"/>
  <c r="BD995" i="4"/>
  <c r="BD996" i="4"/>
  <c r="BD997" i="4"/>
  <c r="BD998" i="4"/>
  <c r="BD999" i="4"/>
  <c r="BD1000" i="4"/>
  <c r="BD1001" i="4"/>
  <c r="BD1002" i="4"/>
  <c r="BD1003" i="4"/>
  <c r="BD1004" i="4"/>
  <c r="BD1005" i="4"/>
  <c r="BD1006" i="4"/>
  <c r="BD1007" i="4"/>
  <c r="BD1008" i="4"/>
  <c r="BD1009" i="4"/>
  <c r="BD1010" i="4"/>
  <c r="BD1011" i="4"/>
  <c r="BD1012" i="4"/>
  <c r="BD1013" i="4"/>
  <c r="BD1014" i="4"/>
  <c r="BD1015" i="4"/>
  <c r="BD1016" i="4"/>
  <c r="BD1017" i="4"/>
  <c r="BD1018" i="4"/>
  <c r="BD1019" i="4"/>
  <c r="BD1020" i="4"/>
  <c r="BD1021" i="4"/>
  <c r="BD1022" i="4"/>
  <c r="BD1023" i="4"/>
  <c r="BD1024" i="4"/>
  <c r="BD1025" i="4"/>
  <c r="BD1026" i="4"/>
  <c r="BD1027" i="4"/>
  <c r="BD1028" i="4"/>
  <c r="BD1029" i="4"/>
  <c r="BD1030" i="4"/>
  <c r="BD1031" i="4"/>
  <c r="BD1032" i="4"/>
  <c r="BD1033" i="4"/>
  <c r="BD1034" i="4"/>
  <c r="BD1035" i="4"/>
  <c r="BD1036" i="4"/>
  <c r="BD1037" i="4"/>
  <c r="BD1038" i="4"/>
  <c r="BD1039" i="4"/>
  <c r="BD1040" i="4"/>
  <c r="BD1041" i="4"/>
  <c r="BD1042" i="4"/>
  <c r="BD1043" i="4"/>
  <c r="BD1044" i="4"/>
  <c r="BD1045" i="4"/>
  <c r="BD1046" i="4"/>
  <c r="BD1047" i="4"/>
  <c r="BD1048" i="4"/>
  <c r="BD1049" i="4"/>
  <c r="BD1050" i="4"/>
  <c r="BD1051" i="4"/>
  <c r="BD1052" i="4"/>
  <c r="BD1053" i="4"/>
  <c r="BD1054" i="4"/>
  <c r="BD1055" i="4"/>
  <c r="BD1056" i="4"/>
  <c r="BD1057" i="4"/>
  <c r="BD1058" i="4"/>
  <c r="BD1059" i="4"/>
  <c r="BD1060" i="4"/>
  <c r="BD1061" i="4"/>
  <c r="BD1062" i="4"/>
  <c r="BD1063" i="4"/>
  <c r="BD1064" i="4"/>
  <c r="BD1065" i="4"/>
  <c r="BD1066" i="4"/>
  <c r="BD1067" i="4"/>
  <c r="BD1068" i="4"/>
  <c r="BD1069" i="4"/>
  <c r="BD1070" i="4"/>
  <c r="BD1071" i="4"/>
  <c r="BD1072" i="4"/>
  <c r="BD1073" i="4"/>
  <c r="BD1074" i="4"/>
  <c r="BD1075" i="4"/>
  <c r="BD1076" i="4"/>
  <c r="BD1077" i="4"/>
  <c r="BD1078" i="4"/>
  <c r="BD1079" i="4"/>
  <c r="BD1080" i="4"/>
  <c r="BD1081" i="4"/>
  <c r="BD1082" i="4"/>
  <c r="BD1083" i="4"/>
  <c r="BD1084" i="4"/>
  <c r="BD1085" i="4"/>
  <c r="BD1086" i="4"/>
  <c r="BD1087" i="4"/>
  <c r="BD1088" i="4"/>
  <c r="BD1089" i="4"/>
  <c r="BD1090" i="4"/>
  <c r="BD1091" i="4"/>
  <c r="BD1092" i="4"/>
  <c r="BD1093" i="4"/>
  <c r="BD1094" i="4"/>
  <c r="BD1095" i="4"/>
  <c r="BD1096" i="4"/>
  <c r="BD1097" i="4"/>
  <c r="BD1098" i="4"/>
  <c r="BD1099" i="4"/>
  <c r="BD1100" i="4"/>
  <c r="BD1101" i="4"/>
  <c r="BD1102" i="4"/>
  <c r="BD1103" i="4"/>
  <c r="BD1104" i="4"/>
  <c r="BD1105" i="4"/>
  <c r="BD1106" i="4"/>
  <c r="BD1107" i="4"/>
  <c r="BD1108" i="4"/>
  <c r="BD1109" i="4"/>
  <c r="BD1110" i="4"/>
  <c r="BD1111" i="4"/>
  <c r="BD1112" i="4"/>
  <c r="BD1113" i="4"/>
  <c r="BD1114" i="4"/>
  <c r="BD1115" i="4"/>
  <c r="BD1116" i="4"/>
  <c r="BD1117" i="4"/>
  <c r="BD1118" i="4"/>
  <c r="BD1119" i="4"/>
  <c r="BD1120" i="4"/>
  <c r="BD1121" i="4"/>
  <c r="BD1122" i="4"/>
  <c r="BD1123" i="4"/>
  <c r="BD1124" i="4"/>
  <c r="BD1125" i="4"/>
  <c r="BD1126" i="4"/>
  <c r="BD1127" i="4"/>
  <c r="BD1128" i="4"/>
  <c r="BD1129" i="4"/>
  <c r="BD1130" i="4"/>
  <c r="BD1131" i="4"/>
  <c r="BD1132" i="4"/>
  <c r="BD1133" i="4"/>
  <c r="BD1134" i="4"/>
  <c r="BD1135" i="4"/>
  <c r="BD1136" i="4"/>
  <c r="BD1137" i="4"/>
  <c r="BD1138" i="4"/>
  <c r="BD1139" i="4"/>
  <c r="BD1140" i="4"/>
  <c r="BD1141" i="4"/>
  <c r="BD1142" i="4"/>
  <c r="BD1143" i="4"/>
  <c r="BD1144" i="4"/>
  <c r="BD1145" i="4"/>
  <c r="BD1146" i="4"/>
  <c r="BD1147" i="4"/>
  <c r="BD1148" i="4"/>
  <c r="BD1149" i="4"/>
  <c r="BD1150" i="4"/>
  <c r="BD1151" i="4"/>
  <c r="BD1152" i="4"/>
  <c r="BD1153" i="4"/>
  <c r="BD1154" i="4"/>
  <c r="BD1155" i="4"/>
  <c r="BD1156" i="4"/>
  <c r="BD1157" i="4"/>
  <c r="BD1158" i="4"/>
  <c r="BD1159" i="4"/>
  <c r="BD1160" i="4"/>
  <c r="BD1161" i="4"/>
  <c r="BD1162" i="4"/>
  <c r="BD1163" i="4"/>
  <c r="BD1164" i="4"/>
  <c r="BD1165" i="4"/>
  <c r="BD1166" i="4"/>
  <c r="BD1167" i="4"/>
  <c r="BD1168" i="4"/>
  <c r="BD1169" i="4"/>
  <c r="BD1170" i="4"/>
  <c r="BD1171" i="4"/>
  <c r="BD1172" i="4"/>
  <c r="BD1173" i="4"/>
  <c r="BD1174" i="4"/>
  <c r="BD1175" i="4"/>
  <c r="BD1176" i="4"/>
  <c r="BD1177" i="4"/>
  <c r="BD1178" i="4"/>
  <c r="BD1179" i="4"/>
  <c r="BD1180" i="4"/>
  <c r="BD1181" i="4"/>
  <c r="BD1182" i="4"/>
  <c r="BD1183" i="4"/>
  <c r="BD1184" i="4"/>
  <c r="BD1185" i="4"/>
  <c r="BD1186" i="4"/>
  <c r="BD1187" i="4"/>
  <c r="BD1188" i="4"/>
  <c r="BD1189" i="4"/>
  <c r="BD1190" i="4"/>
  <c r="BD1191" i="4"/>
  <c r="BD1192" i="4"/>
  <c r="BD1193" i="4"/>
  <c r="BD1194" i="4"/>
  <c r="BD1195" i="4"/>
  <c r="BD1196" i="4"/>
  <c r="BD1197" i="4"/>
  <c r="BD1198" i="4"/>
  <c r="BD1199" i="4"/>
  <c r="BD1200" i="4"/>
  <c r="BD1201" i="4"/>
  <c r="BD1202" i="4"/>
  <c r="BD1203" i="4"/>
  <c r="BD1204" i="4"/>
  <c r="BD1205" i="4"/>
  <c r="BD1206" i="4"/>
  <c r="BD1207" i="4"/>
  <c r="BD1208" i="4"/>
  <c r="BD1209" i="4"/>
  <c r="BD1210" i="4"/>
  <c r="BD1211" i="4"/>
  <c r="BD1212" i="4"/>
  <c r="BD1213" i="4"/>
  <c r="BD1214" i="4"/>
  <c r="BD1215" i="4"/>
  <c r="BD1216" i="4"/>
  <c r="BD1217" i="4"/>
  <c r="BD1218" i="4"/>
  <c r="BD1219" i="4"/>
  <c r="BD1220" i="4"/>
  <c r="BD1221" i="4"/>
  <c r="BD1222" i="4"/>
  <c r="BD1223" i="4"/>
  <c r="BD1224" i="4"/>
  <c r="BD1225" i="4"/>
  <c r="BD1226" i="4"/>
  <c r="BD1227" i="4"/>
  <c r="BD1228" i="4"/>
  <c r="BD1229" i="4"/>
  <c r="BD1230" i="4"/>
  <c r="BD1231" i="4"/>
  <c r="BD1232" i="4"/>
  <c r="BD1233" i="4"/>
  <c r="BD1234" i="4"/>
  <c r="BD1235" i="4"/>
  <c r="BD1236" i="4"/>
  <c r="BD1237" i="4"/>
  <c r="BD1238" i="4"/>
  <c r="BD1239" i="4"/>
  <c r="BD1240" i="4"/>
  <c r="BD1241" i="4"/>
  <c r="BD1242" i="4"/>
  <c r="BD1243" i="4"/>
  <c r="BD1244" i="4"/>
  <c r="BD1245" i="4"/>
  <c r="BD1246" i="4"/>
  <c r="BD1247" i="4"/>
  <c r="BD1248" i="4"/>
  <c r="BD1249" i="4"/>
  <c r="BD1250" i="4"/>
  <c r="BD1251" i="4"/>
  <c r="BD1252" i="4"/>
  <c r="BD1253" i="4"/>
  <c r="BD1254" i="4"/>
  <c r="BD1255" i="4"/>
  <c r="BD1256" i="4"/>
  <c r="BD1257" i="4"/>
  <c r="BD1258" i="4"/>
  <c r="BD1259" i="4"/>
  <c r="BD1260" i="4"/>
  <c r="BD1261" i="4"/>
  <c r="BD1262" i="4"/>
  <c r="BD1263" i="4"/>
  <c r="BD1264" i="4"/>
  <c r="BD1265" i="4"/>
  <c r="BD1266" i="4"/>
  <c r="BD1267" i="4"/>
  <c r="BD1268" i="4"/>
  <c r="BD1269" i="4"/>
  <c r="BD1270" i="4"/>
  <c r="BD1271" i="4"/>
  <c r="BD1272" i="4"/>
  <c r="BD1273" i="4"/>
  <c r="BD1274" i="4"/>
  <c r="BD1275" i="4"/>
  <c r="BD1276" i="4"/>
  <c r="BD1277" i="4"/>
  <c r="BD1278" i="4"/>
  <c r="BD1279" i="4"/>
  <c r="BD1280" i="4"/>
  <c r="BD1281" i="4"/>
  <c r="BD1282" i="4"/>
  <c r="BD1283" i="4"/>
  <c r="BD1284" i="4"/>
  <c r="BD1285" i="4"/>
  <c r="BD1286" i="4"/>
  <c r="BD1287" i="4"/>
  <c r="BD1288" i="4"/>
  <c r="BD1289" i="4"/>
  <c r="BD1290" i="4"/>
  <c r="BD1291" i="4"/>
  <c r="BD1292" i="4"/>
  <c r="BD1293" i="4"/>
  <c r="BD1294" i="4"/>
  <c r="BD1295" i="4"/>
  <c r="BD1296" i="4"/>
  <c r="BD1297" i="4"/>
  <c r="BD1298" i="4"/>
  <c r="BD1299" i="4"/>
  <c r="BD1300" i="4"/>
  <c r="BD1301" i="4"/>
  <c r="BD1302" i="4"/>
  <c r="BD1303" i="4"/>
  <c r="BD1304" i="4"/>
  <c r="BD1305" i="4"/>
  <c r="BD1306" i="4"/>
  <c r="BD1307" i="4"/>
  <c r="BD1308" i="4"/>
  <c r="BD1309" i="4"/>
  <c r="BD1310" i="4"/>
  <c r="BD1311" i="4"/>
  <c r="BD1312" i="4"/>
  <c r="BD1313" i="4"/>
  <c r="BD1314" i="4"/>
  <c r="BD1315" i="4"/>
  <c r="BD1316" i="4"/>
  <c r="BD1317" i="4"/>
  <c r="BD1318" i="4"/>
  <c r="BD1319" i="4"/>
  <c r="BD1320" i="4"/>
  <c r="BD1321" i="4"/>
  <c r="BD1322" i="4"/>
  <c r="BD1323" i="4"/>
  <c r="BD1324" i="4"/>
  <c r="BD1325" i="4"/>
  <c r="BD1326" i="4"/>
  <c r="BD1327" i="4"/>
  <c r="BD1328" i="4"/>
  <c r="BD1329" i="4"/>
  <c r="BD1330" i="4"/>
  <c r="BD1331" i="4"/>
  <c r="BD1332" i="4"/>
  <c r="BD1333" i="4"/>
  <c r="BD1334" i="4"/>
  <c r="BD1335" i="4"/>
  <c r="BD1336" i="4"/>
  <c r="BD1337" i="4"/>
  <c r="BD1338" i="4"/>
  <c r="BD1339" i="4"/>
  <c r="BD1340" i="4"/>
  <c r="BD1341" i="4"/>
  <c r="BD1342" i="4"/>
  <c r="BD1343" i="4"/>
  <c r="BD1344" i="4"/>
  <c r="BD1345" i="4"/>
  <c r="BD1346" i="4"/>
  <c r="BD1347" i="4"/>
  <c r="BD1348" i="4"/>
  <c r="BD1349" i="4"/>
  <c r="BD1350" i="4"/>
  <c r="BD1351" i="4"/>
  <c r="BD1352" i="4"/>
  <c r="BD1353" i="4"/>
  <c r="BD1354" i="4"/>
  <c r="BD1355" i="4"/>
  <c r="BD1356" i="4"/>
  <c r="BD1357" i="4"/>
  <c r="BD1358" i="4"/>
  <c r="BD1359" i="4"/>
  <c r="BD1360" i="4"/>
  <c r="BD1361" i="4"/>
  <c r="BD1362" i="4"/>
  <c r="BD1363" i="4"/>
  <c r="BD1364" i="4"/>
  <c r="BD1365" i="4"/>
  <c r="BD1366" i="4"/>
  <c r="BD1367" i="4"/>
  <c r="BD1368" i="4"/>
  <c r="BD1369" i="4"/>
  <c r="BD1370" i="4"/>
  <c r="BD1371" i="4"/>
  <c r="BD1372" i="4"/>
  <c r="BD1373" i="4"/>
  <c r="BD1374" i="4"/>
  <c r="BD1375" i="4"/>
  <c r="BD1376" i="4"/>
  <c r="BD1377" i="4"/>
  <c r="BD1378" i="4"/>
  <c r="BD1379" i="4"/>
  <c r="BD1380" i="4"/>
  <c r="BD1381" i="4"/>
  <c r="BD1382" i="4"/>
  <c r="BD1383" i="4"/>
  <c r="BD1384" i="4"/>
  <c r="BD1385" i="4"/>
  <c r="BD1386" i="4"/>
  <c r="BD1387" i="4"/>
  <c r="BD1388" i="4"/>
  <c r="BD1389" i="4"/>
  <c r="BD1390" i="4"/>
  <c r="BD1391" i="4"/>
  <c r="BD1392" i="4"/>
  <c r="BD1393" i="4"/>
  <c r="BD1394" i="4"/>
  <c r="BD1395" i="4"/>
  <c r="BD1396" i="4"/>
  <c r="BD1397" i="4"/>
  <c r="BD1398" i="4"/>
  <c r="BD1399" i="4"/>
  <c r="BD1400" i="4"/>
  <c r="BD1401" i="4"/>
  <c r="BD1402" i="4"/>
  <c r="BD1403" i="4"/>
  <c r="BD1404" i="4"/>
  <c r="BD1405" i="4"/>
  <c r="BD1406" i="4"/>
  <c r="BD1407" i="4"/>
  <c r="BD1408" i="4"/>
  <c r="BD1409" i="4"/>
  <c r="BD1410" i="4"/>
  <c r="BD1411" i="4"/>
  <c r="BD1412" i="4"/>
  <c r="BD1413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W47" i="4"/>
  <c r="X47" i="4"/>
  <c r="W48" i="4"/>
  <c r="X48" i="4"/>
  <c r="W49" i="4"/>
  <c r="X49" i="4"/>
  <c r="W50" i="4"/>
  <c r="X50" i="4"/>
  <c r="W51" i="4"/>
  <c r="X51" i="4"/>
  <c r="W52" i="4"/>
  <c r="X52" i="4"/>
  <c r="W53" i="4"/>
  <c r="X53" i="4"/>
  <c r="W54" i="4"/>
  <c r="X54" i="4"/>
  <c r="W55" i="4"/>
  <c r="X55" i="4"/>
  <c r="W56" i="4"/>
  <c r="X56" i="4"/>
  <c r="W57" i="4"/>
  <c r="X57" i="4"/>
  <c r="W58" i="4"/>
  <c r="X58" i="4"/>
  <c r="W59" i="4"/>
  <c r="X59" i="4"/>
  <c r="W60" i="4"/>
  <c r="X60" i="4"/>
  <c r="W61" i="4"/>
  <c r="X61" i="4"/>
  <c r="W62" i="4"/>
  <c r="X62" i="4"/>
  <c r="W63" i="4"/>
  <c r="X63" i="4"/>
  <c r="W64" i="4"/>
  <c r="X64" i="4"/>
  <c r="W65" i="4"/>
  <c r="X65" i="4"/>
  <c r="W66" i="4"/>
  <c r="X66" i="4"/>
  <c r="W67" i="4"/>
  <c r="X67" i="4"/>
  <c r="W68" i="4"/>
  <c r="X68" i="4"/>
  <c r="W69" i="4"/>
  <c r="X69" i="4"/>
  <c r="W70" i="4"/>
  <c r="X70" i="4"/>
  <c r="W71" i="4"/>
  <c r="X71" i="4"/>
  <c r="W72" i="4"/>
  <c r="X72" i="4"/>
  <c r="W73" i="4"/>
  <c r="X73" i="4"/>
  <c r="W74" i="4"/>
  <c r="X74" i="4"/>
  <c r="W75" i="4"/>
  <c r="X75" i="4"/>
  <c r="W76" i="4"/>
  <c r="X76" i="4"/>
  <c r="W77" i="4"/>
  <c r="X77" i="4"/>
  <c r="W78" i="4"/>
  <c r="X78" i="4"/>
  <c r="W79" i="4"/>
  <c r="X79" i="4"/>
  <c r="W80" i="4"/>
  <c r="X80" i="4"/>
  <c r="W81" i="4"/>
  <c r="X81" i="4"/>
  <c r="W82" i="4"/>
  <c r="X82" i="4"/>
  <c r="W83" i="4"/>
  <c r="X83" i="4"/>
  <c r="W84" i="4"/>
  <c r="X84" i="4"/>
  <c r="W85" i="4"/>
  <c r="X85" i="4"/>
  <c r="W86" i="4"/>
  <c r="X86" i="4"/>
  <c r="W87" i="4"/>
  <c r="X87" i="4"/>
  <c r="W88" i="4"/>
  <c r="X88" i="4"/>
  <c r="W89" i="4"/>
  <c r="X89" i="4"/>
  <c r="W90" i="4"/>
  <c r="X90" i="4"/>
  <c r="W91" i="4"/>
  <c r="X91" i="4"/>
  <c r="W92" i="4"/>
  <c r="X92" i="4"/>
  <c r="W93" i="4"/>
  <c r="X93" i="4"/>
  <c r="W94" i="4"/>
  <c r="X94" i="4"/>
  <c r="W95" i="4"/>
  <c r="X95" i="4"/>
  <c r="W96" i="4"/>
  <c r="X96" i="4"/>
  <c r="W97" i="4"/>
  <c r="X97" i="4"/>
  <c r="W98" i="4"/>
  <c r="X98" i="4"/>
  <c r="W99" i="4"/>
  <c r="X99" i="4"/>
  <c r="W100" i="4"/>
  <c r="X100" i="4"/>
  <c r="W101" i="4"/>
  <c r="X101" i="4"/>
  <c r="W102" i="4"/>
  <c r="X102" i="4"/>
  <c r="W103" i="4"/>
  <c r="X103" i="4"/>
  <c r="W104" i="4"/>
  <c r="X104" i="4"/>
  <c r="W105" i="4"/>
  <c r="X105" i="4"/>
  <c r="W106" i="4"/>
  <c r="X106" i="4"/>
  <c r="W107" i="4"/>
  <c r="X107" i="4"/>
  <c r="W108" i="4"/>
  <c r="X108" i="4"/>
  <c r="W109" i="4"/>
  <c r="X109" i="4"/>
  <c r="W110" i="4"/>
  <c r="X110" i="4"/>
  <c r="W111" i="4"/>
  <c r="X111" i="4"/>
  <c r="W112" i="4"/>
  <c r="X112" i="4"/>
  <c r="W113" i="4"/>
  <c r="X113" i="4"/>
  <c r="W114" i="4"/>
  <c r="X114" i="4"/>
  <c r="W115" i="4"/>
  <c r="X115" i="4"/>
  <c r="W116" i="4"/>
  <c r="X116" i="4"/>
  <c r="W117" i="4"/>
  <c r="X117" i="4"/>
  <c r="W118" i="4"/>
  <c r="X118" i="4"/>
  <c r="W119" i="4"/>
  <c r="X119" i="4"/>
  <c r="W120" i="4"/>
  <c r="X120" i="4"/>
  <c r="W121" i="4"/>
  <c r="X121" i="4"/>
  <c r="W122" i="4"/>
  <c r="X122" i="4"/>
  <c r="W123" i="4"/>
  <c r="X123" i="4"/>
  <c r="W124" i="4"/>
  <c r="X124" i="4"/>
  <c r="W125" i="4"/>
  <c r="X125" i="4"/>
  <c r="W126" i="4"/>
  <c r="X126" i="4"/>
  <c r="W127" i="4"/>
  <c r="X127" i="4"/>
  <c r="W128" i="4"/>
  <c r="X128" i="4"/>
  <c r="W129" i="4"/>
  <c r="X129" i="4"/>
  <c r="W130" i="4"/>
  <c r="X130" i="4"/>
  <c r="W131" i="4"/>
  <c r="X131" i="4"/>
  <c r="W132" i="4"/>
  <c r="X132" i="4"/>
  <c r="W133" i="4"/>
  <c r="X133" i="4"/>
  <c r="W134" i="4"/>
  <c r="X134" i="4"/>
  <c r="W135" i="4"/>
  <c r="X135" i="4"/>
  <c r="W136" i="4"/>
  <c r="X136" i="4"/>
  <c r="W137" i="4"/>
  <c r="X137" i="4"/>
  <c r="W138" i="4"/>
  <c r="X138" i="4"/>
  <c r="W139" i="4"/>
  <c r="X139" i="4"/>
  <c r="W140" i="4"/>
  <c r="X140" i="4"/>
  <c r="W141" i="4"/>
  <c r="X141" i="4"/>
  <c r="W142" i="4"/>
  <c r="X142" i="4"/>
  <c r="W143" i="4"/>
  <c r="X143" i="4"/>
  <c r="W144" i="4"/>
  <c r="X144" i="4"/>
  <c r="W145" i="4"/>
  <c r="X145" i="4"/>
  <c r="W146" i="4"/>
  <c r="X146" i="4"/>
  <c r="W147" i="4"/>
  <c r="X147" i="4"/>
  <c r="W148" i="4"/>
  <c r="X148" i="4"/>
  <c r="W149" i="4"/>
  <c r="X149" i="4"/>
  <c r="W150" i="4"/>
  <c r="X150" i="4"/>
  <c r="W151" i="4"/>
  <c r="X151" i="4"/>
  <c r="W152" i="4"/>
  <c r="X152" i="4"/>
  <c r="W153" i="4"/>
  <c r="X153" i="4"/>
  <c r="W154" i="4"/>
  <c r="X154" i="4"/>
  <c r="W155" i="4"/>
  <c r="X155" i="4"/>
  <c r="W156" i="4"/>
  <c r="X156" i="4"/>
  <c r="W157" i="4"/>
  <c r="X157" i="4"/>
  <c r="W158" i="4"/>
  <c r="X158" i="4"/>
  <c r="W159" i="4"/>
  <c r="X159" i="4"/>
  <c r="W160" i="4"/>
  <c r="X160" i="4"/>
  <c r="W161" i="4"/>
  <c r="X161" i="4"/>
  <c r="W162" i="4"/>
  <c r="X162" i="4"/>
  <c r="W163" i="4"/>
  <c r="X163" i="4"/>
  <c r="W164" i="4"/>
  <c r="X164" i="4"/>
  <c r="W165" i="4"/>
  <c r="X165" i="4"/>
  <c r="W166" i="4"/>
  <c r="X166" i="4"/>
  <c r="W167" i="4"/>
  <c r="X167" i="4"/>
  <c r="W168" i="4"/>
  <c r="X168" i="4"/>
  <c r="W169" i="4"/>
  <c r="X169" i="4"/>
  <c r="W170" i="4"/>
  <c r="X170" i="4"/>
  <c r="W171" i="4"/>
  <c r="X171" i="4"/>
  <c r="W172" i="4"/>
  <c r="X172" i="4"/>
  <c r="W173" i="4"/>
  <c r="X173" i="4"/>
  <c r="W174" i="4"/>
  <c r="X174" i="4"/>
  <c r="W175" i="4"/>
  <c r="X175" i="4"/>
  <c r="W176" i="4"/>
  <c r="X176" i="4"/>
  <c r="W177" i="4"/>
  <c r="X177" i="4"/>
  <c r="W178" i="4"/>
  <c r="X178" i="4"/>
  <c r="W179" i="4"/>
  <c r="X179" i="4"/>
  <c r="W180" i="4"/>
  <c r="X180" i="4"/>
  <c r="W181" i="4"/>
  <c r="X181" i="4"/>
  <c r="W182" i="4"/>
  <c r="X182" i="4"/>
  <c r="W183" i="4"/>
  <c r="X183" i="4"/>
  <c r="W184" i="4"/>
  <c r="X184" i="4"/>
  <c r="W185" i="4"/>
  <c r="X185" i="4"/>
  <c r="W186" i="4"/>
  <c r="X186" i="4"/>
  <c r="W187" i="4"/>
  <c r="X187" i="4"/>
  <c r="W188" i="4"/>
  <c r="X188" i="4"/>
  <c r="W189" i="4"/>
  <c r="X189" i="4"/>
  <c r="W190" i="4"/>
  <c r="X190" i="4"/>
  <c r="W191" i="4"/>
  <c r="X191" i="4"/>
  <c r="W192" i="4"/>
  <c r="X192" i="4"/>
  <c r="W193" i="4"/>
  <c r="X193" i="4"/>
  <c r="W194" i="4"/>
  <c r="X194" i="4"/>
  <c r="W195" i="4"/>
  <c r="X195" i="4"/>
  <c r="W196" i="4"/>
  <c r="X196" i="4"/>
  <c r="W197" i="4"/>
  <c r="X197" i="4"/>
  <c r="W198" i="4"/>
  <c r="X198" i="4"/>
  <c r="W199" i="4"/>
  <c r="X199" i="4"/>
  <c r="W200" i="4"/>
  <c r="X200" i="4"/>
  <c r="W201" i="4"/>
  <c r="X201" i="4"/>
  <c r="W202" i="4"/>
  <c r="X202" i="4"/>
  <c r="W203" i="4"/>
  <c r="X203" i="4"/>
  <c r="W204" i="4"/>
  <c r="X204" i="4"/>
  <c r="W205" i="4"/>
  <c r="X205" i="4"/>
  <c r="W206" i="4"/>
  <c r="X206" i="4"/>
  <c r="W207" i="4"/>
  <c r="X207" i="4"/>
  <c r="W208" i="4"/>
  <c r="X208" i="4"/>
  <c r="W209" i="4"/>
  <c r="X209" i="4"/>
  <c r="W210" i="4"/>
  <c r="X210" i="4"/>
  <c r="W211" i="4"/>
  <c r="X211" i="4"/>
  <c r="W212" i="4"/>
  <c r="X212" i="4"/>
  <c r="W213" i="4"/>
  <c r="X213" i="4"/>
  <c r="W214" i="4"/>
  <c r="X214" i="4"/>
  <c r="W215" i="4"/>
  <c r="X215" i="4"/>
  <c r="W216" i="4"/>
  <c r="X216" i="4"/>
  <c r="W217" i="4"/>
  <c r="X217" i="4"/>
  <c r="W218" i="4"/>
  <c r="X218" i="4"/>
  <c r="W219" i="4"/>
  <c r="X219" i="4"/>
  <c r="W220" i="4"/>
  <c r="X220" i="4"/>
  <c r="W221" i="4"/>
  <c r="X221" i="4"/>
  <c r="W222" i="4"/>
  <c r="X222" i="4"/>
  <c r="W223" i="4"/>
  <c r="X223" i="4"/>
  <c r="W224" i="4"/>
  <c r="X224" i="4"/>
  <c r="W225" i="4"/>
  <c r="X225" i="4"/>
  <c r="W226" i="4"/>
  <c r="X226" i="4"/>
  <c r="W227" i="4"/>
  <c r="X227" i="4"/>
  <c r="W228" i="4"/>
  <c r="X228" i="4"/>
  <c r="W229" i="4"/>
  <c r="X229" i="4"/>
  <c r="W230" i="4"/>
  <c r="X230" i="4"/>
  <c r="W231" i="4"/>
  <c r="X231" i="4"/>
  <c r="W232" i="4"/>
  <c r="X232" i="4"/>
  <c r="W233" i="4"/>
  <c r="X233" i="4"/>
  <c r="W234" i="4"/>
  <c r="X234" i="4"/>
  <c r="W235" i="4"/>
  <c r="X235" i="4"/>
  <c r="W236" i="4"/>
  <c r="X236" i="4"/>
  <c r="W237" i="4"/>
  <c r="X237" i="4"/>
  <c r="W238" i="4"/>
  <c r="X238" i="4"/>
  <c r="W239" i="4"/>
  <c r="X239" i="4"/>
  <c r="W240" i="4"/>
  <c r="X240" i="4"/>
  <c r="W241" i="4"/>
  <c r="X241" i="4"/>
  <c r="W242" i="4"/>
  <c r="X242" i="4"/>
  <c r="W243" i="4"/>
  <c r="X243" i="4"/>
  <c r="W244" i="4"/>
  <c r="X244" i="4"/>
  <c r="W245" i="4"/>
  <c r="X245" i="4"/>
  <c r="W246" i="4"/>
  <c r="X246" i="4"/>
  <c r="W247" i="4"/>
  <c r="X247" i="4"/>
  <c r="W248" i="4"/>
  <c r="X248" i="4"/>
  <c r="W249" i="4"/>
  <c r="X249" i="4"/>
  <c r="W250" i="4"/>
  <c r="X250" i="4"/>
  <c r="W251" i="4"/>
  <c r="X251" i="4"/>
  <c r="W252" i="4"/>
  <c r="X252" i="4"/>
  <c r="W253" i="4"/>
  <c r="X253" i="4"/>
  <c r="W254" i="4"/>
  <c r="X254" i="4"/>
  <c r="W255" i="4"/>
  <c r="X255" i="4"/>
  <c r="W256" i="4"/>
  <c r="X256" i="4"/>
  <c r="W257" i="4"/>
  <c r="X257" i="4"/>
  <c r="W258" i="4"/>
  <c r="X258" i="4"/>
  <c r="W259" i="4"/>
  <c r="X259" i="4"/>
  <c r="W260" i="4"/>
  <c r="X260" i="4"/>
  <c r="W261" i="4"/>
  <c r="X261" i="4"/>
  <c r="W262" i="4"/>
  <c r="X262" i="4"/>
  <c r="W263" i="4"/>
  <c r="X263" i="4"/>
  <c r="W264" i="4"/>
  <c r="X264" i="4"/>
  <c r="W265" i="4"/>
  <c r="X265" i="4"/>
  <c r="W266" i="4"/>
  <c r="X266" i="4"/>
  <c r="W267" i="4"/>
  <c r="X267" i="4"/>
  <c r="W268" i="4"/>
  <c r="X268" i="4"/>
  <c r="W269" i="4"/>
  <c r="X269" i="4"/>
  <c r="W270" i="4"/>
  <c r="X270" i="4"/>
  <c r="W271" i="4"/>
  <c r="X271" i="4"/>
  <c r="W272" i="4"/>
  <c r="X272" i="4"/>
  <c r="W273" i="4"/>
  <c r="X273" i="4"/>
  <c r="W274" i="4"/>
  <c r="X274" i="4"/>
  <c r="W275" i="4"/>
  <c r="X275" i="4"/>
  <c r="W276" i="4"/>
  <c r="X276" i="4"/>
  <c r="W277" i="4"/>
  <c r="X277" i="4"/>
  <c r="W278" i="4"/>
  <c r="X278" i="4"/>
  <c r="W279" i="4"/>
  <c r="X279" i="4"/>
  <c r="W280" i="4"/>
  <c r="X280" i="4"/>
  <c r="W281" i="4"/>
  <c r="X281" i="4"/>
  <c r="W282" i="4"/>
  <c r="X282" i="4"/>
  <c r="W283" i="4"/>
  <c r="X283" i="4"/>
  <c r="W284" i="4"/>
  <c r="X284" i="4"/>
  <c r="W285" i="4"/>
  <c r="X285" i="4"/>
  <c r="W286" i="4"/>
  <c r="X286" i="4"/>
  <c r="W287" i="4"/>
  <c r="X287" i="4"/>
  <c r="W288" i="4"/>
  <c r="X288" i="4"/>
  <c r="W289" i="4"/>
  <c r="X289" i="4"/>
  <c r="W290" i="4"/>
  <c r="X290" i="4"/>
  <c r="W291" i="4"/>
  <c r="X291" i="4"/>
  <c r="W292" i="4"/>
  <c r="X292" i="4"/>
  <c r="W293" i="4"/>
  <c r="X293" i="4"/>
  <c r="W294" i="4"/>
  <c r="X294" i="4"/>
  <c r="W295" i="4"/>
  <c r="X295" i="4"/>
  <c r="W296" i="4"/>
  <c r="X296" i="4"/>
  <c r="W297" i="4"/>
  <c r="X297" i="4"/>
  <c r="W298" i="4"/>
  <c r="X298" i="4"/>
  <c r="W299" i="4"/>
  <c r="X299" i="4"/>
  <c r="W300" i="4"/>
  <c r="X300" i="4"/>
  <c r="W301" i="4"/>
  <c r="X301" i="4"/>
  <c r="W302" i="4"/>
  <c r="X302" i="4"/>
  <c r="W303" i="4"/>
  <c r="X303" i="4"/>
  <c r="W304" i="4"/>
  <c r="X304" i="4"/>
  <c r="W305" i="4"/>
  <c r="X305" i="4"/>
  <c r="W306" i="4"/>
  <c r="X306" i="4"/>
  <c r="W307" i="4"/>
  <c r="X307" i="4"/>
  <c r="W308" i="4"/>
  <c r="X308" i="4"/>
  <c r="W309" i="4"/>
  <c r="X309" i="4"/>
  <c r="W310" i="4"/>
  <c r="X310" i="4"/>
  <c r="W311" i="4"/>
  <c r="X311" i="4"/>
  <c r="W312" i="4"/>
  <c r="X312" i="4"/>
  <c r="W313" i="4"/>
  <c r="X313" i="4"/>
  <c r="W314" i="4"/>
  <c r="X314" i="4"/>
  <c r="W315" i="4"/>
  <c r="X315" i="4"/>
  <c r="W316" i="4"/>
  <c r="X316" i="4"/>
  <c r="W317" i="4"/>
  <c r="X317" i="4"/>
  <c r="W318" i="4"/>
  <c r="X318" i="4"/>
  <c r="W319" i="4"/>
  <c r="X319" i="4"/>
  <c r="W320" i="4"/>
  <c r="X320" i="4"/>
  <c r="W321" i="4"/>
  <c r="X321" i="4"/>
  <c r="W322" i="4"/>
  <c r="X322" i="4"/>
  <c r="W323" i="4"/>
  <c r="X323" i="4"/>
  <c r="W324" i="4"/>
  <c r="X324" i="4"/>
  <c r="W325" i="4"/>
  <c r="X325" i="4"/>
  <c r="W326" i="4"/>
  <c r="X326" i="4"/>
  <c r="W327" i="4"/>
  <c r="X327" i="4"/>
  <c r="W328" i="4"/>
  <c r="X328" i="4"/>
  <c r="W329" i="4"/>
  <c r="X329" i="4"/>
  <c r="W330" i="4"/>
  <c r="X330" i="4"/>
  <c r="W331" i="4"/>
  <c r="X331" i="4"/>
  <c r="W332" i="4"/>
  <c r="X332" i="4"/>
  <c r="W333" i="4"/>
  <c r="X333" i="4"/>
  <c r="W334" i="4"/>
  <c r="X334" i="4"/>
  <c r="W335" i="4"/>
  <c r="X335" i="4"/>
  <c r="W336" i="4"/>
  <c r="X336" i="4"/>
  <c r="W337" i="4"/>
  <c r="X337" i="4"/>
  <c r="W338" i="4"/>
  <c r="X338" i="4"/>
  <c r="W339" i="4"/>
  <c r="X339" i="4"/>
  <c r="W340" i="4"/>
  <c r="X340" i="4"/>
  <c r="W341" i="4"/>
  <c r="X341" i="4"/>
  <c r="W342" i="4"/>
  <c r="X342" i="4"/>
  <c r="W343" i="4"/>
  <c r="X343" i="4"/>
  <c r="W344" i="4"/>
  <c r="X344" i="4"/>
  <c r="W345" i="4"/>
  <c r="X345" i="4"/>
  <c r="W346" i="4"/>
  <c r="X346" i="4"/>
  <c r="W347" i="4"/>
  <c r="X347" i="4"/>
  <c r="W348" i="4"/>
  <c r="X348" i="4"/>
  <c r="W349" i="4"/>
  <c r="X349" i="4"/>
  <c r="W350" i="4"/>
  <c r="X350" i="4"/>
  <c r="W351" i="4"/>
  <c r="X351" i="4"/>
  <c r="W352" i="4"/>
  <c r="X352" i="4"/>
  <c r="W353" i="4"/>
  <c r="X353" i="4"/>
  <c r="W354" i="4"/>
  <c r="X354" i="4"/>
  <c r="W355" i="4"/>
  <c r="X355" i="4"/>
  <c r="W356" i="4"/>
  <c r="X356" i="4"/>
  <c r="W357" i="4"/>
  <c r="X357" i="4"/>
  <c r="W358" i="4"/>
  <c r="X358" i="4"/>
  <c r="W359" i="4"/>
  <c r="X359" i="4"/>
  <c r="W360" i="4"/>
  <c r="X360" i="4"/>
  <c r="W361" i="4"/>
  <c r="X361" i="4"/>
  <c r="W362" i="4"/>
  <c r="X362" i="4"/>
  <c r="W363" i="4"/>
  <c r="X363" i="4"/>
  <c r="W364" i="4"/>
  <c r="X364" i="4"/>
  <c r="W365" i="4"/>
  <c r="X365" i="4"/>
  <c r="W366" i="4"/>
  <c r="X366" i="4"/>
  <c r="W367" i="4"/>
  <c r="X367" i="4"/>
  <c r="W368" i="4"/>
  <c r="X368" i="4"/>
  <c r="W369" i="4"/>
  <c r="X369" i="4"/>
  <c r="W370" i="4"/>
  <c r="X370" i="4"/>
  <c r="W371" i="4"/>
  <c r="X371" i="4"/>
  <c r="W372" i="4"/>
  <c r="X372" i="4"/>
  <c r="W373" i="4"/>
  <c r="X373" i="4"/>
  <c r="W374" i="4"/>
  <c r="X374" i="4"/>
  <c r="W375" i="4"/>
  <c r="X375" i="4"/>
  <c r="W376" i="4"/>
  <c r="X376" i="4"/>
  <c r="W377" i="4"/>
  <c r="X377" i="4"/>
  <c r="W378" i="4"/>
  <c r="X378" i="4"/>
  <c r="W379" i="4"/>
  <c r="X379" i="4"/>
  <c r="W380" i="4"/>
  <c r="X380" i="4"/>
  <c r="W381" i="4"/>
  <c r="X381" i="4"/>
  <c r="W382" i="4"/>
  <c r="X382" i="4"/>
  <c r="W383" i="4"/>
  <c r="X383" i="4"/>
  <c r="W384" i="4"/>
  <c r="X384" i="4"/>
  <c r="W385" i="4"/>
  <c r="X385" i="4"/>
  <c r="W386" i="4"/>
  <c r="X386" i="4"/>
  <c r="W387" i="4"/>
  <c r="X387" i="4"/>
  <c r="W388" i="4"/>
  <c r="X388" i="4"/>
  <c r="W389" i="4"/>
  <c r="X389" i="4"/>
  <c r="W390" i="4"/>
  <c r="X390" i="4"/>
  <c r="W391" i="4"/>
  <c r="X391" i="4"/>
  <c r="W392" i="4"/>
  <c r="X392" i="4"/>
  <c r="W393" i="4"/>
  <c r="X393" i="4"/>
  <c r="W394" i="4"/>
  <c r="X394" i="4"/>
  <c r="W395" i="4"/>
  <c r="X395" i="4"/>
  <c r="W396" i="4"/>
  <c r="X396" i="4"/>
  <c r="W397" i="4"/>
  <c r="X397" i="4"/>
  <c r="W398" i="4"/>
  <c r="X398" i="4"/>
  <c r="W399" i="4"/>
  <c r="X399" i="4"/>
  <c r="W400" i="4"/>
  <c r="X400" i="4"/>
  <c r="W401" i="4"/>
  <c r="X401" i="4"/>
  <c r="W402" i="4"/>
  <c r="X402" i="4"/>
  <c r="W403" i="4"/>
  <c r="X403" i="4"/>
  <c r="W404" i="4"/>
  <c r="X404" i="4"/>
  <c r="W405" i="4"/>
  <c r="X405" i="4"/>
  <c r="W406" i="4"/>
  <c r="X406" i="4"/>
  <c r="W407" i="4"/>
  <c r="X407" i="4"/>
  <c r="W408" i="4"/>
  <c r="X408" i="4"/>
  <c r="W409" i="4"/>
  <c r="X409" i="4"/>
  <c r="W410" i="4"/>
  <c r="X410" i="4"/>
  <c r="W411" i="4"/>
  <c r="X411" i="4"/>
  <c r="W412" i="4"/>
  <c r="X412" i="4"/>
  <c r="W413" i="4"/>
  <c r="X413" i="4"/>
  <c r="W414" i="4"/>
  <c r="X414" i="4"/>
  <c r="W415" i="4"/>
  <c r="X415" i="4"/>
  <c r="W416" i="4"/>
  <c r="X416" i="4"/>
  <c r="W417" i="4"/>
  <c r="X417" i="4"/>
  <c r="W418" i="4"/>
  <c r="X418" i="4"/>
  <c r="W419" i="4"/>
  <c r="X419" i="4"/>
  <c r="W420" i="4"/>
  <c r="X420" i="4"/>
  <c r="W421" i="4"/>
  <c r="X421" i="4"/>
  <c r="W422" i="4"/>
  <c r="X422" i="4"/>
  <c r="W423" i="4"/>
  <c r="X423" i="4"/>
  <c r="W424" i="4"/>
  <c r="X424" i="4"/>
  <c r="W425" i="4"/>
  <c r="X425" i="4"/>
  <c r="W426" i="4"/>
  <c r="X426" i="4"/>
  <c r="W427" i="4"/>
  <c r="X427" i="4"/>
  <c r="W428" i="4"/>
  <c r="X428" i="4"/>
  <c r="W429" i="4"/>
  <c r="X429" i="4"/>
  <c r="W430" i="4"/>
  <c r="X430" i="4"/>
  <c r="W431" i="4"/>
  <c r="X431" i="4"/>
  <c r="W432" i="4"/>
  <c r="X432" i="4"/>
  <c r="W433" i="4"/>
  <c r="X433" i="4"/>
  <c r="W434" i="4"/>
  <c r="X434" i="4"/>
  <c r="W435" i="4"/>
  <c r="X435" i="4"/>
  <c r="W436" i="4"/>
  <c r="X436" i="4"/>
  <c r="W437" i="4"/>
  <c r="X437" i="4"/>
  <c r="W438" i="4"/>
  <c r="X438" i="4"/>
  <c r="W439" i="4"/>
  <c r="X439" i="4"/>
  <c r="W440" i="4"/>
  <c r="X440" i="4"/>
  <c r="W441" i="4"/>
  <c r="X441" i="4"/>
  <c r="W442" i="4"/>
  <c r="X442" i="4"/>
  <c r="W443" i="4"/>
  <c r="X443" i="4"/>
  <c r="W444" i="4"/>
  <c r="X444" i="4"/>
  <c r="W445" i="4"/>
  <c r="X445" i="4"/>
  <c r="W446" i="4"/>
  <c r="X446" i="4"/>
  <c r="W447" i="4"/>
  <c r="X447" i="4"/>
  <c r="W448" i="4"/>
  <c r="X448" i="4"/>
  <c r="W449" i="4"/>
  <c r="X449" i="4"/>
  <c r="W450" i="4"/>
  <c r="X450" i="4"/>
  <c r="W451" i="4"/>
  <c r="X451" i="4"/>
  <c r="W452" i="4"/>
  <c r="X452" i="4"/>
  <c r="W453" i="4"/>
  <c r="X453" i="4"/>
  <c r="W454" i="4"/>
  <c r="X454" i="4"/>
  <c r="W455" i="4"/>
  <c r="X455" i="4"/>
  <c r="W456" i="4"/>
  <c r="X456" i="4"/>
  <c r="W457" i="4"/>
  <c r="X457" i="4"/>
  <c r="W458" i="4"/>
  <c r="X458" i="4"/>
  <c r="W459" i="4"/>
  <c r="X459" i="4"/>
  <c r="W460" i="4"/>
  <c r="X460" i="4"/>
  <c r="W461" i="4"/>
  <c r="X461" i="4"/>
  <c r="W462" i="4"/>
  <c r="X462" i="4"/>
  <c r="W463" i="4"/>
  <c r="X463" i="4"/>
  <c r="W464" i="4"/>
  <c r="X464" i="4"/>
  <c r="W465" i="4"/>
  <c r="X465" i="4"/>
  <c r="W466" i="4"/>
  <c r="X466" i="4"/>
  <c r="W467" i="4"/>
  <c r="X467" i="4"/>
  <c r="W468" i="4"/>
  <c r="X468" i="4"/>
  <c r="W469" i="4"/>
  <c r="X469" i="4"/>
  <c r="W470" i="4"/>
  <c r="X470" i="4"/>
  <c r="W471" i="4"/>
  <c r="X471" i="4"/>
  <c r="W472" i="4"/>
  <c r="X472" i="4"/>
  <c r="W473" i="4"/>
  <c r="X473" i="4"/>
  <c r="W474" i="4"/>
  <c r="X474" i="4"/>
  <c r="W475" i="4"/>
  <c r="X475" i="4"/>
  <c r="W476" i="4"/>
  <c r="X476" i="4"/>
  <c r="W477" i="4"/>
  <c r="X477" i="4"/>
  <c r="W478" i="4"/>
  <c r="X478" i="4"/>
  <c r="W479" i="4"/>
  <c r="X479" i="4"/>
  <c r="W480" i="4"/>
  <c r="X480" i="4"/>
  <c r="W481" i="4"/>
  <c r="X481" i="4"/>
  <c r="W482" i="4"/>
  <c r="X482" i="4"/>
  <c r="W483" i="4"/>
  <c r="X483" i="4"/>
  <c r="W484" i="4"/>
  <c r="X484" i="4"/>
  <c r="W485" i="4"/>
  <c r="X485" i="4"/>
  <c r="W486" i="4"/>
  <c r="X486" i="4"/>
  <c r="W487" i="4"/>
  <c r="X487" i="4"/>
  <c r="W488" i="4"/>
  <c r="X488" i="4"/>
  <c r="W489" i="4"/>
  <c r="X489" i="4"/>
  <c r="W490" i="4"/>
  <c r="X490" i="4"/>
  <c r="W491" i="4"/>
  <c r="X491" i="4"/>
  <c r="W492" i="4"/>
  <c r="X492" i="4"/>
  <c r="W493" i="4"/>
  <c r="X493" i="4"/>
  <c r="W494" i="4"/>
  <c r="X494" i="4"/>
  <c r="W495" i="4"/>
  <c r="X495" i="4"/>
  <c r="W496" i="4"/>
  <c r="X496" i="4"/>
  <c r="W497" i="4"/>
  <c r="X497" i="4"/>
  <c r="W498" i="4"/>
  <c r="X498" i="4"/>
  <c r="W499" i="4"/>
  <c r="X499" i="4"/>
  <c r="W500" i="4"/>
  <c r="X500" i="4"/>
  <c r="W501" i="4"/>
  <c r="X501" i="4"/>
  <c r="W502" i="4"/>
  <c r="X502" i="4"/>
  <c r="W503" i="4"/>
  <c r="X503" i="4"/>
  <c r="W504" i="4"/>
  <c r="X504" i="4"/>
  <c r="W505" i="4"/>
  <c r="X505" i="4"/>
  <c r="W506" i="4"/>
  <c r="X506" i="4"/>
  <c r="W507" i="4"/>
  <c r="X507" i="4"/>
  <c r="W508" i="4"/>
  <c r="X508" i="4"/>
  <c r="W509" i="4"/>
  <c r="X509" i="4"/>
  <c r="W510" i="4"/>
  <c r="X510" i="4"/>
  <c r="W511" i="4"/>
  <c r="X511" i="4"/>
  <c r="W512" i="4"/>
  <c r="X512" i="4"/>
  <c r="W513" i="4"/>
  <c r="X513" i="4"/>
  <c r="W514" i="4"/>
  <c r="X514" i="4"/>
  <c r="W515" i="4"/>
  <c r="X515" i="4"/>
  <c r="W516" i="4"/>
  <c r="X516" i="4"/>
  <c r="W517" i="4"/>
  <c r="X517" i="4"/>
  <c r="W518" i="4"/>
  <c r="X518" i="4"/>
  <c r="W519" i="4"/>
  <c r="X519" i="4"/>
  <c r="W520" i="4"/>
  <c r="X520" i="4"/>
  <c r="W521" i="4"/>
  <c r="X521" i="4"/>
  <c r="W522" i="4"/>
  <c r="X522" i="4"/>
  <c r="W523" i="4"/>
  <c r="X523" i="4"/>
  <c r="W524" i="4"/>
  <c r="X524" i="4"/>
  <c r="W525" i="4"/>
  <c r="X525" i="4"/>
  <c r="W526" i="4"/>
  <c r="X526" i="4"/>
  <c r="W527" i="4"/>
  <c r="X527" i="4"/>
  <c r="W528" i="4"/>
  <c r="X528" i="4"/>
  <c r="W529" i="4"/>
  <c r="X529" i="4"/>
  <c r="W530" i="4"/>
  <c r="X530" i="4"/>
  <c r="W531" i="4"/>
  <c r="X531" i="4"/>
  <c r="W532" i="4"/>
  <c r="X532" i="4"/>
  <c r="W533" i="4"/>
  <c r="X533" i="4"/>
  <c r="W534" i="4"/>
  <c r="X534" i="4"/>
  <c r="W535" i="4"/>
  <c r="X535" i="4"/>
  <c r="W536" i="4"/>
  <c r="X536" i="4"/>
  <c r="W537" i="4"/>
  <c r="X537" i="4"/>
  <c r="W538" i="4"/>
  <c r="X538" i="4"/>
  <c r="W539" i="4"/>
  <c r="X539" i="4"/>
  <c r="W540" i="4"/>
  <c r="X540" i="4"/>
  <c r="W541" i="4"/>
  <c r="X541" i="4"/>
  <c r="W542" i="4"/>
  <c r="X542" i="4"/>
  <c r="W543" i="4"/>
  <c r="X543" i="4"/>
  <c r="W544" i="4"/>
  <c r="X544" i="4"/>
  <c r="W545" i="4"/>
  <c r="X545" i="4"/>
  <c r="W546" i="4"/>
  <c r="X546" i="4"/>
  <c r="W547" i="4"/>
  <c r="X547" i="4"/>
  <c r="W548" i="4"/>
  <c r="X548" i="4"/>
  <c r="W549" i="4"/>
  <c r="X549" i="4"/>
  <c r="W550" i="4"/>
  <c r="X550" i="4"/>
  <c r="W551" i="4"/>
  <c r="X551" i="4"/>
  <c r="W552" i="4"/>
  <c r="X552" i="4"/>
  <c r="W553" i="4"/>
  <c r="X553" i="4"/>
  <c r="W554" i="4"/>
  <c r="X554" i="4"/>
  <c r="W555" i="4"/>
  <c r="X555" i="4"/>
  <c r="W556" i="4"/>
  <c r="X556" i="4"/>
  <c r="W557" i="4"/>
  <c r="X557" i="4"/>
  <c r="W558" i="4"/>
  <c r="X558" i="4"/>
  <c r="W559" i="4"/>
  <c r="X559" i="4"/>
  <c r="W560" i="4"/>
  <c r="X560" i="4"/>
  <c r="W561" i="4"/>
  <c r="X561" i="4"/>
  <c r="W562" i="4"/>
  <c r="X562" i="4"/>
  <c r="W563" i="4"/>
  <c r="X563" i="4"/>
  <c r="W564" i="4"/>
  <c r="X564" i="4"/>
  <c r="W565" i="4"/>
  <c r="X565" i="4"/>
  <c r="W566" i="4"/>
  <c r="X566" i="4"/>
  <c r="W567" i="4"/>
  <c r="X567" i="4"/>
  <c r="W568" i="4"/>
  <c r="X568" i="4"/>
  <c r="W569" i="4"/>
  <c r="X569" i="4"/>
  <c r="W570" i="4"/>
  <c r="X570" i="4"/>
  <c r="W571" i="4"/>
  <c r="X571" i="4"/>
  <c r="W572" i="4"/>
  <c r="X572" i="4"/>
  <c r="W573" i="4"/>
  <c r="X573" i="4"/>
  <c r="W574" i="4"/>
  <c r="X574" i="4"/>
  <c r="W575" i="4"/>
  <c r="X575" i="4"/>
  <c r="W576" i="4"/>
  <c r="X576" i="4"/>
  <c r="W577" i="4"/>
  <c r="X577" i="4"/>
  <c r="W578" i="4"/>
  <c r="X578" i="4"/>
  <c r="W579" i="4"/>
  <c r="X579" i="4"/>
  <c r="W580" i="4"/>
  <c r="X580" i="4"/>
  <c r="W581" i="4"/>
  <c r="X581" i="4"/>
  <c r="W582" i="4"/>
  <c r="X582" i="4"/>
  <c r="W583" i="4"/>
  <c r="X583" i="4"/>
  <c r="W584" i="4"/>
  <c r="X584" i="4"/>
  <c r="W585" i="4"/>
  <c r="X585" i="4"/>
  <c r="W586" i="4"/>
  <c r="X586" i="4"/>
  <c r="W587" i="4"/>
  <c r="X587" i="4"/>
  <c r="W588" i="4"/>
  <c r="X588" i="4"/>
  <c r="W589" i="4"/>
  <c r="X589" i="4"/>
  <c r="W590" i="4"/>
  <c r="X590" i="4"/>
  <c r="W591" i="4"/>
  <c r="X591" i="4"/>
  <c r="W592" i="4"/>
  <c r="X592" i="4"/>
  <c r="W593" i="4"/>
  <c r="X593" i="4"/>
  <c r="W594" i="4"/>
  <c r="X594" i="4"/>
  <c r="W595" i="4"/>
  <c r="X595" i="4"/>
  <c r="W596" i="4"/>
  <c r="X596" i="4"/>
  <c r="W597" i="4"/>
  <c r="X597" i="4"/>
  <c r="W598" i="4"/>
  <c r="X598" i="4"/>
  <c r="W599" i="4"/>
  <c r="X599" i="4"/>
  <c r="W600" i="4"/>
  <c r="X600" i="4"/>
  <c r="W601" i="4"/>
  <c r="X601" i="4"/>
  <c r="W602" i="4"/>
  <c r="X602" i="4"/>
  <c r="W603" i="4"/>
  <c r="X603" i="4"/>
  <c r="W604" i="4"/>
  <c r="X604" i="4"/>
  <c r="W605" i="4"/>
  <c r="X605" i="4"/>
  <c r="W606" i="4"/>
  <c r="X606" i="4"/>
  <c r="W607" i="4"/>
  <c r="X607" i="4"/>
  <c r="W608" i="4"/>
  <c r="X608" i="4"/>
  <c r="W609" i="4"/>
  <c r="X609" i="4"/>
  <c r="W610" i="4"/>
  <c r="X610" i="4"/>
  <c r="W611" i="4"/>
  <c r="X611" i="4"/>
  <c r="W612" i="4"/>
  <c r="X612" i="4"/>
  <c r="W613" i="4"/>
  <c r="X613" i="4"/>
  <c r="W614" i="4"/>
  <c r="X614" i="4"/>
  <c r="W615" i="4"/>
  <c r="X615" i="4"/>
  <c r="W616" i="4"/>
  <c r="X616" i="4"/>
  <c r="W617" i="4"/>
  <c r="X617" i="4"/>
  <c r="W618" i="4"/>
  <c r="X618" i="4"/>
  <c r="W619" i="4"/>
  <c r="X619" i="4"/>
  <c r="W620" i="4"/>
  <c r="X620" i="4"/>
  <c r="W621" i="4"/>
  <c r="X621" i="4"/>
  <c r="W622" i="4"/>
  <c r="X622" i="4"/>
  <c r="W623" i="4"/>
  <c r="X623" i="4"/>
  <c r="W624" i="4"/>
  <c r="X624" i="4"/>
  <c r="W625" i="4"/>
  <c r="X625" i="4"/>
  <c r="W626" i="4"/>
  <c r="X626" i="4"/>
  <c r="W627" i="4"/>
  <c r="X627" i="4"/>
  <c r="W628" i="4"/>
  <c r="X628" i="4"/>
  <c r="W629" i="4"/>
  <c r="X629" i="4"/>
  <c r="W630" i="4"/>
  <c r="X630" i="4"/>
  <c r="W631" i="4"/>
  <c r="X631" i="4"/>
  <c r="W632" i="4"/>
  <c r="X632" i="4"/>
  <c r="W633" i="4"/>
  <c r="X633" i="4"/>
  <c r="W634" i="4"/>
  <c r="X634" i="4"/>
  <c r="W635" i="4"/>
  <c r="X635" i="4"/>
  <c r="W636" i="4"/>
  <c r="X636" i="4"/>
  <c r="W637" i="4"/>
  <c r="X637" i="4"/>
  <c r="W638" i="4"/>
  <c r="X638" i="4"/>
  <c r="W639" i="4"/>
  <c r="X639" i="4"/>
  <c r="W640" i="4"/>
  <c r="X640" i="4"/>
  <c r="W641" i="4"/>
  <c r="X641" i="4"/>
  <c r="W642" i="4"/>
  <c r="X642" i="4"/>
  <c r="W643" i="4"/>
  <c r="X643" i="4"/>
  <c r="W644" i="4"/>
  <c r="X644" i="4"/>
  <c r="W645" i="4"/>
  <c r="X645" i="4"/>
  <c r="W646" i="4"/>
  <c r="X646" i="4"/>
  <c r="W647" i="4"/>
  <c r="X647" i="4"/>
  <c r="W648" i="4"/>
  <c r="X648" i="4"/>
  <c r="W649" i="4"/>
  <c r="X649" i="4"/>
  <c r="W650" i="4"/>
  <c r="X650" i="4"/>
  <c r="W651" i="4"/>
  <c r="X651" i="4"/>
  <c r="W652" i="4"/>
  <c r="X652" i="4"/>
  <c r="W653" i="4"/>
  <c r="X653" i="4"/>
  <c r="W654" i="4"/>
  <c r="X654" i="4"/>
  <c r="W655" i="4"/>
  <c r="X655" i="4"/>
  <c r="W656" i="4"/>
  <c r="X656" i="4"/>
  <c r="W657" i="4"/>
  <c r="X657" i="4"/>
  <c r="W658" i="4"/>
  <c r="X658" i="4"/>
  <c r="W659" i="4"/>
  <c r="X659" i="4"/>
  <c r="W660" i="4"/>
  <c r="X660" i="4"/>
  <c r="W661" i="4"/>
  <c r="X661" i="4"/>
  <c r="W662" i="4"/>
  <c r="X662" i="4"/>
  <c r="W663" i="4"/>
  <c r="X663" i="4"/>
  <c r="W664" i="4"/>
  <c r="X664" i="4"/>
  <c r="W665" i="4"/>
  <c r="X665" i="4"/>
  <c r="W666" i="4"/>
  <c r="X666" i="4"/>
  <c r="W667" i="4"/>
  <c r="X667" i="4"/>
  <c r="W668" i="4"/>
  <c r="X668" i="4"/>
  <c r="W669" i="4"/>
  <c r="X669" i="4"/>
  <c r="W670" i="4"/>
  <c r="X670" i="4"/>
  <c r="W671" i="4"/>
  <c r="X671" i="4"/>
  <c r="W672" i="4"/>
  <c r="X672" i="4"/>
  <c r="W673" i="4"/>
  <c r="X673" i="4"/>
  <c r="W674" i="4"/>
  <c r="X674" i="4"/>
  <c r="W675" i="4"/>
  <c r="X675" i="4"/>
  <c r="W676" i="4"/>
  <c r="X676" i="4"/>
  <c r="W677" i="4"/>
  <c r="X677" i="4"/>
  <c r="W678" i="4"/>
  <c r="X678" i="4"/>
  <c r="W679" i="4"/>
  <c r="X679" i="4"/>
  <c r="W680" i="4"/>
  <c r="X680" i="4"/>
  <c r="W681" i="4"/>
  <c r="X681" i="4"/>
  <c r="W682" i="4"/>
  <c r="X682" i="4"/>
  <c r="W683" i="4"/>
  <c r="X683" i="4"/>
  <c r="W684" i="4"/>
  <c r="X684" i="4"/>
  <c r="W685" i="4"/>
  <c r="X685" i="4"/>
  <c r="W686" i="4"/>
  <c r="X686" i="4"/>
  <c r="W687" i="4"/>
  <c r="X687" i="4"/>
  <c r="W688" i="4"/>
  <c r="X688" i="4"/>
  <c r="W689" i="4"/>
  <c r="X689" i="4"/>
  <c r="W690" i="4"/>
  <c r="X690" i="4"/>
  <c r="W691" i="4"/>
  <c r="X691" i="4"/>
  <c r="W692" i="4"/>
  <c r="X692" i="4"/>
  <c r="W693" i="4"/>
  <c r="X693" i="4"/>
  <c r="W694" i="4"/>
  <c r="X694" i="4"/>
  <c r="W695" i="4"/>
  <c r="X695" i="4"/>
  <c r="W696" i="4"/>
  <c r="X696" i="4"/>
  <c r="W697" i="4"/>
  <c r="X697" i="4"/>
  <c r="W698" i="4"/>
  <c r="X698" i="4"/>
  <c r="W699" i="4"/>
  <c r="X699" i="4"/>
  <c r="W700" i="4"/>
  <c r="X700" i="4"/>
  <c r="W701" i="4"/>
  <c r="X701" i="4"/>
  <c r="W702" i="4"/>
  <c r="X702" i="4"/>
  <c r="W703" i="4"/>
  <c r="X703" i="4"/>
  <c r="W704" i="4"/>
  <c r="X704" i="4"/>
  <c r="W705" i="4"/>
  <c r="X705" i="4"/>
  <c r="W706" i="4"/>
  <c r="X706" i="4"/>
  <c r="W707" i="4"/>
  <c r="X707" i="4"/>
  <c r="W708" i="4"/>
  <c r="X708" i="4"/>
  <c r="W709" i="4"/>
  <c r="X709" i="4"/>
  <c r="W710" i="4"/>
  <c r="X710" i="4"/>
  <c r="W711" i="4"/>
  <c r="X711" i="4"/>
  <c r="W712" i="4"/>
  <c r="X712" i="4"/>
  <c r="W713" i="4"/>
  <c r="X713" i="4"/>
  <c r="W714" i="4"/>
  <c r="X714" i="4"/>
  <c r="W715" i="4"/>
  <c r="X715" i="4"/>
  <c r="W716" i="4"/>
  <c r="X716" i="4"/>
  <c r="W717" i="4"/>
  <c r="X717" i="4"/>
  <c r="W718" i="4"/>
  <c r="X718" i="4"/>
  <c r="W719" i="4"/>
  <c r="X719" i="4"/>
  <c r="W720" i="4"/>
  <c r="X720" i="4"/>
  <c r="W721" i="4"/>
  <c r="X721" i="4"/>
  <c r="W722" i="4"/>
  <c r="X722" i="4"/>
  <c r="W723" i="4"/>
  <c r="X723" i="4"/>
  <c r="W724" i="4"/>
  <c r="X724" i="4"/>
  <c r="W725" i="4"/>
  <c r="X725" i="4"/>
  <c r="W726" i="4"/>
  <c r="X726" i="4"/>
  <c r="W727" i="4"/>
  <c r="X727" i="4"/>
  <c r="W728" i="4"/>
  <c r="X728" i="4"/>
  <c r="W729" i="4"/>
  <c r="X729" i="4"/>
  <c r="W730" i="4"/>
  <c r="X730" i="4"/>
  <c r="W731" i="4"/>
  <c r="X731" i="4"/>
  <c r="W732" i="4"/>
  <c r="X732" i="4"/>
  <c r="W733" i="4"/>
  <c r="X733" i="4"/>
  <c r="W734" i="4"/>
  <c r="X734" i="4"/>
  <c r="W735" i="4"/>
  <c r="X735" i="4"/>
  <c r="W736" i="4"/>
  <c r="X736" i="4"/>
  <c r="W737" i="4"/>
  <c r="X737" i="4"/>
  <c r="W738" i="4"/>
  <c r="X738" i="4"/>
  <c r="W739" i="4"/>
  <c r="X739" i="4"/>
  <c r="W740" i="4"/>
  <c r="X740" i="4"/>
  <c r="W741" i="4"/>
  <c r="X741" i="4"/>
  <c r="W742" i="4"/>
  <c r="X742" i="4"/>
  <c r="W743" i="4"/>
  <c r="X743" i="4"/>
  <c r="W744" i="4"/>
  <c r="X744" i="4"/>
  <c r="W745" i="4"/>
  <c r="X745" i="4"/>
  <c r="W746" i="4"/>
  <c r="X746" i="4"/>
  <c r="W747" i="4"/>
  <c r="X747" i="4"/>
  <c r="W748" i="4"/>
  <c r="X748" i="4"/>
  <c r="W749" i="4"/>
  <c r="X749" i="4"/>
  <c r="W750" i="4"/>
  <c r="X750" i="4"/>
  <c r="W751" i="4"/>
  <c r="X751" i="4"/>
  <c r="W752" i="4"/>
  <c r="X752" i="4"/>
  <c r="W753" i="4"/>
  <c r="X753" i="4"/>
  <c r="W754" i="4"/>
  <c r="X754" i="4"/>
  <c r="W755" i="4"/>
  <c r="X755" i="4"/>
  <c r="W756" i="4"/>
  <c r="X756" i="4"/>
  <c r="W757" i="4"/>
  <c r="X757" i="4"/>
  <c r="W758" i="4"/>
  <c r="X758" i="4"/>
  <c r="W759" i="4"/>
  <c r="X759" i="4"/>
  <c r="W760" i="4"/>
  <c r="X760" i="4"/>
  <c r="W761" i="4"/>
  <c r="X761" i="4"/>
  <c r="W762" i="4"/>
  <c r="X762" i="4"/>
  <c r="W763" i="4"/>
  <c r="X763" i="4"/>
  <c r="W764" i="4"/>
  <c r="X764" i="4"/>
  <c r="W765" i="4"/>
  <c r="X765" i="4"/>
  <c r="W766" i="4"/>
  <c r="X766" i="4"/>
  <c r="W767" i="4"/>
  <c r="X767" i="4"/>
  <c r="W768" i="4"/>
  <c r="X768" i="4"/>
  <c r="W769" i="4"/>
  <c r="X769" i="4"/>
  <c r="W770" i="4"/>
  <c r="X770" i="4"/>
  <c r="W771" i="4"/>
  <c r="X771" i="4"/>
  <c r="W772" i="4"/>
  <c r="X772" i="4"/>
  <c r="W773" i="4"/>
  <c r="X773" i="4"/>
  <c r="W774" i="4"/>
  <c r="X774" i="4"/>
  <c r="W775" i="4"/>
  <c r="X775" i="4"/>
  <c r="W776" i="4"/>
  <c r="X776" i="4"/>
  <c r="W777" i="4"/>
  <c r="X777" i="4"/>
  <c r="W778" i="4"/>
  <c r="X778" i="4"/>
  <c r="W779" i="4"/>
  <c r="X779" i="4"/>
  <c r="W780" i="4"/>
  <c r="X780" i="4"/>
  <c r="W781" i="4"/>
  <c r="X781" i="4"/>
  <c r="W782" i="4"/>
  <c r="X782" i="4"/>
  <c r="W783" i="4"/>
  <c r="X783" i="4"/>
  <c r="W784" i="4"/>
  <c r="X784" i="4"/>
  <c r="W785" i="4"/>
  <c r="X785" i="4"/>
  <c r="W786" i="4"/>
  <c r="X786" i="4"/>
  <c r="W787" i="4"/>
  <c r="X787" i="4"/>
  <c r="W788" i="4"/>
  <c r="X788" i="4"/>
  <c r="W789" i="4"/>
  <c r="X789" i="4"/>
  <c r="W790" i="4"/>
  <c r="X790" i="4"/>
  <c r="W791" i="4"/>
  <c r="X791" i="4"/>
  <c r="W792" i="4"/>
  <c r="X792" i="4"/>
  <c r="W793" i="4"/>
  <c r="X793" i="4"/>
  <c r="W794" i="4"/>
  <c r="X794" i="4"/>
  <c r="W795" i="4"/>
  <c r="X795" i="4"/>
  <c r="W796" i="4"/>
  <c r="X796" i="4"/>
  <c r="W797" i="4"/>
  <c r="X797" i="4"/>
  <c r="W798" i="4"/>
  <c r="X798" i="4"/>
  <c r="W799" i="4"/>
  <c r="X799" i="4"/>
  <c r="W800" i="4"/>
  <c r="X800" i="4"/>
  <c r="W801" i="4"/>
  <c r="X801" i="4"/>
  <c r="W802" i="4"/>
  <c r="X802" i="4"/>
  <c r="W803" i="4"/>
  <c r="X803" i="4"/>
  <c r="W804" i="4"/>
  <c r="X804" i="4"/>
  <c r="W805" i="4"/>
  <c r="X805" i="4"/>
  <c r="W806" i="4"/>
  <c r="X806" i="4"/>
  <c r="W807" i="4"/>
  <c r="X807" i="4"/>
  <c r="W808" i="4"/>
  <c r="X808" i="4"/>
  <c r="W809" i="4"/>
  <c r="X809" i="4"/>
  <c r="W810" i="4"/>
  <c r="X810" i="4"/>
  <c r="W811" i="4"/>
  <c r="X811" i="4"/>
  <c r="W812" i="4"/>
  <c r="X812" i="4"/>
  <c r="W813" i="4"/>
  <c r="X813" i="4"/>
  <c r="W814" i="4"/>
  <c r="X814" i="4"/>
  <c r="W815" i="4"/>
  <c r="X815" i="4"/>
  <c r="W816" i="4"/>
  <c r="X816" i="4"/>
  <c r="W817" i="4"/>
  <c r="X817" i="4"/>
  <c r="W818" i="4"/>
  <c r="X818" i="4"/>
  <c r="W819" i="4"/>
  <c r="X819" i="4"/>
  <c r="W820" i="4"/>
  <c r="X820" i="4"/>
  <c r="W821" i="4"/>
  <c r="X821" i="4"/>
  <c r="W822" i="4"/>
  <c r="X822" i="4"/>
  <c r="W823" i="4"/>
  <c r="X823" i="4"/>
  <c r="W824" i="4"/>
  <c r="X824" i="4"/>
  <c r="W825" i="4"/>
  <c r="X825" i="4"/>
  <c r="W826" i="4"/>
  <c r="X826" i="4"/>
  <c r="W827" i="4"/>
  <c r="X827" i="4"/>
  <c r="W828" i="4"/>
  <c r="X828" i="4"/>
  <c r="W829" i="4"/>
  <c r="X829" i="4"/>
  <c r="W830" i="4"/>
  <c r="X830" i="4"/>
  <c r="W831" i="4"/>
  <c r="X831" i="4"/>
  <c r="W832" i="4"/>
  <c r="X832" i="4"/>
  <c r="W833" i="4"/>
  <c r="X833" i="4"/>
  <c r="W834" i="4"/>
  <c r="X834" i="4"/>
  <c r="W835" i="4"/>
  <c r="X835" i="4"/>
  <c r="W836" i="4"/>
  <c r="X836" i="4"/>
  <c r="W837" i="4"/>
  <c r="X837" i="4"/>
  <c r="W838" i="4"/>
  <c r="X838" i="4"/>
  <c r="W839" i="4"/>
  <c r="X839" i="4"/>
  <c r="W840" i="4"/>
  <c r="X840" i="4"/>
  <c r="W841" i="4"/>
  <c r="X841" i="4"/>
  <c r="W842" i="4"/>
  <c r="X842" i="4"/>
  <c r="W843" i="4"/>
  <c r="X843" i="4"/>
  <c r="W844" i="4"/>
  <c r="X844" i="4"/>
  <c r="W845" i="4"/>
  <c r="X845" i="4"/>
  <c r="W846" i="4"/>
  <c r="X846" i="4"/>
  <c r="W847" i="4"/>
  <c r="X847" i="4"/>
  <c r="W848" i="4"/>
  <c r="X848" i="4"/>
  <c r="W849" i="4"/>
  <c r="X849" i="4"/>
  <c r="W850" i="4"/>
  <c r="X850" i="4"/>
  <c r="W851" i="4"/>
  <c r="X851" i="4"/>
  <c r="W852" i="4"/>
  <c r="X852" i="4"/>
  <c r="W853" i="4"/>
  <c r="X853" i="4"/>
  <c r="W854" i="4"/>
  <c r="X854" i="4"/>
  <c r="W855" i="4"/>
  <c r="X855" i="4"/>
  <c r="W856" i="4"/>
  <c r="X856" i="4"/>
  <c r="W857" i="4"/>
  <c r="X857" i="4"/>
  <c r="W858" i="4"/>
  <c r="X858" i="4"/>
  <c r="W859" i="4"/>
  <c r="X859" i="4"/>
  <c r="W860" i="4"/>
  <c r="X860" i="4"/>
  <c r="W861" i="4"/>
  <c r="X861" i="4"/>
  <c r="W862" i="4"/>
  <c r="X862" i="4"/>
  <c r="W863" i="4"/>
  <c r="X863" i="4"/>
  <c r="W864" i="4"/>
  <c r="X864" i="4"/>
  <c r="W865" i="4"/>
  <c r="X865" i="4"/>
  <c r="W866" i="4"/>
  <c r="X866" i="4"/>
  <c r="W867" i="4"/>
  <c r="X867" i="4"/>
  <c r="W868" i="4"/>
  <c r="X868" i="4"/>
  <c r="W869" i="4"/>
  <c r="X869" i="4"/>
  <c r="W870" i="4"/>
  <c r="X870" i="4"/>
  <c r="W871" i="4"/>
  <c r="X871" i="4"/>
  <c r="W872" i="4"/>
  <c r="X872" i="4"/>
  <c r="W873" i="4"/>
  <c r="X873" i="4"/>
  <c r="W874" i="4"/>
  <c r="X874" i="4"/>
  <c r="W875" i="4"/>
  <c r="X875" i="4"/>
  <c r="W876" i="4"/>
  <c r="X876" i="4"/>
  <c r="W877" i="4"/>
  <c r="X877" i="4"/>
  <c r="W878" i="4"/>
  <c r="X878" i="4"/>
  <c r="W879" i="4"/>
  <c r="X879" i="4"/>
  <c r="W880" i="4"/>
  <c r="X880" i="4"/>
  <c r="W881" i="4"/>
  <c r="X881" i="4"/>
  <c r="W882" i="4"/>
  <c r="X882" i="4"/>
  <c r="W883" i="4"/>
  <c r="X883" i="4"/>
  <c r="W884" i="4"/>
  <c r="X884" i="4"/>
  <c r="W885" i="4"/>
  <c r="X885" i="4"/>
  <c r="W886" i="4"/>
  <c r="X886" i="4"/>
  <c r="W887" i="4"/>
  <c r="X887" i="4"/>
  <c r="W888" i="4"/>
  <c r="X888" i="4"/>
  <c r="W889" i="4"/>
  <c r="X889" i="4"/>
  <c r="W890" i="4"/>
  <c r="X890" i="4"/>
  <c r="W891" i="4"/>
  <c r="X891" i="4"/>
  <c r="W892" i="4"/>
  <c r="X892" i="4"/>
  <c r="W893" i="4"/>
  <c r="X893" i="4"/>
  <c r="W894" i="4"/>
  <c r="X894" i="4"/>
  <c r="W895" i="4"/>
  <c r="X895" i="4"/>
  <c r="W896" i="4"/>
  <c r="X896" i="4"/>
  <c r="W897" i="4"/>
  <c r="X897" i="4"/>
  <c r="W898" i="4"/>
  <c r="X898" i="4"/>
  <c r="W899" i="4"/>
  <c r="X899" i="4"/>
  <c r="W900" i="4"/>
  <c r="X900" i="4"/>
  <c r="W901" i="4"/>
  <c r="X901" i="4"/>
  <c r="W902" i="4"/>
  <c r="X902" i="4"/>
  <c r="W903" i="4"/>
  <c r="X903" i="4"/>
  <c r="W904" i="4"/>
  <c r="X904" i="4"/>
  <c r="W905" i="4"/>
  <c r="X905" i="4"/>
  <c r="W906" i="4"/>
  <c r="X906" i="4"/>
  <c r="W907" i="4"/>
  <c r="X907" i="4"/>
  <c r="W908" i="4"/>
  <c r="X908" i="4"/>
  <c r="W909" i="4"/>
  <c r="X909" i="4"/>
  <c r="W910" i="4"/>
  <c r="X910" i="4"/>
  <c r="W911" i="4"/>
  <c r="X911" i="4"/>
  <c r="W912" i="4"/>
  <c r="X912" i="4"/>
  <c r="W913" i="4"/>
  <c r="X913" i="4"/>
  <c r="W914" i="4"/>
  <c r="X914" i="4"/>
  <c r="W915" i="4"/>
  <c r="X915" i="4"/>
  <c r="W916" i="4"/>
  <c r="X916" i="4"/>
  <c r="W917" i="4"/>
  <c r="X917" i="4"/>
  <c r="W918" i="4"/>
  <c r="X918" i="4"/>
  <c r="W919" i="4"/>
  <c r="X919" i="4"/>
  <c r="W920" i="4"/>
  <c r="X920" i="4"/>
  <c r="W921" i="4"/>
  <c r="X921" i="4"/>
  <c r="W922" i="4"/>
  <c r="X922" i="4"/>
  <c r="W923" i="4"/>
  <c r="X923" i="4"/>
  <c r="W924" i="4"/>
  <c r="X924" i="4"/>
  <c r="W925" i="4"/>
  <c r="X925" i="4"/>
  <c r="W926" i="4"/>
  <c r="X926" i="4"/>
  <c r="W927" i="4"/>
  <c r="X927" i="4"/>
  <c r="W928" i="4"/>
  <c r="X928" i="4"/>
  <c r="W929" i="4"/>
  <c r="X929" i="4"/>
  <c r="W930" i="4"/>
  <c r="X930" i="4"/>
  <c r="W931" i="4"/>
  <c r="X931" i="4"/>
  <c r="W932" i="4"/>
  <c r="X932" i="4"/>
  <c r="W933" i="4"/>
  <c r="X933" i="4"/>
  <c r="W934" i="4"/>
  <c r="X934" i="4"/>
  <c r="W935" i="4"/>
  <c r="X935" i="4"/>
  <c r="W936" i="4"/>
  <c r="X936" i="4"/>
  <c r="W937" i="4"/>
  <c r="X937" i="4"/>
  <c r="W938" i="4"/>
  <c r="X938" i="4"/>
  <c r="W939" i="4"/>
  <c r="X939" i="4"/>
  <c r="W940" i="4"/>
  <c r="X940" i="4"/>
  <c r="W941" i="4"/>
  <c r="X941" i="4"/>
  <c r="W942" i="4"/>
  <c r="X942" i="4"/>
  <c r="W943" i="4"/>
  <c r="X943" i="4"/>
  <c r="W944" i="4"/>
  <c r="X944" i="4"/>
  <c r="W945" i="4"/>
  <c r="X945" i="4"/>
  <c r="W946" i="4"/>
  <c r="X946" i="4"/>
  <c r="W947" i="4"/>
  <c r="X947" i="4"/>
  <c r="W948" i="4"/>
  <c r="X948" i="4"/>
  <c r="W949" i="4"/>
  <c r="X949" i="4"/>
  <c r="W950" i="4"/>
  <c r="X950" i="4"/>
  <c r="W951" i="4"/>
  <c r="X951" i="4"/>
  <c r="W952" i="4"/>
  <c r="X952" i="4"/>
  <c r="W953" i="4"/>
  <c r="X953" i="4"/>
  <c r="W954" i="4"/>
  <c r="X954" i="4"/>
  <c r="W955" i="4"/>
  <c r="X955" i="4"/>
  <c r="W956" i="4"/>
  <c r="X956" i="4"/>
  <c r="W957" i="4"/>
  <c r="X957" i="4"/>
  <c r="W958" i="4"/>
  <c r="X958" i="4"/>
  <c r="W959" i="4"/>
  <c r="X959" i="4"/>
  <c r="W960" i="4"/>
  <c r="X960" i="4"/>
  <c r="W961" i="4"/>
  <c r="X961" i="4"/>
  <c r="W962" i="4"/>
  <c r="X962" i="4"/>
  <c r="W963" i="4"/>
  <c r="X963" i="4"/>
  <c r="W964" i="4"/>
  <c r="X964" i="4"/>
  <c r="W965" i="4"/>
  <c r="X965" i="4"/>
  <c r="W966" i="4"/>
  <c r="X966" i="4"/>
  <c r="W967" i="4"/>
  <c r="X967" i="4"/>
  <c r="W968" i="4"/>
  <c r="X968" i="4"/>
  <c r="W969" i="4"/>
  <c r="X969" i="4"/>
  <c r="W970" i="4"/>
  <c r="X970" i="4"/>
  <c r="W971" i="4"/>
  <c r="X971" i="4"/>
  <c r="W972" i="4"/>
  <c r="X972" i="4"/>
  <c r="W973" i="4"/>
  <c r="X973" i="4"/>
  <c r="W974" i="4"/>
  <c r="X974" i="4"/>
  <c r="W975" i="4"/>
  <c r="X975" i="4"/>
  <c r="W976" i="4"/>
  <c r="X976" i="4"/>
  <c r="W977" i="4"/>
  <c r="X977" i="4"/>
  <c r="W978" i="4"/>
  <c r="X978" i="4"/>
  <c r="W979" i="4"/>
  <c r="X979" i="4"/>
  <c r="W980" i="4"/>
  <c r="X980" i="4"/>
  <c r="W981" i="4"/>
  <c r="X981" i="4"/>
  <c r="W982" i="4"/>
  <c r="X982" i="4"/>
  <c r="W983" i="4"/>
  <c r="X983" i="4"/>
  <c r="W984" i="4"/>
  <c r="X984" i="4"/>
  <c r="W985" i="4"/>
  <c r="X985" i="4"/>
  <c r="W986" i="4"/>
  <c r="X986" i="4"/>
  <c r="W987" i="4"/>
  <c r="X987" i="4"/>
  <c r="W988" i="4"/>
  <c r="X988" i="4"/>
  <c r="W989" i="4"/>
  <c r="X989" i="4"/>
  <c r="W990" i="4"/>
  <c r="X990" i="4"/>
  <c r="W991" i="4"/>
  <c r="X991" i="4"/>
  <c r="W992" i="4"/>
  <c r="X992" i="4"/>
  <c r="W993" i="4"/>
  <c r="X993" i="4"/>
  <c r="W994" i="4"/>
  <c r="X994" i="4"/>
  <c r="W995" i="4"/>
  <c r="X995" i="4"/>
  <c r="W996" i="4"/>
  <c r="X996" i="4"/>
  <c r="W997" i="4"/>
  <c r="X997" i="4"/>
  <c r="W998" i="4"/>
  <c r="X998" i="4"/>
  <c r="W999" i="4"/>
  <c r="X999" i="4"/>
  <c r="W1000" i="4"/>
  <c r="X1000" i="4"/>
  <c r="W1001" i="4"/>
  <c r="X1001" i="4"/>
  <c r="W1002" i="4"/>
  <c r="X1002" i="4"/>
  <c r="W1003" i="4"/>
  <c r="X1003" i="4"/>
  <c r="W1004" i="4"/>
  <c r="X1004" i="4"/>
  <c r="W1005" i="4"/>
  <c r="X1005" i="4"/>
  <c r="W1006" i="4"/>
  <c r="X1006" i="4"/>
  <c r="W1007" i="4"/>
  <c r="X1007" i="4"/>
  <c r="W1008" i="4"/>
  <c r="X1008" i="4"/>
  <c r="W1009" i="4"/>
  <c r="X1009" i="4"/>
  <c r="W1010" i="4"/>
  <c r="X1010" i="4"/>
  <c r="W1011" i="4"/>
  <c r="X1011" i="4"/>
  <c r="W1012" i="4"/>
  <c r="X1012" i="4"/>
  <c r="W1013" i="4"/>
  <c r="X1013" i="4"/>
  <c r="W1014" i="4"/>
  <c r="X1014" i="4"/>
  <c r="W1015" i="4"/>
  <c r="X1015" i="4"/>
  <c r="W1016" i="4"/>
  <c r="X1016" i="4"/>
  <c r="W1017" i="4"/>
  <c r="X1017" i="4"/>
  <c r="W1018" i="4"/>
  <c r="X1018" i="4"/>
  <c r="W1019" i="4"/>
  <c r="X1019" i="4"/>
  <c r="W1020" i="4"/>
  <c r="X1020" i="4"/>
  <c r="W1021" i="4"/>
  <c r="X1021" i="4"/>
  <c r="W1022" i="4"/>
  <c r="X1022" i="4"/>
  <c r="W1023" i="4"/>
  <c r="X1023" i="4"/>
  <c r="W1024" i="4"/>
  <c r="X1024" i="4"/>
  <c r="W1025" i="4"/>
  <c r="X1025" i="4"/>
  <c r="W1026" i="4"/>
  <c r="X1026" i="4"/>
  <c r="W1027" i="4"/>
  <c r="X1027" i="4"/>
  <c r="W1028" i="4"/>
  <c r="X1028" i="4"/>
  <c r="W1029" i="4"/>
  <c r="X1029" i="4"/>
  <c r="W1030" i="4"/>
  <c r="X1030" i="4"/>
  <c r="W1031" i="4"/>
  <c r="X1031" i="4"/>
  <c r="W1032" i="4"/>
  <c r="X1032" i="4"/>
  <c r="W1033" i="4"/>
  <c r="X1033" i="4"/>
  <c r="W1034" i="4"/>
  <c r="X1034" i="4"/>
  <c r="W1035" i="4"/>
  <c r="X1035" i="4"/>
  <c r="W1036" i="4"/>
  <c r="X1036" i="4"/>
  <c r="W1037" i="4"/>
  <c r="X1037" i="4"/>
  <c r="W1038" i="4"/>
  <c r="X1038" i="4"/>
  <c r="W1039" i="4"/>
  <c r="X1039" i="4"/>
  <c r="W1040" i="4"/>
  <c r="X1040" i="4"/>
  <c r="W1041" i="4"/>
  <c r="X1041" i="4"/>
  <c r="W1042" i="4"/>
  <c r="X1042" i="4"/>
  <c r="W1043" i="4"/>
  <c r="X1043" i="4"/>
  <c r="W1044" i="4"/>
  <c r="X1044" i="4"/>
  <c r="W1045" i="4"/>
  <c r="X1045" i="4"/>
  <c r="W1046" i="4"/>
  <c r="X1046" i="4"/>
  <c r="W1047" i="4"/>
  <c r="X1047" i="4"/>
  <c r="W1048" i="4"/>
  <c r="X1048" i="4"/>
  <c r="W1049" i="4"/>
  <c r="X1049" i="4"/>
  <c r="W1050" i="4"/>
  <c r="X1050" i="4"/>
  <c r="W1051" i="4"/>
  <c r="X1051" i="4"/>
  <c r="W1052" i="4"/>
  <c r="X1052" i="4"/>
  <c r="W1053" i="4"/>
  <c r="X1053" i="4"/>
  <c r="W1054" i="4"/>
  <c r="X1054" i="4"/>
  <c r="W1055" i="4"/>
  <c r="X1055" i="4"/>
  <c r="W1056" i="4"/>
  <c r="X1056" i="4"/>
  <c r="W1057" i="4"/>
  <c r="X1057" i="4"/>
  <c r="W1058" i="4"/>
  <c r="X1058" i="4"/>
  <c r="W1059" i="4"/>
  <c r="X1059" i="4"/>
  <c r="W1060" i="4"/>
  <c r="X1060" i="4"/>
  <c r="W1061" i="4"/>
  <c r="X1061" i="4"/>
  <c r="W1062" i="4"/>
  <c r="X1062" i="4"/>
  <c r="W1063" i="4"/>
  <c r="X1063" i="4"/>
  <c r="W1064" i="4"/>
  <c r="X1064" i="4"/>
  <c r="W1065" i="4"/>
  <c r="X1065" i="4"/>
  <c r="W1066" i="4"/>
  <c r="X1066" i="4"/>
  <c r="W1067" i="4"/>
  <c r="X1067" i="4"/>
  <c r="W1068" i="4"/>
  <c r="X1068" i="4"/>
  <c r="W1069" i="4"/>
  <c r="X1069" i="4"/>
  <c r="W1070" i="4"/>
  <c r="X1070" i="4"/>
  <c r="W1071" i="4"/>
  <c r="X1071" i="4"/>
  <c r="W1072" i="4"/>
  <c r="X1072" i="4"/>
  <c r="W1073" i="4"/>
  <c r="X1073" i="4"/>
  <c r="W1074" i="4"/>
  <c r="X1074" i="4"/>
  <c r="W1075" i="4"/>
  <c r="X1075" i="4"/>
  <c r="W1076" i="4"/>
  <c r="X1076" i="4"/>
  <c r="W1077" i="4"/>
  <c r="X1077" i="4"/>
  <c r="W1078" i="4"/>
  <c r="X1078" i="4"/>
  <c r="W1079" i="4"/>
  <c r="X1079" i="4"/>
  <c r="W1080" i="4"/>
  <c r="X1080" i="4"/>
  <c r="W1081" i="4"/>
  <c r="X1081" i="4"/>
  <c r="W1082" i="4"/>
  <c r="X1082" i="4"/>
  <c r="W1083" i="4"/>
  <c r="X1083" i="4"/>
  <c r="W1084" i="4"/>
  <c r="X1084" i="4"/>
  <c r="W1085" i="4"/>
  <c r="X1085" i="4"/>
  <c r="W1086" i="4"/>
  <c r="X1086" i="4"/>
  <c r="W1087" i="4"/>
  <c r="X1087" i="4"/>
  <c r="W1088" i="4"/>
  <c r="X1088" i="4"/>
  <c r="W1089" i="4"/>
  <c r="X1089" i="4"/>
  <c r="W1090" i="4"/>
  <c r="X1090" i="4"/>
  <c r="W1091" i="4"/>
  <c r="X1091" i="4"/>
  <c r="W1092" i="4"/>
  <c r="X1092" i="4"/>
  <c r="W1093" i="4"/>
  <c r="X1093" i="4"/>
  <c r="W1094" i="4"/>
  <c r="X1094" i="4"/>
  <c r="W1095" i="4"/>
  <c r="X1095" i="4"/>
  <c r="W1096" i="4"/>
  <c r="X1096" i="4"/>
  <c r="W1097" i="4"/>
  <c r="X1097" i="4"/>
  <c r="W1098" i="4"/>
  <c r="X1098" i="4"/>
  <c r="W1099" i="4"/>
  <c r="X1099" i="4"/>
  <c r="W1100" i="4"/>
  <c r="X1100" i="4"/>
  <c r="W1101" i="4"/>
  <c r="X1101" i="4"/>
  <c r="W1102" i="4"/>
  <c r="X1102" i="4"/>
  <c r="W1103" i="4"/>
  <c r="X1103" i="4"/>
  <c r="W1104" i="4"/>
  <c r="X1104" i="4"/>
  <c r="W1105" i="4"/>
  <c r="X1105" i="4"/>
  <c r="W1106" i="4"/>
  <c r="X1106" i="4"/>
  <c r="W1107" i="4"/>
  <c r="X1107" i="4"/>
  <c r="W1108" i="4"/>
  <c r="X1108" i="4"/>
  <c r="W1109" i="4"/>
  <c r="X1109" i="4"/>
  <c r="W1110" i="4"/>
  <c r="X1110" i="4"/>
  <c r="W1111" i="4"/>
  <c r="X1111" i="4"/>
  <c r="W1112" i="4"/>
  <c r="X1112" i="4"/>
  <c r="W1113" i="4"/>
  <c r="X1113" i="4"/>
  <c r="W1114" i="4"/>
  <c r="X1114" i="4"/>
  <c r="W1115" i="4"/>
  <c r="X1115" i="4"/>
  <c r="W1116" i="4"/>
  <c r="X1116" i="4"/>
  <c r="W1117" i="4"/>
  <c r="X1117" i="4"/>
  <c r="W1118" i="4"/>
  <c r="X1118" i="4"/>
  <c r="W1119" i="4"/>
  <c r="X1119" i="4"/>
  <c r="W1120" i="4"/>
  <c r="X1120" i="4"/>
  <c r="W1121" i="4"/>
  <c r="X1121" i="4"/>
  <c r="W1122" i="4"/>
  <c r="X1122" i="4"/>
  <c r="W1123" i="4"/>
  <c r="X1123" i="4"/>
  <c r="W1124" i="4"/>
  <c r="X1124" i="4"/>
  <c r="W1125" i="4"/>
  <c r="X1125" i="4"/>
  <c r="W1126" i="4"/>
  <c r="X1126" i="4"/>
  <c r="W1127" i="4"/>
  <c r="X1127" i="4"/>
  <c r="W1128" i="4"/>
  <c r="X1128" i="4"/>
  <c r="W1129" i="4"/>
  <c r="X1129" i="4"/>
  <c r="W1130" i="4"/>
  <c r="X1130" i="4"/>
  <c r="W1131" i="4"/>
  <c r="X1131" i="4"/>
  <c r="W1132" i="4"/>
  <c r="X1132" i="4"/>
  <c r="W1133" i="4"/>
  <c r="X1133" i="4"/>
  <c r="W1134" i="4"/>
  <c r="X1134" i="4"/>
  <c r="W1135" i="4"/>
  <c r="X1135" i="4"/>
  <c r="W1136" i="4"/>
  <c r="X1136" i="4"/>
  <c r="W1137" i="4"/>
  <c r="X1137" i="4"/>
  <c r="W1138" i="4"/>
  <c r="X1138" i="4"/>
  <c r="W1139" i="4"/>
  <c r="X1139" i="4"/>
  <c r="W1140" i="4"/>
  <c r="X1140" i="4"/>
  <c r="W1141" i="4"/>
  <c r="X1141" i="4"/>
  <c r="W1142" i="4"/>
  <c r="X1142" i="4"/>
  <c r="W1143" i="4"/>
  <c r="X1143" i="4"/>
  <c r="W1144" i="4"/>
  <c r="X1144" i="4"/>
  <c r="W1145" i="4"/>
  <c r="X1145" i="4"/>
  <c r="W1146" i="4"/>
  <c r="X1146" i="4"/>
  <c r="W1147" i="4"/>
  <c r="X1147" i="4"/>
  <c r="W1148" i="4"/>
  <c r="X1148" i="4"/>
  <c r="W1149" i="4"/>
  <c r="X1149" i="4"/>
  <c r="W1150" i="4"/>
  <c r="X1150" i="4"/>
  <c r="W1151" i="4"/>
  <c r="X1151" i="4"/>
  <c r="W1152" i="4"/>
  <c r="X1152" i="4"/>
  <c r="W1153" i="4"/>
  <c r="X1153" i="4"/>
  <c r="W1154" i="4"/>
  <c r="X1154" i="4"/>
  <c r="W1155" i="4"/>
  <c r="X1155" i="4"/>
  <c r="W1156" i="4"/>
  <c r="X1156" i="4"/>
  <c r="W1157" i="4"/>
  <c r="X1157" i="4"/>
  <c r="W1158" i="4"/>
  <c r="X1158" i="4"/>
  <c r="W1159" i="4"/>
  <c r="X1159" i="4"/>
  <c r="W1160" i="4"/>
  <c r="X1160" i="4"/>
  <c r="W1161" i="4"/>
  <c r="X1161" i="4"/>
  <c r="W1162" i="4"/>
  <c r="X1162" i="4"/>
  <c r="W1163" i="4"/>
  <c r="X1163" i="4"/>
  <c r="W1164" i="4"/>
  <c r="X1164" i="4"/>
  <c r="W1165" i="4"/>
  <c r="X1165" i="4"/>
  <c r="W1166" i="4"/>
  <c r="X1166" i="4"/>
  <c r="W1167" i="4"/>
  <c r="X1167" i="4"/>
  <c r="W1168" i="4"/>
  <c r="X1168" i="4"/>
  <c r="W1169" i="4"/>
  <c r="X1169" i="4"/>
  <c r="W1170" i="4"/>
  <c r="X1170" i="4"/>
  <c r="W1171" i="4"/>
  <c r="X1171" i="4"/>
  <c r="W1172" i="4"/>
  <c r="X1172" i="4"/>
  <c r="W1173" i="4"/>
  <c r="X1173" i="4"/>
  <c r="W1174" i="4"/>
  <c r="X1174" i="4"/>
  <c r="W1175" i="4"/>
  <c r="X1175" i="4"/>
  <c r="W1176" i="4"/>
  <c r="X1176" i="4"/>
  <c r="W1177" i="4"/>
  <c r="X1177" i="4"/>
  <c r="W1178" i="4"/>
  <c r="X1178" i="4"/>
  <c r="W1179" i="4"/>
  <c r="X1179" i="4"/>
  <c r="W1180" i="4"/>
  <c r="X1180" i="4"/>
  <c r="W1181" i="4"/>
  <c r="X1181" i="4"/>
  <c r="W1182" i="4"/>
  <c r="X1182" i="4"/>
  <c r="W1183" i="4"/>
  <c r="X1183" i="4"/>
  <c r="W1184" i="4"/>
  <c r="X1184" i="4"/>
  <c r="W1185" i="4"/>
  <c r="X1185" i="4"/>
  <c r="W1186" i="4"/>
  <c r="X1186" i="4"/>
  <c r="W1187" i="4"/>
  <c r="X1187" i="4"/>
  <c r="W1188" i="4"/>
  <c r="X1188" i="4"/>
  <c r="W1189" i="4"/>
  <c r="X1189" i="4"/>
  <c r="W1190" i="4"/>
  <c r="X1190" i="4"/>
  <c r="W1191" i="4"/>
  <c r="X1191" i="4"/>
  <c r="W1192" i="4"/>
  <c r="X1192" i="4"/>
  <c r="W1193" i="4"/>
  <c r="X1193" i="4"/>
  <c r="W1194" i="4"/>
  <c r="X1194" i="4"/>
  <c r="W1195" i="4"/>
  <c r="X1195" i="4"/>
  <c r="W1196" i="4"/>
  <c r="X1196" i="4"/>
  <c r="W1197" i="4"/>
  <c r="X1197" i="4"/>
  <c r="W1198" i="4"/>
  <c r="X1198" i="4"/>
  <c r="W1199" i="4"/>
  <c r="X1199" i="4"/>
  <c r="W1200" i="4"/>
  <c r="X1200" i="4"/>
  <c r="W1201" i="4"/>
  <c r="X1201" i="4"/>
  <c r="W1202" i="4"/>
  <c r="X1202" i="4"/>
  <c r="W1203" i="4"/>
  <c r="X1203" i="4"/>
  <c r="W1204" i="4"/>
  <c r="X1204" i="4"/>
  <c r="W1205" i="4"/>
  <c r="X1205" i="4"/>
  <c r="W1206" i="4"/>
  <c r="X1206" i="4"/>
  <c r="W1207" i="4"/>
  <c r="X1207" i="4"/>
  <c r="W1208" i="4"/>
  <c r="X1208" i="4"/>
  <c r="W1209" i="4"/>
  <c r="X1209" i="4"/>
  <c r="W1210" i="4"/>
  <c r="X1210" i="4"/>
  <c r="W1211" i="4"/>
  <c r="X1211" i="4"/>
  <c r="W1212" i="4"/>
  <c r="X1212" i="4"/>
  <c r="W1213" i="4"/>
  <c r="X1213" i="4"/>
  <c r="W1214" i="4"/>
  <c r="X1214" i="4"/>
  <c r="W1215" i="4"/>
  <c r="X1215" i="4"/>
  <c r="W1216" i="4"/>
  <c r="X1216" i="4"/>
  <c r="W1217" i="4"/>
  <c r="X1217" i="4"/>
  <c r="W1218" i="4"/>
  <c r="X1218" i="4"/>
  <c r="W1219" i="4"/>
  <c r="X1219" i="4"/>
  <c r="W1220" i="4"/>
  <c r="X1220" i="4"/>
  <c r="W1221" i="4"/>
  <c r="X1221" i="4"/>
  <c r="W1222" i="4"/>
  <c r="X1222" i="4"/>
  <c r="W1223" i="4"/>
  <c r="X1223" i="4"/>
  <c r="W1224" i="4"/>
  <c r="X1224" i="4"/>
  <c r="W1225" i="4"/>
  <c r="X1225" i="4"/>
  <c r="W1226" i="4"/>
  <c r="X1226" i="4"/>
  <c r="W1227" i="4"/>
  <c r="X1227" i="4"/>
  <c r="W1228" i="4"/>
  <c r="X1228" i="4"/>
  <c r="W1229" i="4"/>
  <c r="X1229" i="4"/>
  <c r="W1230" i="4"/>
  <c r="X1230" i="4"/>
  <c r="W1231" i="4"/>
  <c r="X1231" i="4"/>
  <c r="W1232" i="4"/>
  <c r="X1232" i="4"/>
  <c r="W1233" i="4"/>
  <c r="X1233" i="4"/>
  <c r="W1234" i="4"/>
  <c r="X1234" i="4"/>
  <c r="W1235" i="4"/>
  <c r="X1235" i="4"/>
  <c r="W1236" i="4"/>
  <c r="X1236" i="4"/>
  <c r="W1237" i="4"/>
  <c r="X1237" i="4"/>
  <c r="W1238" i="4"/>
  <c r="X1238" i="4"/>
  <c r="W1239" i="4"/>
  <c r="X1239" i="4"/>
  <c r="W1240" i="4"/>
  <c r="X1240" i="4"/>
  <c r="W1241" i="4"/>
  <c r="X1241" i="4"/>
  <c r="W1242" i="4"/>
  <c r="X1242" i="4"/>
  <c r="W1243" i="4"/>
  <c r="X1243" i="4"/>
  <c r="W1244" i="4"/>
  <c r="X1244" i="4"/>
  <c r="W1245" i="4"/>
  <c r="X1245" i="4"/>
  <c r="W1246" i="4"/>
  <c r="X1246" i="4"/>
  <c r="W1247" i="4"/>
  <c r="X1247" i="4"/>
  <c r="W1248" i="4"/>
  <c r="X1248" i="4"/>
  <c r="W1249" i="4"/>
  <c r="X1249" i="4"/>
  <c r="W1250" i="4"/>
  <c r="X1250" i="4"/>
  <c r="W1251" i="4"/>
  <c r="X1251" i="4"/>
  <c r="W1252" i="4"/>
  <c r="X1252" i="4"/>
  <c r="W1253" i="4"/>
  <c r="X1253" i="4"/>
  <c r="W1254" i="4"/>
  <c r="X1254" i="4"/>
  <c r="W1255" i="4"/>
  <c r="X1255" i="4"/>
  <c r="W1256" i="4"/>
  <c r="X1256" i="4"/>
  <c r="W1257" i="4"/>
  <c r="X1257" i="4"/>
  <c r="W1258" i="4"/>
  <c r="X1258" i="4"/>
  <c r="W1259" i="4"/>
  <c r="X1259" i="4"/>
  <c r="W1260" i="4"/>
  <c r="X1260" i="4"/>
  <c r="W1261" i="4"/>
  <c r="X1261" i="4"/>
  <c r="W1262" i="4"/>
  <c r="X1262" i="4"/>
  <c r="W1263" i="4"/>
  <c r="X1263" i="4"/>
  <c r="W1264" i="4"/>
  <c r="X1264" i="4"/>
  <c r="W1265" i="4"/>
  <c r="X1265" i="4"/>
  <c r="W1266" i="4"/>
  <c r="X1266" i="4"/>
  <c r="W1267" i="4"/>
  <c r="X1267" i="4"/>
  <c r="W1268" i="4"/>
  <c r="X1268" i="4"/>
  <c r="W1269" i="4"/>
  <c r="X1269" i="4"/>
  <c r="W1270" i="4"/>
  <c r="X1270" i="4"/>
  <c r="W1271" i="4"/>
  <c r="X1271" i="4"/>
  <c r="W1272" i="4"/>
  <c r="X1272" i="4"/>
  <c r="W1273" i="4"/>
  <c r="X1273" i="4"/>
  <c r="W1274" i="4"/>
  <c r="X1274" i="4"/>
  <c r="W1275" i="4"/>
  <c r="X1275" i="4"/>
  <c r="W1276" i="4"/>
  <c r="X1276" i="4"/>
  <c r="W1277" i="4"/>
  <c r="X1277" i="4"/>
  <c r="W1278" i="4"/>
  <c r="X1278" i="4"/>
  <c r="W1279" i="4"/>
  <c r="X1279" i="4"/>
  <c r="W1280" i="4"/>
  <c r="X1280" i="4"/>
  <c r="W1281" i="4"/>
  <c r="X1281" i="4"/>
  <c r="W1282" i="4"/>
  <c r="X1282" i="4"/>
  <c r="W1283" i="4"/>
  <c r="X1283" i="4"/>
  <c r="W1284" i="4"/>
  <c r="X1284" i="4"/>
  <c r="W1285" i="4"/>
  <c r="X1285" i="4"/>
  <c r="W1286" i="4"/>
  <c r="X1286" i="4"/>
  <c r="W1287" i="4"/>
  <c r="X1287" i="4"/>
  <c r="W1288" i="4"/>
  <c r="X1288" i="4"/>
  <c r="W1289" i="4"/>
  <c r="X1289" i="4"/>
  <c r="W1290" i="4"/>
  <c r="X1290" i="4"/>
  <c r="W1291" i="4"/>
  <c r="X1291" i="4"/>
  <c r="W1292" i="4"/>
  <c r="X1292" i="4"/>
  <c r="W1293" i="4"/>
  <c r="X1293" i="4"/>
  <c r="W1294" i="4"/>
  <c r="X1294" i="4"/>
  <c r="W1295" i="4"/>
  <c r="X1295" i="4"/>
  <c r="W1296" i="4"/>
  <c r="X1296" i="4"/>
  <c r="W1297" i="4"/>
  <c r="X1297" i="4"/>
  <c r="W1298" i="4"/>
  <c r="X1298" i="4"/>
  <c r="W1299" i="4"/>
  <c r="X1299" i="4"/>
  <c r="W1300" i="4"/>
  <c r="X1300" i="4"/>
  <c r="W1301" i="4"/>
  <c r="X1301" i="4"/>
  <c r="W1302" i="4"/>
  <c r="X1302" i="4"/>
  <c r="W1303" i="4"/>
  <c r="X1303" i="4"/>
  <c r="W1304" i="4"/>
  <c r="X1304" i="4"/>
  <c r="W1305" i="4"/>
  <c r="X1305" i="4"/>
  <c r="W1306" i="4"/>
  <c r="X1306" i="4"/>
  <c r="W1307" i="4"/>
  <c r="X1307" i="4"/>
  <c r="W1308" i="4"/>
  <c r="X1308" i="4"/>
  <c r="W1309" i="4"/>
  <c r="X1309" i="4"/>
  <c r="W1310" i="4"/>
  <c r="X1310" i="4"/>
  <c r="W1311" i="4"/>
  <c r="X1311" i="4"/>
  <c r="W1312" i="4"/>
  <c r="X1312" i="4"/>
  <c r="W1313" i="4"/>
  <c r="X1313" i="4"/>
  <c r="W1314" i="4"/>
  <c r="X1314" i="4"/>
  <c r="W1315" i="4"/>
  <c r="X1315" i="4"/>
  <c r="W1316" i="4"/>
  <c r="X1316" i="4"/>
  <c r="W1317" i="4"/>
  <c r="X1317" i="4"/>
  <c r="W1318" i="4"/>
  <c r="X1318" i="4"/>
  <c r="W1319" i="4"/>
  <c r="X1319" i="4"/>
  <c r="W1320" i="4"/>
  <c r="X1320" i="4"/>
  <c r="W1321" i="4"/>
  <c r="X1321" i="4"/>
  <c r="W1322" i="4"/>
  <c r="X1322" i="4"/>
  <c r="W1323" i="4"/>
  <c r="X1323" i="4"/>
  <c r="W1324" i="4"/>
  <c r="X1324" i="4"/>
  <c r="W1325" i="4"/>
  <c r="X1325" i="4"/>
  <c r="W1326" i="4"/>
  <c r="X1326" i="4"/>
  <c r="W1327" i="4"/>
  <c r="X1327" i="4"/>
  <c r="W1328" i="4"/>
  <c r="X1328" i="4"/>
  <c r="W1329" i="4"/>
  <c r="X1329" i="4"/>
  <c r="W1330" i="4"/>
  <c r="X1330" i="4"/>
  <c r="W1331" i="4"/>
  <c r="X1331" i="4"/>
  <c r="W1332" i="4"/>
  <c r="X1332" i="4"/>
  <c r="W1333" i="4"/>
  <c r="X1333" i="4"/>
  <c r="W1334" i="4"/>
  <c r="X1334" i="4"/>
  <c r="W1335" i="4"/>
  <c r="X1335" i="4"/>
  <c r="W1336" i="4"/>
  <c r="X1336" i="4"/>
  <c r="W1337" i="4"/>
  <c r="X1337" i="4"/>
  <c r="W1338" i="4"/>
  <c r="X1338" i="4"/>
  <c r="W1339" i="4"/>
  <c r="X1339" i="4"/>
  <c r="W1340" i="4"/>
  <c r="X1340" i="4"/>
  <c r="W1341" i="4"/>
  <c r="X1341" i="4"/>
  <c r="W1342" i="4"/>
  <c r="X1342" i="4"/>
  <c r="W1343" i="4"/>
  <c r="X1343" i="4"/>
  <c r="W1344" i="4"/>
  <c r="X1344" i="4"/>
  <c r="W1345" i="4"/>
  <c r="X1345" i="4"/>
  <c r="W1346" i="4"/>
  <c r="X1346" i="4"/>
  <c r="W1347" i="4"/>
  <c r="X1347" i="4"/>
  <c r="W1348" i="4"/>
  <c r="X1348" i="4"/>
  <c r="W1349" i="4"/>
  <c r="X1349" i="4"/>
  <c r="W1350" i="4"/>
  <c r="X1350" i="4"/>
  <c r="W1351" i="4"/>
  <c r="X1351" i="4"/>
  <c r="W1352" i="4"/>
  <c r="X1352" i="4"/>
  <c r="W1353" i="4"/>
  <c r="X1353" i="4"/>
  <c r="W1354" i="4"/>
  <c r="X1354" i="4"/>
  <c r="W1355" i="4"/>
  <c r="X1355" i="4"/>
  <c r="W1356" i="4"/>
  <c r="X1356" i="4"/>
  <c r="W1357" i="4"/>
  <c r="X1357" i="4"/>
  <c r="W1358" i="4"/>
  <c r="X1358" i="4"/>
  <c r="W1359" i="4"/>
  <c r="X1359" i="4"/>
  <c r="W1360" i="4"/>
  <c r="X1360" i="4"/>
  <c r="W1361" i="4"/>
  <c r="X1361" i="4"/>
  <c r="W1362" i="4"/>
  <c r="X1362" i="4"/>
  <c r="W1363" i="4"/>
  <c r="X1363" i="4"/>
  <c r="W1364" i="4"/>
  <c r="X1364" i="4"/>
  <c r="W1365" i="4"/>
  <c r="X1365" i="4"/>
  <c r="W1366" i="4"/>
  <c r="X1366" i="4"/>
  <c r="W1367" i="4"/>
  <c r="X1367" i="4"/>
  <c r="W1368" i="4"/>
  <c r="X1368" i="4"/>
  <c r="W1369" i="4"/>
  <c r="X1369" i="4"/>
  <c r="W1370" i="4"/>
  <c r="X1370" i="4"/>
  <c r="W1371" i="4"/>
  <c r="X1371" i="4"/>
  <c r="W1372" i="4"/>
  <c r="X1372" i="4"/>
  <c r="W1373" i="4"/>
  <c r="X1373" i="4"/>
  <c r="W1374" i="4"/>
  <c r="X1374" i="4"/>
  <c r="W1375" i="4"/>
  <c r="X1375" i="4"/>
  <c r="W1376" i="4"/>
  <c r="X1376" i="4"/>
  <c r="W1377" i="4"/>
  <c r="X1377" i="4"/>
  <c r="W1378" i="4"/>
  <c r="X1378" i="4"/>
  <c r="W1379" i="4"/>
  <c r="X1379" i="4"/>
  <c r="W1380" i="4"/>
  <c r="X1380" i="4"/>
  <c r="W1381" i="4"/>
  <c r="X1381" i="4"/>
  <c r="W1382" i="4"/>
  <c r="X1382" i="4"/>
  <c r="W1383" i="4"/>
  <c r="X1383" i="4"/>
  <c r="W1384" i="4"/>
  <c r="X1384" i="4"/>
  <c r="W1385" i="4"/>
  <c r="X1385" i="4"/>
  <c r="W1386" i="4"/>
  <c r="X1386" i="4"/>
  <c r="W1387" i="4"/>
  <c r="X1387" i="4"/>
  <c r="W1388" i="4"/>
  <c r="X1388" i="4"/>
  <c r="W1389" i="4"/>
  <c r="X1389" i="4"/>
  <c r="W1390" i="4"/>
  <c r="X1390" i="4"/>
  <c r="W1391" i="4"/>
  <c r="X1391" i="4"/>
  <c r="W1392" i="4"/>
  <c r="X1392" i="4"/>
  <c r="W1393" i="4"/>
  <c r="X1393" i="4"/>
  <c r="W1394" i="4"/>
  <c r="X1394" i="4"/>
  <c r="W1395" i="4"/>
  <c r="X1395" i="4"/>
  <c r="W1396" i="4"/>
  <c r="X1396" i="4"/>
  <c r="W1397" i="4"/>
  <c r="X1397" i="4"/>
  <c r="W1398" i="4"/>
  <c r="X1398" i="4"/>
  <c r="W1399" i="4"/>
  <c r="X1399" i="4"/>
  <c r="W1400" i="4"/>
  <c r="X1400" i="4"/>
  <c r="W1401" i="4"/>
  <c r="X1401" i="4"/>
  <c r="W1402" i="4"/>
  <c r="X1402" i="4"/>
  <c r="W1403" i="4"/>
  <c r="X1403" i="4"/>
  <c r="W1404" i="4"/>
  <c r="X1404" i="4"/>
  <c r="W1405" i="4"/>
  <c r="X1405" i="4"/>
  <c r="W1406" i="4"/>
  <c r="X1406" i="4"/>
  <c r="W1407" i="4"/>
  <c r="X1407" i="4"/>
  <c r="W1408" i="4"/>
  <c r="X1408" i="4"/>
  <c r="W1409" i="4"/>
  <c r="X1409" i="4"/>
  <c r="W1410" i="4"/>
  <c r="X1410" i="4"/>
  <c r="W1411" i="4"/>
  <c r="X1411" i="4"/>
  <c r="W1412" i="4"/>
  <c r="X1412" i="4"/>
  <c r="W1413" i="4"/>
  <c r="X1413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5" i="4"/>
  <c r="AZ33" i="10" l="1"/>
  <c r="BP25" i="10"/>
  <c r="BD4" i="4" l="1"/>
  <c r="F4" i="4"/>
  <c r="BA1046" i="4" l="1"/>
  <c r="AZ1046" i="4"/>
  <c r="AG11" i="10" l="1"/>
  <c r="BD10" i="10" l="1"/>
  <c r="W5" i="4" l="1"/>
  <c r="X5" i="4"/>
  <c r="BG2" i="4" l="1"/>
  <c r="BD3" i="4"/>
  <c r="BD2" i="4"/>
  <c r="BI132" i="10" l="1"/>
  <c r="BJ88" i="10"/>
  <c r="BK88" i="10"/>
  <c r="BL88" i="10"/>
  <c r="BM88" i="10"/>
  <c r="BN88" i="10"/>
  <c r="BO88" i="10"/>
  <c r="BP88" i="10"/>
  <c r="BQ88" i="10"/>
  <c r="BR88" i="10"/>
  <c r="BS88" i="10"/>
  <c r="BT88" i="10"/>
  <c r="BU88" i="10"/>
  <c r="BV88" i="10"/>
  <c r="BW88" i="10"/>
  <c r="BX88" i="10"/>
  <c r="BY88" i="10"/>
  <c r="BZ88" i="10"/>
  <c r="CA88" i="10"/>
  <c r="CB88" i="10"/>
  <c r="CC88" i="10"/>
  <c r="CD88" i="10"/>
  <c r="BJ89" i="10"/>
  <c r="BK89" i="10"/>
  <c r="BL89" i="10"/>
  <c r="BM89" i="10"/>
  <c r="BN89" i="10"/>
  <c r="BO89" i="10"/>
  <c r="BP89" i="10"/>
  <c r="BQ89" i="10"/>
  <c r="BR89" i="10"/>
  <c r="BS89" i="10"/>
  <c r="BT89" i="10"/>
  <c r="BU89" i="10"/>
  <c r="BV89" i="10"/>
  <c r="BW89" i="10"/>
  <c r="BX89" i="10"/>
  <c r="BY89" i="10"/>
  <c r="BZ89" i="10"/>
  <c r="CA89" i="10"/>
  <c r="CB89" i="10"/>
  <c r="CC89" i="10"/>
  <c r="CD89" i="10"/>
  <c r="BI89" i="10"/>
  <c r="BI88" i="10"/>
  <c r="BJ78" i="10"/>
  <c r="BK78" i="10"/>
  <c r="BL78" i="10"/>
  <c r="BM78" i="10"/>
  <c r="BN78" i="10"/>
  <c r="BO78" i="10"/>
  <c r="BP78" i="10"/>
  <c r="BQ78" i="10"/>
  <c r="BR78" i="10"/>
  <c r="BS78" i="10"/>
  <c r="BT78" i="10"/>
  <c r="BU78" i="10"/>
  <c r="BV78" i="10"/>
  <c r="BW78" i="10"/>
  <c r="BX78" i="10"/>
  <c r="BY78" i="10"/>
  <c r="BZ78" i="10"/>
  <c r="CA78" i="10"/>
  <c r="CB78" i="10"/>
  <c r="CC78" i="10"/>
  <c r="CD78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CA79" i="10"/>
  <c r="CB79" i="10"/>
  <c r="CC79" i="10"/>
  <c r="CD79" i="10"/>
  <c r="BI79" i="10"/>
  <c r="BI78" i="10"/>
  <c r="BI112" i="10" l="1"/>
  <c r="BG129" i="10"/>
  <c r="BI31" i="10"/>
  <c r="BE3" i="4" l="1"/>
  <c r="BG3" i="4" s="1"/>
  <c r="D3" i="25" l="1"/>
  <c r="E3" i="25" s="1"/>
  <c r="D4" i="25"/>
  <c r="F4" i="25" s="1"/>
  <c r="D5" i="25"/>
  <c r="E5" i="25" s="1"/>
  <c r="D6" i="25"/>
  <c r="E6" i="25" s="1"/>
  <c r="D7" i="25"/>
  <c r="F7" i="25" s="1"/>
  <c r="D8" i="25"/>
  <c r="E8" i="25" s="1"/>
  <c r="D9" i="25"/>
  <c r="E9" i="25" s="1"/>
  <c r="D10" i="25"/>
  <c r="F10" i="25" s="1"/>
  <c r="D11" i="25"/>
  <c r="E11" i="25" s="1"/>
  <c r="D12" i="25"/>
  <c r="E12" i="25" s="1"/>
  <c r="D13" i="25"/>
  <c r="F13" i="25" s="1"/>
  <c r="D14" i="25"/>
  <c r="E14" i="25" s="1"/>
  <c r="D15" i="25"/>
  <c r="E15" i="25" s="1"/>
  <c r="D16" i="25"/>
  <c r="F16" i="25" s="1"/>
  <c r="D17" i="25"/>
  <c r="E17" i="25" s="1"/>
  <c r="D18" i="25"/>
  <c r="E18" i="25" s="1"/>
  <c r="D19" i="25"/>
  <c r="F19" i="25" s="1"/>
  <c r="D20" i="25"/>
  <c r="E20" i="25" s="1"/>
  <c r="D21" i="25"/>
  <c r="E21" i="25" s="1"/>
  <c r="D22" i="25"/>
  <c r="F22" i="25" s="1"/>
  <c r="D23" i="25"/>
  <c r="E23" i="25" s="1"/>
  <c r="D24" i="25"/>
  <c r="E24" i="25" s="1"/>
  <c r="D25" i="25"/>
  <c r="F25" i="25" s="1"/>
  <c r="D26" i="25"/>
  <c r="E26" i="25" s="1"/>
  <c r="D27" i="25"/>
  <c r="E27" i="25" s="1"/>
  <c r="D28" i="25"/>
  <c r="F28" i="25" s="1"/>
  <c r="D29" i="25"/>
  <c r="E29" i="25" s="1"/>
  <c r="D30" i="25"/>
  <c r="E30" i="25" s="1"/>
  <c r="D31" i="25"/>
  <c r="F31" i="25" s="1"/>
  <c r="D32" i="25"/>
  <c r="E32" i="25" s="1"/>
  <c r="D33" i="25"/>
  <c r="E33" i="25" s="1"/>
  <c r="D34" i="25"/>
  <c r="F34" i="25" s="1"/>
  <c r="D35" i="25"/>
  <c r="E35" i="25" s="1"/>
  <c r="D36" i="25"/>
  <c r="E36" i="25" s="1"/>
  <c r="D37" i="25"/>
  <c r="F37" i="25" s="1"/>
  <c r="D38" i="25"/>
  <c r="E38" i="25" s="1"/>
  <c r="D39" i="25"/>
  <c r="E39" i="25" s="1"/>
  <c r="D40" i="25"/>
  <c r="F40" i="25" s="1"/>
  <c r="D41" i="25"/>
  <c r="E41" i="25" s="1"/>
  <c r="D42" i="25"/>
  <c r="E42" i="25" s="1"/>
  <c r="D43" i="25"/>
  <c r="F43" i="25" s="1"/>
  <c r="D44" i="25"/>
  <c r="E44" i="25" s="1"/>
  <c r="D45" i="25"/>
  <c r="E45" i="25" s="1"/>
  <c r="D46" i="25"/>
  <c r="F46" i="25" s="1"/>
  <c r="D47" i="25"/>
  <c r="E47" i="25" s="1"/>
  <c r="D48" i="25"/>
  <c r="E48" i="25" s="1"/>
  <c r="D49" i="25"/>
  <c r="F49" i="25" s="1"/>
  <c r="D50" i="25"/>
  <c r="E50" i="25" s="1"/>
  <c r="D51" i="25"/>
  <c r="E51" i="25" s="1"/>
  <c r="D52" i="25"/>
  <c r="F52" i="25" s="1"/>
  <c r="D2" i="25"/>
  <c r="F2" i="25" s="1"/>
  <c r="E37" i="25" l="1"/>
  <c r="G37" i="25" s="1"/>
  <c r="E19" i="25"/>
  <c r="G19" i="25" s="1"/>
  <c r="E52" i="25"/>
  <c r="G52" i="25" s="1"/>
  <c r="E34" i="25"/>
  <c r="G34" i="25" s="1"/>
  <c r="E16" i="25"/>
  <c r="G16" i="25" s="1"/>
  <c r="E49" i="25"/>
  <c r="G49" i="25" s="1"/>
  <c r="E31" i="25"/>
  <c r="G31" i="25" s="1"/>
  <c r="E13" i="25"/>
  <c r="G13" i="25" s="1"/>
  <c r="E46" i="25"/>
  <c r="G46" i="25" s="1"/>
  <c r="E28" i="25"/>
  <c r="G28" i="25" s="1"/>
  <c r="E10" i="25"/>
  <c r="G10" i="25" s="1"/>
  <c r="E43" i="25"/>
  <c r="G43" i="25" s="1"/>
  <c r="E25" i="25"/>
  <c r="G25" i="25" s="1"/>
  <c r="E7" i="25"/>
  <c r="G7" i="25" s="1"/>
  <c r="E40" i="25"/>
  <c r="G40" i="25" s="1"/>
  <c r="E22" i="25"/>
  <c r="G22" i="25" s="1"/>
  <c r="E4" i="25"/>
  <c r="G4" i="25" s="1"/>
  <c r="F51" i="25"/>
  <c r="G51" i="25" s="1"/>
  <c r="F48" i="25"/>
  <c r="G48" i="25" s="1"/>
  <c r="F45" i="25"/>
  <c r="G45" i="25" s="1"/>
  <c r="F42" i="25"/>
  <c r="G42" i="25" s="1"/>
  <c r="F39" i="25"/>
  <c r="G39" i="25" s="1"/>
  <c r="F36" i="25"/>
  <c r="G36" i="25" s="1"/>
  <c r="F33" i="25"/>
  <c r="G33" i="25" s="1"/>
  <c r="F30" i="25"/>
  <c r="G30" i="25" s="1"/>
  <c r="F27" i="25"/>
  <c r="G27" i="25" s="1"/>
  <c r="F24" i="25"/>
  <c r="G24" i="25" s="1"/>
  <c r="F21" i="25"/>
  <c r="G21" i="25" s="1"/>
  <c r="F18" i="25"/>
  <c r="G18" i="25" s="1"/>
  <c r="F15" i="25"/>
  <c r="G15" i="25" s="1"/>
  <c r="F12" i="25"/>
  <c r="G12" i="25" s="1"/>
  <c r="F9" i="25"/>
  <c r="G9" i="25" s="1"/>
  <c r="F6" i="25"/>
  <c r="G6" i="25" s="1"/>
  <c r="F3" i="25"/>
  <c r="G3" i="25" s="1"/>
  <c r="F50" i="25"/>
  <c r="G50" i="25" s="1"/>
  <c r="F47" i="25"/>
  <c r="G47" i="25" s="1"/>
  <c r="F44" i="25"/>
  <c r="G44" i="25" s="1"/>
  <c r="F41" i="25"/>
  <c r="G41" i="25" s="1"/>
  <c r="F38" i="25"/>
  <c r="G38" i="25" s="1"/>
  <c r="F35" i="25"/>
  <c r="G35" i="25" s="1"/>
  <c r="F32" i="25"/>
  <c r="G32" i="25" s="1"/>
  <c r="F29" i="25"/>
  <c r="G29" i="25" s="1"/>
  <c r="F26" i="25"/>
  <c r="G26" i="25" s="1"/>
  <c r="F23" i="25"/>
  <c r="G23" i="25" s="1"/>
  <c r="F20" i="25"/>
  <c r="G20" i="25" s="1"/>
  <c r="F17" i="25"/>
  <c r="G17" i="25" s="1"/>
  <c r="F14" i="25"/>
  <c r="G14" i="25" s="1"/>
  <c r="F11" i="25"/>
  <c r="G11" i="25" s="1"/>
  <c r="F8" i="25"/>
  <c r="G8" i="25" s="1"/>
  <c r="F5" i="25"/>
  <c r="G5" i="25" s="1"/>
  <c r="E2" i="25"/>
  <c r="G2" i="25" s="1"/>
  <c r="BN265" i="10" l="1"/>
  <c r="BO265" i="10"/>
  <c r="BN266" i="10"/>
  <c r="BO266" i="10"/>
  <c r="BN267" i="10"/>
  <c r="BO267" i="10"/>
  <c r="BN268" i="10"/>
  <c r="BO268" i="10"/>
  <c r="BN269" i="10"/>
  <c r="BO269" i="10"/>
  <c r="BN270" i="10"/>
  <c r="BO270" i="10"/>
  <c r="BN271" i="10"/>
  <c r="BO271" i="10"/>
  <c r="BN272" i="10"/>
  <c r="BO272" i="10"/>
  <c r="BN273" i="10"/>
  <c r="BO273" i="10"/>
  <c r="BN274" i="10"/>
  <c r="BO274" i="10"/>
  <c r="BN275" i="10"/>
  <c r="BO275" i="10"/>
  <c r="BN276" i="10"/>
  <c r="BO276" i="10"/>
  <c r="BN277" i="10"/>
  <c r="BO277" i="10"/>
  <c r="BN278" i="10"/>
  <c r="BO278" i="10"/>
  <c r="BN279" i="10"/>
  <c r="BO279" i="10"/>
  <c r="BN280" i="10"/>
  <c r="BO280" i="10"/>
  <c r="BN281" i="10"/>
  <c r="BO281" i="10"/>
  <c r="BN282" i="10"/>
  <c r="BO282" i="10"/>
  <c r="BN283" i="10"/>
  <c r="BO283" i="10"/>
  <c r="BN284" i="10"/>
  <c r="BO284" i="10"/>
  <c r="BN285" i="10"/>
  <c r="BO285" i="10"/>
  <c r="BN286" i="10"/>
  <c r="BO286" i="10"/>
  <c r="BN287" i="10"/>
  <c r="BO287" i="10"/>
  <c r="BN288" i="10"/>
  <c r="BO288" i="10"/>
  <c r="BN289" i="10"/>
  <c r="BO289" i="10"/>
  <c r="BN290" i="10"/>
  <c r="BO290" i="10"/>
  <c r="BN291" i="10"/>
  <c r="BO291" i="10"/>
  <c r="BN292" i="10"/>
  <c r="BO292" i="10"/>
  <c r="BN293" i="10"/>
  <c r="BO293" i="10"/>
  <c r="BN294" i="10"/>
  <c r="BO294" i="10"/>
  <c r="BN295" i="10"/>
  <c r="BO295" i="10"/>
  <c r="BN296" i="10"/>
  <c r="BO296" i="10"/>
  <c r="BN297" i="10"/>
  <c r="BO297" i="10"/>
  <c r="BN298" i="10"/>
  <c r="BO298" i="10"/>
  <c r="BN299" i="10"/>
  <c r="BO299" i="10"/>
  <c r="BN300" i="10"/>
  <c r="BO300" i="10"/>
  <c r="BN301" i="10"/>
  <c r="BO301" i="10"/>
  <c r="BN302" i="10"/>
  <c r="BO302" i="10"/>
  <c r="BN303" i="10"/>
  <c r="BO303" i="10"/>
  <c r="BN304" i="10"/>
  <c r="BO304" i="10"/>
  <c r="BN305" i="10"/>
  <c r="BO305" i="10"/>
  <c r="BN306" i="10"/>
  <c r="BO306" i="10"/>
  <c r="BN307" i="10"/>
  <c r="BO307" i="10"/>
  <c r="BN308" i="10"/>
  <c r="BO308" i="10"/>
  <c r="BN309" i="10"/>
  <c r="BO309" i="10"/>
  <c r="BN310" i="10"/>
  <c r="BO310" i="10"/>
  <c r="BN311" i="10"/>
  <c r="BO311" i="10"/>
  <c r="BN312" i="10"/>
  <c r="BO312" i="10"/>
  <c r="BN313" i="10"/>
  <c r="BO313" i="10"/>
  <c r="BN314" i="10"/>
  <c r="BO314" i="10"/>
  <c r="BN315" i="10"/>
  <c r="BO315" i="10"/>
  <c r="BN316" i="10"/>
  <c r="BO316" i="10"/>
  <c r="BN317" i="10"/>
  <c r="BO317" i="10"/>
  <c r="BN318" i="10"/>
  <c r="BO318" i="10"/>
  <c r="BN319" i="10"/>
  <c r="BO319" i="10"/>
  <c r="BN320" i="10"/>
  <c r="BO320" i="10"/>
  <c r="BN321" i="10"/>
  <c r="BO321" i="10"/>
  <c r="BN322" i="10"/>
  <c r="BO322" i="10"/>
  <c r="BN323" i="10"/>
  <c r="BO323" i="10"/>
  <c r="BN324" i="10"/>
  <c r="BO324" i="10"/>
  <c r="BN325" i="10"/>
  <c r="BO325" i="10"/>
  <c r="BN326" i="10"/>
  <c r="BO326" i="10"/>
  <c r="BN327" i="10"/>
  <c r="BO327" i="10"/>
  <c r="BN328" i="10"/>
  <c r="BO328" i="10"/>
  <c r="BN329" i="10"/>
  <c r="BO329" i="10"/>
  <c r="BN330" i="10"/>
  <c r="BO330" i="10"/>
  <c r="BN331" i="10"/>
  <c r="BO331" i="10"/>
  <c r="BN332" i="10"/>
  <c r="BO332" i="10"/>
  <c r="BN333" i="10"/>
  <c r="BO333" i="10"/>
  <c r="BN334" i="10"/>
  <c r="BO334" i="10"/>
  <c r="BN335" i="10"/>
  <c r="BO335" i="10"/>
  <c r="BN336" i="10"/>
  <c r="BO336" i="10"/>
  <c r="BN337" i="10"/>
  <c r="BO337" i="10"/>
  <c r="BN338" i="10"/>
  <c r="BO338" i="10"/>
  <c r="BN339" i="10"/>
  <c r="BO339" i="10"/>
  <c r="BN340" i="10"/>
  <c r="BO340" i="10"/>
  <c r="BN341" i="10"/>
  <c r="BO341" i="10"/>
  <c r="BN342" i="10"/>
  <c r="BO342" i="10"/>
  <c r="BN343" i="10"/>
  <c r="BO343" i="10"/>
  <c r="BN344" i="10"/>
  <c r="BO344" i="10"/>
  <c r="BN345" i="10"/>
  <c r="BO345" i="10"/>
  <c r="BN346" i="10"/>
  <c r="BO346" i="10"/>
  <c r="BN347" i="10"/>
  <c r="BO347" i="10"/>
  <c r="BN348" i="10"/>
  <c r="BO348" i="10"/>
  <c r="BN349" i="10"/>
  <c r="BO349" i="10"/>
  <c r="BN350" i="10"/>
  <c r="BO350" i="10"/>
  <c r="BN351" i="10"/>
  <c r="BO351" i="10"/>
  <c r="BN352" i="10"/>
  <c r="BO352" i="10"/>
  <c r="BN353" i="10"/>
  <c r="BO353" i="10"/>
  <c r="BN354" i="10"/>
  <c r="BO354" i="10"/>
  <c r="BN355" i="10"/>
  <c r="BO355" i="10"/>
  <c r="BN356" i="10"/>
  <c r="BO356" i="10"/>
  <c r="BN357" i="10"/>
  <c r="BO357" i="10"/>
  <c r="BN358" i="10"/>
  <c r="BO358" i="10"/>
  <c r="BN359" i="10"/>
  <c r="BO359" i="10"/>
  <c r="BN360" i="10"/>
  <c r="BO360" i="10"/>
  <c r="BN361" i="10"/>
  <c r="BO361" i="10"/>
  <c r="BN362" i="10"/>
  <c r="BO362" i="10"/>
  <c r="BN363" i="10"/>
  <c r="BO363" i="10"/>
  <c r="BN364" i="10"/>
  <c r="BO364" i="10"/>
  <c r="BN365" i="10"/>
  <c r="BO365" i="10"/>
  <c r="BN366" i="10"/>
  <c r="BO366" i="10"/>
  <c r="BN367" i="10"/>
  <c r="BO367" i="10"/>
  <c r="BN368" i="10"/>
  <c r="BO368" i="10"/>
  <c r="BN369" i="10"/>
  <c r="BO369" i="10"/>
  <c r="BN370" i="10"/>
  <c r="BO370" i="10"/>
  <c r="BN371" i="10"/>
  <c r="BO371" i="10"/>
  <c r="BN372" i="10"/>
  <c r="BO372" i="10"/>
  <c r="AZ1062" i="4" l="1"/>
  <c r="BA1062" i="4"/>
  <c r="N15" i="10" l="1"/>
  <c r="X4" i="4" l="1"/>
  <c r="W4" i="4"/>
  <c r="BA1289" i="4" l="1"/>
  <c r="BA1224" i="4"/>
  <c r="AZ1354" i="4"/>
  <c r="BA1354" i="4" s="1"/>
  <c r="AZ1289" i="4"/>
  <c r="AZ1280" i="4"/>
  <c r="BA1280" i="4" s="1"/>
  <c r="AZ1279" i="4"/>
  <c r="BA1279" i="4" s="1"/>
  <c r="AZ1241" i="4"/>
  <c r="BA1241" i="4" s="1"/>
  <c r="AZ1240" i="4"/>
  <c r="BA1240" i="4" s="1"/>
  <c r="AZ1237" i="4"/>
  <c r="BA1237" i="4" s="1"/>
  <c r="AZ1224" i="4"/>
  <c r="AZ1220" i="4"/>
  <c r="BA1220" i="4" s="1"/>
  <c r="AZ1212" i="4"/>
  <c r="BA1212" i="4" s="1"/>
  <c r="AZ1211" i="4"/>
  <c r="BA1211" i="4" s="1"/>
  <c r="AZ1146" i="4"/>
  <c r="BA1146" i="4" s="1"/>
  <c r="AZ1061" i="4"/>
  <c r="BA1061" i="4" s="1"/>
  <c r="AZ1045" i="4"/>
  <c r="BA1045" i="4" s="1"/>
  <c r="AZ1040" i="4"/>
  <c r="BA1040" i="4" s="1"/>
  <c r="AZ1021" i="4"/>
  <c r="BA1021" i="4" s="1"/>
  <c r="AR9" i="10" l="1"/>
  <c r="X3" i="4" l="1"/>
  <c r="F3" i="4" l="1"/>
  <c r="F2" i="4"/>
  <c r="D2" i="4" l="1"/>
  <c r="C2" i="4"/>
  <c r="AR1" i="4" l="1"/>
  <c r="BC178" i="10" l="1"/>
  <c r="BC180" i="10" s="1"/>
  <c r="CQ189" i="10"/>
  <c r="CQ190" i="10"/>
  <c r="CQ191" i="10"/>
  <c r="CQ192" i="10"/>
  <c r="CQ193" i="10"/>
  <c r="CQ194" i="10"/>
  <c r="CQ195" i="10"/>
  <c r="CQ196" i="10"/>
  <c r="CQ197" i="10"/>
  <c r="CQ198" i="10"/>
  <c r="CQ199" i="10"/>
  <c r="CQ200" i="10"/>
  <c r="CQ201" i="10"/>
  <c r="CQ202" i="10"/>
  <c r="CQ203" i="10"/>
  <c r="CQ204" i="10"/>
  <c r="CQ205" i="10"/>
  <c r="CQ206" i="10"/>
  <c r="CQ207" i="10"/>
  <c r="CQ208" i="10"/>
  <c r="CP293" i="10"/>
  <c r="CQ293" i="10"/>
  <c r="X2" i="4"/>
  <c r="CO190" i="10"/>
  <c r="CP190" i="10"/>
  <c r="CO191" i="10"/>
  <c r="CP191" i="10"/>
  <c r="CO192" i="10"/>
  <c r="CP192" i="10"/>
  <c r="CO193" i="10"/>
  <c r="CP193" i="10"/>
  <c r="CO194" i="10"/>
  <c r="CP194" i="10"/>
  <c r="CO195" i="10"/>
  <c r="CP195" i="10"/>
  <c r="CO196" i="10"/>
  <c r="CP196" i="10"/>
  <c r="CO197" i="10"/>
  <c r="CP197" i="10"/>
  <c r="CO198" i="10"/>
  <c r="CP198" i="10"/>
  <c r="CO199" i="10"/>
  <c r="CP199" i="10"/>
  <c r="CO200" i="10"/>
  <c r="CP200" i="10"/>
  <c r="CO201" i="10"/>
  <c r="CP201" i="10"/>
  <c r="CO202" i="10"/>
  <c r="CP202" i="10"/>
  <c r="CO203" i="10"/>
  <c r="CP203" i="10"/>
  <c r="CO204" i="10"/>
  <c r="CP204" i="10"/>
  <c r="CO205" i="10"/>
  <c r="CP205" i="10"/>
  <c r="CO206" i="10"/>
  <c r="CP206" i="10"/>
  <c r="CO207" i="10"/>
  <c r="CP207" i="10"/>
  <c r="CO208" i="10"/>
  <c r="CP208" i="10"/>
  <c r="CO209" i="10"/>
  <c r="CP209" i="10"/>
  <c r="CQ209" i="10"/>
  <c r="CO210" i="10"/>
  <c r="CP210" i="10"/>
  <c r="CQ210" i="10"/>
  <c r="CO211" i="10"/>
  <c r="CP211" i="10"/>
  <c r="CQ211" i="10"/>
  <c r="CO212" i="10"/>
  <c r="CP212" i="10"/>
  <c r="CQ212" i="10"/>
  <c r="CO213" i="10"/>
  <c r="CP213" i="10"/>
  <c r="CQ213" i="10"/>
  <c r="CO214" i="10"/>
  <c r="CP214" i="10"/>
  <c r="CQ214" i="10"/>
  <c r="CO215" i="10"/>
  <c r="CP215" i="10"/>
  <c r="CQ215" i="10"/>
  <c r="CO216" i="10"/>
  <c r="CP216" i="10"/>
  <c r="CQ216" i="10"/>
  <c r="CO217" i="10"/>
  <c r="CP217" i="10"/>
  <c r="CQ217" i="10"/>
  <c r="CO218" i="10"/>
  <c r="CP218" i="10"/>
  <c r="CQ218" i="10"/>
  <c r="CO219" i="10"/>
  <c r="CP219" i="10"/>
  <c r="CQ219" i="10"/>
  <c r="CO220" i="10"/>
  <c r="CP220" i="10"/>
  <c r="CQ220" i="10"/>
  <c r="CO221" i="10"/>
  <c r="CP221" i="10"/>
  <c r="CQ221" i="10"/>
  <c r="CO222" i="10"/>
  <c r="CP222" i="10"/>
  <c r="CQ222" i="10"/>
  <c r="CO223" i="10"/>
  <c r="CP223" i="10"/>
  <c r="CQ223" i="10"/>
  <c r="CO224" i="10"/>
  <c r="CP224" i="10"/>
  <c r="CQ224" i="10"/>
  <c r="CO225" i="10"/>
  <c r="CP225" i="10"/>
  <c r="CQ225" i="10"/>
  <c r="CO226" i="10"/>
  <c r="CP226" i="10"/>
  <c r="CQ226" i="10"/>
  <c r="CO227" i="10"/>
  <c r="CP227" i="10"/>
  <c r="CQ227" i="10"/>
  <c r="CO228" i="10"/>
  <c r="CP228" i="10"/>
  <c r="CQ228" i="10"/>
  <c r="CO229" i="10"/>
  <c r="CP229" i="10"/>
  <c r="CQ229" i="10"/>
  <c r="CO230" i="10"/>
  <c r="CP230" i="10"/>
  <c r="CQ230" i="10"/>
  <c r="CO231" i="10"/>
  <c r="CP231" i="10"/>
  <c r="CQ231" i="10"/>
  <c r="CO232" i="10"/>
  <c r="CP232" i="10"/>
  <c r="CQ232" i="10"/>
  <c r="CO233" i="10"/>
  <c r="CP233" i="10"/>
  <c r="CQ233" i="10"/>
  <c r="CO234" i="10"/>
  <c r="CP234" i="10"/>
  <c r="CQ234" i="10"/>
  <c r="CO235" i="10"/>
  <c r="CP235" i="10"/>
  <c r="CQ235" i="10"/>
  <c r="CO236" i="10"/>
  <c r="CP236" i="10"/>
  <c r="CQ236" i="10"/>
  <c r="CO237" i="10"/>
  <c r="CP237" i="10"/>
  <c r="CQ237" i="10"/>
  <c r="CO238" i="10"/>
  <c r="CP238" i="10"/>
  <c r="CQ238" i="10"/>
  <c r="CO239" i="10"/>
  <c r="CP239" i="10"/>
  <c r="CQ239" i="10"/>
  <c r="CO240" i="10"/>
  <c r="CP240" i="10"/>
  <c r="CQ240" i="10"/>
  <c r="CO241" i="10"/>
  <c r="CP241" i="10"/>
  <c r="CQ241" i="10"/>
  <c r="CO242" i="10"/>
  <c r="CP242" i="10"/>
  <c r="CQ242" i="10"/>
  <c r="CO243" i="10"/>
  <c r="CP243" i="10"/>
  <c r="CQ243" i="10"/>
  <c r="CO244" i="10"/>
  <c r="CP244" i="10"/>
  <c r="CQ244" i="10"/>
  <c r="CO245" i="10"/>
  <c r="CP245" i="10"/>
  <c r="CQ245" i="10"/>
  <c r="CO246" i="10"/>
  <c r="CP246" i="10"/>
  <c r="CQ246" i="10"/>
  <c r="CO247" i="10"/>
  <c r="CP247" i="10"/>
  <c r="CQ247" i="10"/>
  <c r="CO248" i="10"/>
  <c r="CP248" i="10"/>
  <c r="CQ248" i="10"/>
  <c r="CO249" i="10"/>
  <c r="CP249" i="10"/>
  <c r="CQ249" i="10"/>
  <c r="CO250" i="10"/>
  <c r="CP250" i="10"/>
  <c r="CQ250" i="10"/>
  <c r="CO251" i="10"/>
  <c r="CP251" i="10"/>
  <c r="CQ251" i="10"/>
  <c r="CO252" i="10"/>
  <c r="CP252" i="10"/>
  <c r="CQ252" i="10"/>
  <c r="CO253" i="10"/>
  <c r="CP253" i="10"/>
  <c r="CQ253" i="10"/>
  <c r="CO254" i="10"/>
  <c r="CP254" i="10"/>
  <c r="CQ254" i="10"/>
  <c r="CO255" i="10"/>
  <c r="CP255" i="10"/>
  <c r="CQ255" i="10"/>
  <c r="CO256" i="10"/>
  <c r="CP256" i="10"/>
  <c r="CQ256" i="10"/>
  <c r="CO257" i="10"/>
  <c r="CP257" i="10"/>
  <c r="CQ257" i="10"/>
  <c r="CO258" i="10"/>
  <c r="CP258" i="10"/>
  <c r="CQ258" i="10"/>
  <c r="CO259" i="10"/>
  <c r="CP259" i="10"/>
  <c r="CQ259" i="10"/>
  <c r="CO260" i="10"/>
  <c r="CP260" i="10"/>
  <c r="CQ260" i="10"/>
  <c r="CO261" i="10"/>
  <c r="CP261" i="10"/>
  <c r="CQ261" i="10"/>
  <c r="CO262" i="10"/>
  <c r="CP262" i="10"/>
  <c r="CQ262" i="10"/>
  <c r="CO263" i="10"/>
  <c r="CP263" i="10"/>
  <c r="CQ263" i="10"/>
  <c r="CO264" i="10"/>
  <c r="CP264" i="10"/>
  <c r="CQ264" i="10"/>
  <c r="CO265" i="10"/>
  <c r="CP265" i="10"/>
  <c r="CQ265" i="10"/>
  <c r="CO266" i="10"/>
  <c r="CP266" i="10"/>
  <c r="CQ266" i="10"/>
  <c r="CO267" i="10"/>
  <c r="CP267" i="10"/>
  <c r="CQ267" i="10"/>
  <c r="CO268" i="10"/>
  <c r="CP268" i="10"/>
  <c r="CQ268" i="10"/>
  <c r="CO269" i="10"/>
  <c r="CP269" i="10"/>
  <c r="CQ269" i="10"/>
  <c r="CO270" i="10"/>
  <c r="CP270" i="10"/>
  <c r="CQ270" i="10"/>
  <c r="CO271" i="10"/>
  <c r="CP271" i="10"/>
  <c r="CQ271" i="10"/>
  <c r="CO272" i="10"/>
  <c r="CP272" i="10"/>
  <c r="CQ272" i="10"/>
  <c r="CO273" i="10"/>
  <c r="CP273" i="10"/>
  <c r="CQ273" i="10"/>
  <c r="CO274" i="10"/>
  <c r="CP274" i="10"/>
  <c r="CQ274" i="10"/>
  <c r="CO275" i="10"/>
  <c r="CP275" i="10"/>
  <c r="CQ275" i="10"/>
  <c r="CO276" i="10"/>
  <c r="CP276" i="10"/>
  <c r="CQ276" i="10"/>
  <c r="CO277" i="10"/>
  <c r="CP277" i="10"/>
  <c r="CQ277" i="10"/>
  <c r="CO278" i="10"/>
  <c r="CP278" i="10"/>
  <c r="CQ278" i="10"/>
  <c r="CO279" i="10"/>
  <c r="CP279" i="10"/>
  <c r="CQ279" i="10"/>
  <c r="CO280" i="10"/>
  <c r="CP280" i="10"/>
  <c r="CQ280" i="10"/>
  <c r="CO281" i="10"/>
  <c r="CP281" i="10"/>
  <c r="CQ281" i="10"/>
  <c r="CO282" i="10"/>
  <c r="CP282" i="10"/>
  <c r="CQ282" i="10"/>
  <c r="CO283" i="10"/>
  <c r="CP283" i="10"/>
  <c r="CQ283" i="10"/>
  <c r="CO284" i="10"/>
  <c r="CP284" i="10"/>
  <c r="CQ284" i="10"/>
  <c r="CO285" i="10"/>
  <c r="CP285" i="10"/>
  <c r="CQ285" i="10"/>
  <c r="CO286" i="10"/>
  <c r="CP286" i="10"/>
  <c r="CQ286" i="10"/>
  <c r="CO287" i="10"/>
  <c r="CP287" i="10"/>
  <c r="CQ287" i="10"/>
  <c r="CO288" i="10"/>
  <c r="CP288" i="10"/>
  <c r="CQ288" i="10"/>
  <c r="CO289" i="10"/>
  <c r="CP289" i="10"/>
  <c r="CQ289" i="10"/>
  <c r="CO290" i="10"/>
  <c r="CP290" i="10"/>
  <c r="CQ290" i="10"/>
  <c r="CO291" i="10"/>
  <c r="CP291" i="10"/>
  <c r="CQ291" i="10"/>
  <c r="CO292" i="10"/>
  <c r="CP292" i="10"/>
  <c r="CQ292" i="10"/>
  <c r="CO293" i="10"/>
  <c r="CP189" i="10"/>
  <c r="CO189" i="10"/>
  <c r="AD7" i="10"/>
  <c r="T7" i="10"/>
  <c r="K15" i="10"/>
  <c r="BP11" i="10"/>
  <c r="AG13" i="10" s="1"/>
  <c r="BS166" i="10"/>
  <c r="BQ166" i="10"/>
  <c r="BO10" i="10"/>
  <c r="BF11" i="10" s="1"/>
  <c r="BN166" i="10"/>
  <c r="BB30" i="10"/>
  <c r="W3" i="4"/>
  <c r="W2" i="4"/>
  <c r="BS37" i="10"/>
  <c r="BS38" i="10" s="1"/>
  <c r="Z16" i="10"/>
  <c r="CO27" i="10"/>
  <c r="AG20" i="10"/>
  <c r="N13" i="10"/>
  <c r="N18" i="10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25" i="5"/>
  <c r="N124" i="5"/>
  <c r="N123" i="5"/>
  <c r="N121" i="5"/>
  <c r="N122" i="5"/>
  <c r="N120" i="5"/>
  <c r="N119" i="5"/>
  <c r="N118" i="5"/>
  <c r="N43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45" i="5"/>
  <c r="O44" i="5"/>
  <c r="O43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49" i="5"/>
  <c r="N48" i="5"/>
  <c r="N47" i="5"/>
  <c r="N46" i="5"/>
  <c r="N45" i="5"/>
  <c r="N44" i="5"/>
  <c r="BL38" i="10"/>
  <c r="AK21" i="10"/>
  <c r="AG21" i="10"/>
  <c r="N19" i="10"/>
  <c r="AG15" i="10"/>
  <c r="K13" i="10"/>
  <c r="K12" i="10"/>
  <c r="BM40" i="10"/>
  <c r="K11" i="10"/>
  <c r="BK8" i="10"/>
  <c r="AG3" i="10"/>
  <c r="J3" i="10"/>
  <c r="BT2" i="10"/>
  <c r="BT4" i="10" s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7" i="5"/>
  <c r="N3" i="5"/>
  <c r="N4" i="5"/>
  <c r="N5" i="5"/>
  <c r="N6" i="5"/>
  <c r="N2" i="5"/>
  <c r="J153" i="5"/>
  <c r="H153" i="5"/>
  <c r="D153" i="5"/>
  <c r="J152" i="5"/>
  <c r="H152" i="5"/>
  <c r="D152" i="5"/>
  <c r="J151" i="5"/>
  <c r="H151" i="5"/>
  <c r="D151" i="5"/>
  <c r="J150" i="5"/>
  <c r="H150" i="5"/>
  <c r="D150" i="5"/>
  <c r="J149" i="5"/>
  <c r="H149" i="5"/>
  <c r="D149" i="5"/>
  <c r="J148" i="5"/>
  <c r="H148" i="5"/>
  <c r="D148" i="5"/>
  <c r="J147" i="5"/>
  <c r="H147" i="5"/>
  <c r="D147" i="5"/>
  <c r="J146" i="5"/>
  <c r="H146" i="5"/>
  <c r="D146" i="5"/>
  <c r="J145" i="5"/>
  <c r="H145" i="5"/>
  <c r="D145" i="5"/>
  <c r="J144" i="5"/>
  <c r="H144" i="5"/>
  <c r="D144" i="5"/>
  <c r="J143" i="5"/>
  <c r="H143" i="5"/>
  <c r="D143" i="5"/>
  <c r="J142" i="5"/>
  <c r="H142" i="5"/>
  <c r="D142" i="5"/>
  <c r="J141" i="5"/>
  <c r="H141" i="5"/>
  <c r="D141" i="5"/>
  <c r="J140" i="5"/>
  <c r="H140" i="5"/>
  <c r="D140" i="5"/>
  <c r="J139" i="5"/>
  <c r="H139" i="5"/>
  <c r="D139" i="5"/>
  <c r="J138" i="5"/>
  <c r="H138" i="5"/>
  <c r="D138" i="5"/>
  <c r="J137" i="5"/>
  <c r="H137" i="5"/>
  <c r="D137" i="5"/>
  <c r="J136" i="5"/>
  <c r="H136" i="5"/>
  <c r="D136" i="5"/>
  <c r="J135" i="5"/>
  <c r="H135" i="5"/>
  <c r="D135" i="5"/>
  <c r="J134" i="5"/>
  <c r="H134" i="5"/>
  <c r="D134" i="5"/>
  <c r="J133" i="5"/>
  <c r="H133" i="5"/>
  <c r="D133" i="5"/>
  <c r="J132" i="5"/>
  <c r="H132" i="5"/>
  <c r="D132" i="5"/>
  <c r="J131" i="5"/>
  <c r="H131" i="5"/>
  <c r="D131" i="5"/>
  <c r="J130" i="5"/>
  <c r="H130" i="5"/>
  <c r="D130" i="5"/>
  <c r="J129" i="5"/>
  <c r="H129" i="5"/>
  <c r="D129" i="5"/>
  <c r="J128" i="5"/>
  <c r="H128" i="5"/>
  <c r="D128" i="5"/>
  <c r="J127" i="5"/>
  <c r="H127" i="5"/>
  <c r="D127" i="5"/>
  <c r="J126" i="5"/>
  <c r="H126" i="5"/>
  <c r="D126" i="5"/>
  <c r="J125" i="5"/>
  <c r="H125" i="5"/>
  <c r="D125" i="5"/>
  <c r="J124" i="5"/>
  <c r="H124" i="5"/>
  <c r="D124" i="5"/>
  <c r="J123" i="5"/>
  <c r="H123" i="5"/>
  <c r="D123" i="5"/>
  <c r="J122" i="5"/>
  <c r="H122" i="5"/>
  <c r="D122" i="5"/>
  <c r="J121" i="5"/>
  <c r="H121" i="5"/>
  <c r="D121" i="5"/>
  <c r="J120" i="5"/>
  <c r="H120" i="5"/>
  <c r="D120" i="5"/>
  <c r="J119" i="5"/>
  <c r="H119" i="5"/>
  <c r="D119" i="5"/>
  <c r="J118" i="5"/>
  <c r="H118" i="5"/>
  <c r="D118" i="5"/>
  <c r="J78" i="5"/>
  <c r="H78" i="5"/>
  <c r="D78" i="5"/>
  <c r="J77" i="5"/>
  <c r="H77" i="5"/>
  <c r="D77" i="5"/>
  <c r="J76" i="5"/>
  <c r="H76" i="5"/>
  <c r="D76" i="5"/>
  <c r="J75" i="5"/>
  <c r="H75" i="5"/>
  <c r="D75" i="5"/>
  <c r="J74" i="5"/>
  <c r="H74" i="5"/>
  <c r="D74" i="5"/>
  <c r="J73" i="5"/>
  <c r="H73" i="5"/>
  <c r="D73" i="5"/>
  <c r="J72" i="5"/>
  <c r="H72" i="5"/>
  <c r="D72" i="5"/>
  <c r="J71" i="5"/>
  <c r="H71" i="5"/>
  <c r="D71" i="5"/>
  <c r="J70" i="5"/>
  <c r="H70" i="5"/>
  <c r="D70" i="5"/>
  <c r="J69" i="5"/>
  <c r="H69" i="5"/>
  <c r="D69" i="5"/>
  <c r="J68" i="5"/>
  <c r="H68" i="5"/>
  <c r="D68" i="5"/>
  <c r="J67" i="5"/>
  <c r="H67" i="5"/>
  <c r="D67" i="5"/>
  <c r="J66" i="5"/>
  <c r="H66" i="5"/>
  <c r="D66" i="5"/>
  <c r="J65" i="5"/>
  <c r="H65" i="5"/>
  <c r="D65" i="5"/>
  <c r="J64" i="5"/>
  <c r="H64" i="5"/>
  <c r="D64" i="5"/>
  <c r="J63" i="5"/>
  <c r="H63" i="5"/>
  <c r="D63" i="5"/>
  <c r="J62" i="5"/>
  <c r="H62" i="5"/>
  <c r="D62" i="5"/>
  <c r="J61" i="5"/>
  <c r="H61" i="5"/>
  <c r="D61" i="5"/>
  <c r="J60" i="5"/>
  <c r="H60" i="5"/>
  <c r="D60" i="5"/>
  <c r="J59" i="5"/>
  <c r="H59" i="5"/>
  <c r="D59" i="5"/>
  <c r="J58" i="5"/>
  <c r="H58" i="5"/>
  <c r="D58" i="5"/>
  <c r="J57" i="5"/>
  <c r="H57" i="5"/>
  <c r="D57" i="5"/>
  <c r="J56" i="5"/>
  <c r="H56" i="5"/>
  <c r="D56" i="5"/>
  <c r="J55" i="5"/>
  <c r="H55" i="5"/>
  <c r="D55" i="5"/>
  <c r="J54" i="5"/>
  <c r="H54" i="5"/>
  <c r="D54" i="5"/>
  <c r="J53" i="5"/>
  <c r="H53" i="5"/>
  <c r="D53" i="5"/>
  <c r="J52" i="5"/>
  <c r="H52" i="5"/>
  <c r="D52" i="5"/>
  <c r="J51" i="5"/>
  <c r="H51" i="5"/>
  <c r="D51" i="5"/>
  <c r="J50" i="5"/>
  <c r="H50" i="5"/>
  <c r="D50" i="5"/>
  <c r="J49" i="5"/>
  <c r="H49" i="5"/>
  <c r="D49" i="5"/>
  <c r="J48" i="5"/>
  <c r="H48" i="5"/>
  <c r="D48" i="5"/>
  <c r="J47" i="5"/>
  <c r="H47" i="5"/>
  <c r="D47" i="5"/>
  <c r="J46" i="5"/>
  <c r="H46" i="5"/>
  <c r="D46" i="5"/>
  <c r="J45" i="5"/>
  <c r="H45" i="5"/>
  <c r="D45" i="5"/>
  <c r="J44" i="5"/>
  <c r="H44" i="5"/>
  <c r="D44" i="5"/>
  <c r="J43" i="5"/>
  <c r="H43" i="5"/>
  <c r="D43" i="5"/>
  <c r="J37" i="5"/>
  <c r="H37" i="5"/>
  <c r="D37" i="5"/>
  <c r="J36" i="5"/>
  <c r="H36" i="5"/>
  <c r="D36" i="5"/>
  <c r="J35" i="5"/>
  <c r="H35" i="5"/>
  <c r="D35" i="5"/>
  <c r="J34" i="5"/>
  <c r="H34" i="5"/>
  <c r="D34" i="5"/>
  <c r="J33" i="5"/>
  <c r="H33" i="5"/>
  <c r="D33" i="5"/>
  <c r="J32" i="5"/>
  <c r="H32" i="5"/>
  <c r="D32" i="5"/>
  <c r="J31" i="5"/>
  <c r="H31" i="5"/>
  <c r="D31" i="5"/>
  <c r="J30" i="5"/>
  <c r="H30" i="5"/>
  <c r="D30" i="5"/>
  <c r="J29" i="5"/>
  <c r="H29" i="5"/>
  <c r="D29" i="5"/>
  <c r="J28" i="5"/>
  <c r="H28" i="5"/>
  <c r="D28" i="5"/>
  <c r="J27" i="5"/>
  <c r="H27" i="5"/>
  <c r="D27" i="5"/>
  <c r="J26" i="5"/>
  <c r="H26" i="5"/>
  <c r="D26" i="5"/>
  <c r="J25" i="5"/>
  <c r="H25" i="5"/>
  <c r="D25" i="5"/>
  <c r="J24" i="5"/>
  <c r="H24" i="5"/>
  <c r="D24" i="5"/>
  <c r="J23" i="5"/>
  <c r="H23" i="5"/>
  <c r="D23" i="5"/>
  <c r="J22" i="5"/>
  <c r="H22" i="5"/>
  <c r="D22" i="5"/>
  <c r="J21" i="5"/>
  <c r="H21" i="5"/>
  <c r="D21" i="5"/>
  <c r="J20" i="5"/>
  <c r="H20" i="5"/>
  <c r="D20" i="5"/>
  <c r="J19" i="5"/>
  <c r="H19" i="5"/>
  <c r="D19" i="5"/>
  <c r="J18" i="5"/>
  <c r="H18" i="5"/>
  <c r="D18" i="5"/>
  <c r="J17" i="5"/>
  <c r="H17" i="5"/>
  <c r="D17" i="5"/>
  <c r="J16" i="5"/>
  <c r="H16" i="5"/>
  <c r="D16" i="5"/>
  <c r="J15" i="5"/>
  <c r="H15" i="5"/>
  <c r="D15" i="5"/>
  <c r="J14" i="5"/>
  <c r="H14" i="5"/>
  <c r="D14" i="5"/>
  <c r="J13" i="5"/>
  <c r="H13" i="5"/>
  <c r="D13" i="5"/>
  <c r="J12" i="5"/>
  <c r="H12" i="5"/>
  <c r="D12" i="5"/>
  <c r="J11" i="5"/>
  <c r="H11" i="5"/>
  <c r="D11" i="5"/>
  <c r="J10" i="5"/>
  <c r="H10" i="5"/>
  <c r="D10" i="5"/>
  <c r="J9" i="5"/>
  <c r="H9" i="5"/>
  <c r="D9" i="5"/>
  <c r="J8" i="5"/>
  <c r="H8" i="5"/>
  <c r="D8" i="5"/>
  <c r="J7" i="5"/>
  <c r="H7" i="5"/>
  <c r="D7" i="5"/>
  <c r="J6" i="5"/>
  <c r="H6" i="5"/>
  <c r="D6" i="5"/>
  <c r="J5" i="5"/>
  <c r="H5" i="5"/>
  <c r="D5" i="5"/>
  <c r="J4" i="5"/>
  <c r="H4" i="5"/>
  <c r="D4" i="5"/>
  <c r="J3" i="5"/>
  <c r="H3" i="5"/>
  <c r="D3" i="5"/>
  <c r="J2" i="5"/>
  <c r="H2" i="5"/>
  <c r="D2" i="5"/>
  <c r="BK40" i="10"/>
  <c r="BK41" i="10"/>
  <c r="BF8" i="10"/>
  <c r="AP7" i="10"/>
  <c r="BO163" i="10" l="1"/>
  <c r="BO165" i="10"/>
  <c r="BO164" i="10"/>
  <c r="BR163" i="10"/>
  <c r="BR164" i="10"/>
  <c r="BT163" i="10"/>
  <c r="BT164" i="10"/>
  <c r="CI3" i="10"/>
  <c r="CK3" i="10" s="1"/>
  <c r="BT37" i="10"/>
  <c r="BT38" i="10" s="1"/>
  <c r="BT165" i="10"/>
  <c r="BR165" i="10"/>
  <c r="BS4" i="10"/>
  <c r="BH3" i="10" s="1"/>
  <c r="BC181" i="10"/>
  <c r="BC182" i="10"/>
  <c r="BC183" i="10" s="1"/>
  <c r="BC179" i="10"/>
  <c r="BO166" i="10" l="1"/>
  <c r="BO154" i="10"/>
  <c r="BS154" i="10"/>
  <c r="BR154" i="10"/>
  <c r="BT166" i="10"/>
  <c r="CL3" i="10"/>
  <c r="BR166" i="10"/>
  <c r="CJ23" i="10"/>
  <c r="CJ38" i="10"/>
  <c r="CJ54" i="10"/>
  <c r="CJ31" i="10"/>
  <c r="CJ47" i="10"/>
  <c r="CJ63" i="10"/>
  <c r="CJ36" i="10"/>
  <c r="CJ52" i="10"/>
  <c r="CJ22" i="10"/>
  <c r="CJ37" i="10"/>
  <c r="CJ53" i="10"/>
  <c r="CJ14" i="10"/>
  <c r="CJ12" i="10"/>
  <c r="CJ7" i="10"/>
  <c r="CJ5" i="10"/>
  <c r="CJ8" i="10"/>
  <c r="CJ26" i="10"/>
  <c r="CJ42" i="10"/>
  <c r="CJ58" i="10"/>
  <c r="CJ35" i="10"/>
  <c r="CJ51" i="10"/>
  <c r="CJ24" i="10"/>
  <c r="CJ40" i="10"/>
  <c r="CJ56" i="10"/>
  <c r="CJ25" i="10"/>
  <c r="CJ41" i="10"/>
  <c r="CJ57" i="10"/>
  <c r="CJ20" i="10"/>
  <c r="CJ13" i="10"/>
  <c r="CJ15" i="10"/>
  <c r="CJ16" i="10"/>
  <c r="CJ30" i="10"/>
  <c r="CJ46" i="10"/>
  <c r="CJ62" i="10"/>
  <c r="CJ39" i="10"/>
  <c r="CJ55" i="10"/>
  <c r="CJ28" i="10"/>
  <c r="CJ44" i="10"/>
  <c r="CJ60" i="10"/>
  <c r="CJ29" i="10"/>
  <c r="CJ45" i="10"/>
  <c r="CJ61" i="10"/>
  <c r="CJ17" i="10"/>
  <c r="CJ9" i="10"/>
  <c r="CJ18" i="10"/>
  <c r="CJ10" i="10"/>
  <c r="CJ3" i="10"/>
  <c r="CJ34" i="10"/>
  <c r="CJ50" i="10"/>
  <c r="CJ27" i="10"/>
  <c r="CJ43" i="10"/>
  <c r="CJ59" i="10"/>
  <c r="CJ32" i="10"/>
  <c r="CJ48" i="10"/>
  <c r="CJ64" i="10"/>
  <c r="CJ33" i="10"/>
  <c r="CJ49" i="10"/>
  <c r="CJ65" i="10"/>
  <c r="CJ4" i="10"/>
  <c r="CJ11" i="10"/>
  <c r="CJ6" i="10"/>
  <c r="CJ21" i="10"/>
  <c r="CJ19" i="10"/>
  <c r="G3" i="4" l="1"/>
  <c r="G4" i="4" l="1"/>
  <c r="BE4" i="4"/>
  <c r="BG4" i="4" s="1"/>
  <c r="H3" i="4"/>
  <c r="C3" i="4"/>
  <c r="G5" i="4" l="1"/>
  <c r="C5" i="4" s="1"/>
  <c r="BE5" i="4"/>
  <c r="BG5" i="4" s="1"/>
  <c r="C4" i="4"/>
  <c r="H4" i="4"/>
  <c r="D4" i="4" s="1"/>
  <c r="D3" i="4"/>
  <c r="BE6" i="4" l="1"/>
  <c r="BG6" i="4" s="1"/>
  <c r="G6" i="4"/>
  <c r="H5" i="4"/>
  <c r="D5" i="4" s="1"/>
  <c r="BE7" i="4" l="1"/>
  <c r="BG7" i="4" s="1"/>
  <c r="G7" i="4"/>
  <c r="D6" i="4"/>
  <c r="C6" i="4"/>
  <c r="H6" i="4"/>
  <c r="BA19" i="10"/>
  <c r="AK20" i="10" s="1"/>
  <c r="G8" i="4" l="1"/>
  <c r="BE8" i="4"/>
  <c r="BG8" i="4" s="1"/>
  <c r="C7" i="4"/>
  <c r="H7" i="4"/>
  <c r="D7" i="4" s="1"/>
  <c r="BE9" i="4" l="1"/>
  <c r="BG9" i="4" s="1"/>
  <c r="C8" i="4"/>
  <c r="G9" i="4"/>
  <c r="H8" i="4"/>
  <c r="D8" i="4" s="1"/>
  <c r="G10" i="4" l="1"/>
  <c r="BE10" i="4"/>
  <c r="BG10" i="4" s="1"/>
  <c r="C9" i="4"/>
  <c r="H9" i="4"/>
  <c r="D9" i="4" s="1"/>
  <c r="BE11" i="4" l="1"/>
  <c r="BG11" i="4" s="1"/>
  <c r="H10" i="4"/>
  <c r="C10" i="4"/>
  <c r="D10" i="4"/>
  <c r="G11" i="4"/>
  <c r="BE12" i="4" l="1"/>
  <c r="BG12" i="4" s="1"/>
  <c r="G12" i="4"/>
  <c r="H11" i="4"/>
  <c r="D11" i="4" s="1"/>
  <c r="C11" i="4"/>
  <c r="BE13" i="4" l="1"/>
  <c r="BG13" i="4" s="1"/>
  <c r="G13" i="4"/>
  <c r="H12" i="4"/>
  <c r="D12" i="4" s="1"/>
  <c r="C12" i="4"/>
  <c r="BE14" i="4" l="1"/>
  <c r="BG14" i="4" s="1"/>
  <c r="G14" i="4"/>
  <c r="H13" i="4"/>
  <c r="D13" i="4" s="1"/>
  <c r="C13" i="4"/>
  <c r="BE15" i="4" l="1"/>
  <c r="BG15" i="4" s="1"/>
  <c r="G15" i="4"/>
  <c r="H14" i="4"/>
  <c r="D14" i="4" s="1"/>
  <c r="C14" i="4"/>
  <c r="BE16" i="4" l="1"/>
  <c r="BG16" i="4" s="1"/>
  <c r="G16" i="4"/>
  <c r="C15" i="4"/>
  <c r="H15" i="4"/>
  <c r="D15" i="4" s="1"/>
  <c r="BE17" i="4" l="1"/>
  <c r="BG17" i="4" s="1"/>
  <c r="C16" i="4"/>
  <c r="H16" i="4"/>
  <c r="D16" i="4" s="1"/>
  <c r="G17" i="4"/>
  <c r="BE18" i="4" l="1"/>
  <c r="BG18" i="4" s="1"/>
  <c r="G18" i="4"/>
  <c r="H17" i="4"/>
  <c r="D17" i="4" s="1"/>
  <c r="C17" i="4"/>
  <c r="BE19" i="4" l="1"/>
  <c r="BG19" i="4" s="1"/>
  <c r="G19" i="4"/>
  <c r="C18" i="4"/>
  <c r="H18" i="4"/>
  <c r="D18" i="4" s="1"/>
  <c r="BE20" i="4" l="1"/>
  <c r="BG20" i="4" s="1"/>
  <c r="G20" i="4"/>
  <c r="C19" i="4"/>
  <c r="H19" i="4"/>
  <c r="D19" i="4" s="1"/>
  <c r="BE21" i="4" l="1"/>
  <c r="BG21" i="4" s="1"/>
  <c r="G21" i="4"/>
  <c r="H20" i="4"/>
  <c r="D20" i="4" s="1"/>
  <c r="C20" i="4"/>
  <c r="BE22" i="4" l="1"/>
  <c r="BG22" i="4" s="1"/>
  <c r="G22" i="4"/>
  <c r="C21" i="4"/>
  <c r="H21" i="4"/>
  <c r="D21" i="4" s="1"/>
  <c r="BE23" i="4" l="1"/>
  <c r="BG23" i="4" s="1"/>
  <c r="C22" i="4"/>
  <c r="G23" i="4"/>
  <c r="H22" i="4"/>
  <c r="D22" i="4" s="1"/>
  <c r="BE24" i="4" l="1"/>
  <c r="BG24" i="4" s="1"/>
  <c r="G24" i="4"/>
  <c r="H23" i="4"/>
  <c r="C23" i="4"/>
  <c r="D23" i="4"/>
  <c r="BE25" i="4" l="1"/>
  <c r="BG25" i="4" s="1"/>
  <c r="G25" i="4"/>
  <c r="H24" i="4"/>
  <c r="C24" i="4"/>
  <c r="D24" i="4"/>
  <c r="BE26" i="4" l="1"/>
  <c r="BG26" i="4" s="1"/>
  <c r="G26" i="4"/>
  <c r="C25" i="4"/>
  <c r="H25" i="4"/>
  <c r="D25" i="4" s="1"/>
  <c r="BE27" i="4" l="1"/>
  <c r="BG27" i="4" s="1"/>
  <c r="G27" i="4"/>
  <c r="C26" i="4"/>
  <c r="H26" i="4"/>
  <c r="D26" i="4" s="1"/>
  <c r="BE28" i="4" l="1"/>
  <c r="BG28" i="4" s="1"/>
  <c r="G28" i="4"/>
  <c r="H27" i="4"/>
  <c r="C27" i="4"/>
  <c r="D27" i="4"/>
  <c r="BE29" i="4" l="1"/>
  <c r="BG29" i="4" s="1"/>
  <c r="H28" i="4"/>
  <c r="D28" i="4" s="1"/>
  <c r="C28" i="4"/>
  <c r="G29" i="4"/>
  <c r="BE30" i="4" l="1"/>
  <c r="BG30" i="4" s="1"/>
  <c r="G30" i="4"/>
  <c r="H29" i="4"/>
  <c r="D29" i="4" s="1"/>
  <c r="C29" i="4"/>
  <c r="BE31" i="4" l="1"/>
  <c r="BG31" i="4" s="1"/>
  <c r="G31" i="4"/>
  <c r="H30" i="4"/>
  <c r="D30" i="4" s="1"/>
  <c r="C30" i="4"/>
  <c r="BE32" i="4" l="1"/>
  <c r="BG32" i="4" s="1"/>
  <c r="G32" i="4"/>
  <c r="H31" i="4"/>
  <c r="D31" i="4" s="1"/>
  <c r="C31" i="4"/>
  <c r="BE33" i="4" l="1"/>
  <c r="BG33" i="4" s="1"/>
  <c r="G33" i="4"/>
  <c r="H32" i="4"/>
  <c r="D32" i="4" s="1"/>
  <c r="C32" i="4"/>
  <c r="BE34" i="4" l="1"/>
  <c r="BG34" i="4" s="1"/>
  <c r="G34" i="4"/>
  <c r="C33" i="4"/>
  <c r="H33" i="4"/>
  <c r="D33" i="4" s="1"/>
  <c r="BE35" i="4" l="1"/>
  <c r="BG35" i="4" s="1"/>
  <c r="C34" i="4"/>
  <c r="G35" i="4"/>
  <c r="H34" i="4"/>
  <c r="D34" i="4" s="1"/>
  <c r="BE36" i="4" l="1"/>
  <c r="BG36" i="4" s="1"/>
  <c r="G36" i="4"/>
  <c r="H35" i="4"/>
  <c r="C35" i="4"/>
  <c r="D35" i="4"/>
  <c r="BE37" i="4" l="1"/>
  <c r="BG37" i="4" s="1"/>
  <c r="G37" i="4"/>
  <c r="C36" i="4"/>
  <c r="H36" i="4"/>
  <c r="D36" i="4" s="1"/>
  <c r="BE38" i="4" l="1"/>
  <c r="BG38" i="4" s="1"/>
  <c r="G38" i="4"/>
  <c r="H37" i="4"/>
  <c r="D37" i="4" s="1"/>
  <c r="C37" i="4"/>
  <c r="BE39" i="4" l="1"/>
  <c r="BG39" i="4" s="1"/>
  <c r="G39" i="4"/>
  <c r="C38" i="4"/>
  <c r="H38" i="4"/>
  <c r="D38" i="4" s="1"/>
  <c r="BE40" i="4" l="1"/>
  <c r="BG40" i="4" s="1"/>
  <c r="G40" i="4"/>
  <c r="H39" i="4"/>
  <c r="D39" i="4" s="1"/>
  <c r="C39" i="4"/>
  <c r="BE41" i="4" l="1"/>
  <c r="BG41" i="4" s="1"/>
  <c r="C40" i="4"/>
  <c r="G41" i="4"/>
  <c r="H40" i="4"/>
  <c r="D40" i="4" s="1"/>
  <c r="BE42" i="4" l="1"/>
  <c r="BG42" i="4" s="1"/>
  <c r="G42" i="4"/>
  <c r="H41" i="4"/>
  <c r="C41" i="4"/>
  <c r="D41" i="4"/>
  <c r="BE43" i="4" l="1"/>
  <c r="BG43" i="4" s="1"/>
  <c r="G43" i="4"/>
  <c r="H42" i="4"/>
  <c r="D42" i="4" s="1"/>
  <c r="C42" i="4"/>
  <c r="BE44" i="4" l="1"/>
  <c r="BG44" i="4" s="1"/>
  <c r="G44" i="4"/>
  <c r="H43" i="4"/>
  <c r="D43" i="4" s="1"/>
  <c r="C43" i="4"/>
  <c r="BE45" i="4" l="1"/>
  <c r="BG45" i="4" s="1"/>
  <c r="G45" i="4"/>
  <c r="H44" i="4"/>
  <c r="D44" i="4" s="1"/>
  <c r="C44" i="4"/>
  <c r="BE46" i="4" l="1"/>
  <c r="BG46" i="4" s="1"/>
  <c r="G46" i="4"/>
  <c r="H45" i="4"/>
  <c r="D45" i="4" s="1"/>
  <c r="C45" i="4"/>
  <c r="BE47" i="4" l="1"/>
  <c r="BG47" i="4" s="1"/>
  <c r="C46" i="4"/>
  <c r="G47" i="4"/>
  <c r="H46" i="4"/>
  <c r="D46" i="4" s="1"/>
  <c r="BE48" i="4" l="1"/>
  <c r="BG48" i="4" s="1"/>
  <c r="H47" i="4"/>
  <c r="D47" i="4" s="1"/>
  <c r="C47" i="4"/>
  <c r="G48" i="4"/>
  <c r="BE49" i="4" l="1"/>
  <c r="BG49" i="4" s="1"/>
  <c r="G49" i="4"/>
  <c r="H48" i="4"/>
  <c r="D48" i="4" s="1"/>
  <c r="C48" i="4"/>
  <c r="BE50" i="4" l="1"/>
  <c r="BG50" i="4" s="1"/>
  <c r="C49" i="4"/>
  <c r="G50" i="4"/>
  <c r="H49" i="4"/>
  <c r="D49" i="4" s="1"/>
  <c r="BE51" i="4" l="1"/>
  <c r="BG51" i="4" s="1"/>
  <c r="H50" i="4"/>
  <c r="D50" i="4" s="1"/>
  <c r="C50" i="4"/>
  <c r="G51" i="4"/>
  <c r="BE52" i="4" l="1"/>
  <c r="BG52" i="4" s="1"/>
  <c r="G52" i="4"/>
  <c r="H51" i="4"/>
  <c r="D51" i="4" s="1"/>
  <c r="C51" i="4"/>
  <c r="BE53" i="4" l="1"/>
  <c r="BG53" i="4" s="1"/>
  <c r="H52" i="4"/>
  <c r="D52" i="4" s="1"/>
  <c r="C52" i="4"/>
  <c r="G53" i="4"/>
  <c r="BE54" i="4" l="1"/>
  <c r="BG54" i="4" s="1"/>
  <c r="C53" i="4"/>
  <c r="G54" i="4"/>
  <c r="H53" i="4"/>
  <c r="D53" i="4"/>
  <c r="BE55" i="4" l="1"/>
  <c r="BG55" i="4" s="1"/>
  <c r="H54" i="4"/>
  <c r="D54" i="4" s="1"/>
  <c r="G55" i="4"/>
  <c r="C54" i="4"/>
  <c r="BE56" i="4" l="1"/>
  <c r="BG56" i="4" s="1"/>
  <c r="C55" i="4"/>
  <c r="G56" i="4"/>
  <c r="H55" i="4"/>
  <c r="D55" i="4" s="1"/>
  <c r="C3" i="25"/>
  <c r="C6" i="25"/>
  <c r="C4" i="25"/>
  <c r="C2" i="25"/>
  <c r="C5" i="25"/>
  <c r="BE57" i="4" l="1"/>
  <c r="BG57" i="4" s="1"/>
  <c r="G57" i="4"/>
  <c r="H56" i="4"/>
  <c r="D56" i="4" s="1"/>
  <c r="C56" i="4"/>
  <c r="C19" i="25"/>
  <c r="C20" i="25"/>
  <c r="C21" i="25"/>
  <c r="BE58" i="4" l="1"/>
  <c r="BG58" i="4" s="1"/>
  <c r="G58" i="4"/>
  <c r="C57" i="4"/>
  <c r="H57" i="4"/>
  <c r="D57" i="4" s="1"/>
  <c r="C28" i="25"/>
  <c r="C26" i="25"/>
  <c r="C24" i="25"/>
  <c r="C22" i="25"/>
  <c r="BE59" i="4" l="1"/>
  <c r="BG59" i="4" s="1"/>
  <c r="C58" i="4"/>
  <c r="H58" i="4"/>
  <c r="D58" i="4" s="1"/>
  <c r="G59" i="4"/>
  <c r="C29" i="25"/>
  <c r="C25" i="25"/>
  <c r="C27" i="25"/>
  <c r="C30" i="25"/>
  <c r="C23" i="25"/>
  <c r="BE60" i="4" l="1"/>
  <c r="BG60" i="4" s="1"/>
  <c r="H59" i="4"/>
  <c r="D59" i="4" s="1"/>
  <c r="G60" i="4"/>
  <c r="C59" i="4"/>
  <c r="C13" i="25"/>
  <c r="C9" i="25"/>
  <c r="C8" i="25"/>
  <c r="C12" i="25"/>
  <c r="C11" i="25"/>
  <c r="C7" i="25"/>
  <c r="C10" i="25"/>
  <c r="BE61" i="4" l="1"/>
  <c r="BG61" i="4" s="1"/>
  <c r="C60" i="4"/>
  <c r="G61" i="4"/>
  <c r="H60" i="4"/>
  <c r="D60" i="4" s="1"/>
  <c r="C14" i="25"/>
  <c r="C15" i="25"/>
  <c r="C16" i="25"/>
  <c r="BE62" i="4" l="1"/>
  <c r="BG62" i="4" s="1"/>
  <c r="G62" i="4"/>
  <c r="H61" i="4"/>
  <c r="C61" i="4"/>
  <c r="D61" i="4"/>
  <c r="C17" i="25"/>
  <c r="C18" i="25"/>
  <c r="BE63" i="4" l="1"/>
  <c r="BG63" i="4" s="1"/>
  <c r="G63" i="4"/>
  <c r="H62" i="4"/>
  <c r="D62" i="4" s="1"/>
  <c r="C62" i="4"/>
  <c r="C40" i="25"/>
  <c r="BE64" i="4" l="1"/>
  <c r="BG64" i="4" s="1"/>
  <c r="G64" i="4"/>
  <c r="C63" i="4"/>
  <c r="H63" i="4"/>
  <c r="D63" i="4" s="1"/>
  <c r="C34" i="25"/>
  <c r="C37" i="25"/>
  <c r="C39" i="25"/>
  <c r="C33" i="25"/>
  <c r="C32" i="25"/>
  <c r="C38" i="25"/>
  <c r="C31" i="25"/>
  <c r="C35" i="25"/>
  <c r="C36" i="25"/>
  <c r="BE65" i="4" l="1"/>
  <c r="BG65" i="4" s="1"/>
  <c r="H64" i="4"/>
  <c r="D64" i="4" s="1"/>
  <c r="G65" i="4"/>
  <c r="C64" i="4"/>
  <c r="C41" i="25"/>
  <c r="C44" i="25"/>
  <c r="C42" i="25"/>
  <c r="C43" i="25"/>
  <c r="BE66" i="4" l="1"/>
  <c r="BG66" i="4" s="1"/>
  <c r="C65" i="4"/>
  <c r="G66" i="4"/>
  <c r="H65" i="4"/>
  <c r="D65" i="4" s="1"/>
  <c r="C49" i="25"/>
  <c r="C48" i="25"/>
  <c r="C46" i="25"/>
  <c r="C50" i="25"/>
  <c r="C47" i="25"/>
  <c r="C51" i="25"/>
  <c r="C45" i="25"/>
  <c r="BE67" i="4" l="1"/>
  <c r="BG67" i="4" s="1"/>
  <c r="G67" i="4"/>
  <c r="H66" i="4"/>
  <c r="D66" i="4" s="1"/>
  <c r="C66" i="4"/>
  <c r="C52" i="25"/>
  <c r="BE68" i="4" l="1"/>
  <c r="BG68" i="4" s="1"/>
  <c r="G68" i="4"/>
  <c r="C67" i="4"/>
  <c r="H67" i="4"/>
  <c r="D67" i="4" s="1"/>
  <c r="BE69" i="4" l="1"/>
  <c r="BG69" i="4" s="1"/>
  <c r="G69" i="4"/>
  <c r="H68" i="4"/>
  <c r="D68" i="4" s="1"/>
  <c r="C68" i="4"/>
  <c r="BE70" i="4" l="1"/>
  <c r="BG70" i="4" s="1"/>
  <c r="G70" i="4"/>
  <c r="C69" i="4"/>
  <c r="H69" i="4"/>
  <c r="D69" i="4" s="1"/>
  <c r="BE71" i="4" l="1"/>
  <c r="BG71" i="4" s="1"/>
  <c r="C70" i="4"/>
  <c r="H70" i="4"/>
  <c r="D70" i="4" s="1"/>
  <c r="G71" i="4"/>
  <c r="BE72" i="4" l="1"/>
  <c r="BG72" i="4" s="1"/>
  <c r="C71" i="4"/>
  <c r="G72" i="4"/>
  <c r="H71" i="4"/>
  <c r="D71" i="4" s="1"/>
  <c r="BE73" i="4" l="1"/>
  <c r="BG73" i="4" s="1"/>
  <c r="G73" i="4"/>
  <c r="C72" i="4"/>
  <c r="H72" i="4"/>
  <c r="D72" i="4" s="1"/>
  <c r="BE74" i="4" l="1"/>
  <c r="BG74" i="4" s="1"/>
  <c r="G74" i="4"/>
  <c r="C73" i="4"/>
  <c r="H73" i="4"/>
  <c r="D73" i="4" s="1"/>
  <c r="BE75" i="4" l="1"/>
  <c r="BG75" i="4" s="1"/>
  <c r="C74" i="4"/>
  <c r="G75" i="4"/>
  <c r="H74" i="4"/>
  <c r="D74" i="4" s="1"/>
  <c r="BE76" i="4" l="1"/>
  <c r="BG76" i="4" s="1"/>
  <c r="H75" i="4"/>
  <c r="D75" i="4" s="1"/>
  <c r="G76" i="4"/>
  <c r="C75" i="4"/>
  <c r="BE77" i="4" l="1"/>
  <c r="BG77" i="4" s="1"/>
  <c r="C76" i="4"/>
  <c r="G77" i="4"/>
  <c r="H76" i="4"/>
  <c r="D76" i="4" s="1"/>
  <c r="BE78" i="4" l="1"/>
  <c r="BG78" i="4" s="1"/>
  <c r="G78" i="4"/>
  <c r="C77" i="4"/>
  <c r="H77" i="4"/>
  <c r="D77" i="4" s="1"/>
  <c r="BE79" i="4" l="1"/>
  <c r="BG79" i="4" s="1"/>
  <c r="H78" i="4"/>
  <c r="D78" i="4" s="1"/>
  <c r="C78" i="4"/>
  <c r="G79" i="4"/>
  <c r="BE80" i="4" l="1"/>
  <c r="BG80" i="4" s="1"/>
  <c r="C79" i="4"/>
  <c r="G80" i="4"/>
  <c r="H79" i="4"/>
  <c r="D79" i="4" s="1"/>
  <c r="BE81" i="4" l="1"/>
  <c r="BG81" i="4" s="1"/>
  <c r="G81" i="4"/>
  <c r="H80" i="4"/>
  <c r="D80" i="4" s="1"/>
  <c r="C80" i="4"/>
  <c r="BE82" i="4" l="1"/>
  <c r="BG82" i="4" s="1"/>
  <c r="G82" i="4"/>
  <c r="H81" i="4"/>
  <c r="D81" i="4" s="1"/>
  <c r="C81" i="4"/>
  <c r="BE83" i="4" l="1"/>
  <c r="BG83" i="4" s="1"/>
  <c r="H82" i="4"/>
  <c r="D82" i="4" s="1"/>
  <c r="G83" i="4"/>
  <c r="C82" i="4"/>
  <c r="BE84" i="4" l="1"/>
  <c r="BG84" i="4" s="1"/>
  <c r="G84" i="4"/>
  <c r="C83" i="4"/>
  <c r="H83" i="4"/>
  <c r="D83" i="4" s="1"/>
  <c r="BE85" i="4" l="1"/>
  <c r="BG85" i="4" s="1"/>
  <c r="H84" i="4"/>
  <c r="D84" i="4" s="1"/>
  <c r="G85" i="4"/>
  <c r="C84" i="4"/>
  <c r="BE86" i="4" l="1"/>
  <c r="BG86" i="4" s="1"/>
  <c r="C85" i="4"/>
  <c r="G86" i="4"/>
  <c r="H85" i="4"/>
  <c r="D85" i="4" s="1"/>
  <c r="BE87" i="4" l="1"/>
  <c r="BG87" i="4" s="1"/>
  <c r="C86" i="4"/>
  <c r="G87" i="4"/>
  <c r="H86" i="4"/>
  <c r="D86" i="4" s="1"/>
  <c r="BE88" i="4" l="1"/>
  <c r="BG88" i="4" s="1"/>
  <c r="G88" i="4"/>
  <c r="H87" i="4"/>
  <c r="D87" i="4" s="1"/>
  <c r="C87" i="4"/>
  <c r="BE89" i="4" l="1"/>
  <c r="BG89" i="4" s="1"/>
  <c r="C88" i="4"/>
  <c r="G89" i="4"/>
  <c r="H88" i="4"/>
  <c r="D88" i="4" s="1"/>
  <c r="BE90" i="4" l="1"/>
  <c r="BG90" i="4" s="1"/>
  <c r="C89" i="4"/>
  <c r="G90" i="4"/>
  <c r="H89" i="4"/>
  <c r="D89" i="4" s="1"/>
  <c r="BE91" i="4" l="1"/>
  <c r="BG91" i="4" s="1"/>
  <c r="H90" i="4"/>
  <c r="D90" i="4" s="1"/>
  <c r="G91" i="4"/>
  <c r="C90" i="4"/>
  <c r="BE92" i="4" l="1"/>
  <c r="BG92" i="4" s="1"/>
  <c r="G92" i="4"/>
  <c r="C91" i="4"/>
  <c r="H91" i="4"/>
  <c r="D91" i="4" s="1"/>
  <c r="BE93" i="4" l="1"/>
  <c r="BG93" i="4" s="1"/>
  <c r="G93" i="4"/>
  <c r="C92" i="4"/>
  <c r="H92" i="4"/>
  <c r="D92" i="4" s="1"/>
  <c r="BE94" i="4" l="1"/>
  <c r="BG94" i="4" s="1"/>
  <c r="G94" i="4"/>
  <c r="C93" i="4"/>
  <c r="H93" i="4"/>
  <c r="D93" i="4" s="1"/>
  <c r="BE95" i="4" l="1"/>
  <c r="BG95" i="4" s="1"/>
  <c r="G95" i="4"/>
  <c r="C94" i="4"/>
  <c r="H94" i="4"/>
  <c r="D94" i="4" s="1"/>
  <c r="BE96" i="4" l="1"/>
  <c r="BG96" i="4" s="1"/>
  <c r="G96" i="4"/>
  <c r="C95" i="4"/>
  <c r="H95" i="4"/>
  <c r="D95" i="4" s="1"/>
  <c r="BE97" i="4" l="1"/>
  <c r="BG97" i="4" s="1"/>
  <c r="C96" i="4"/>
  <c r="H96" i="4"/>
  <c r="D96" i="4" s="1"/>
  <c r="G97" i="4"/>
  <c r="BE98" i="4" l="1"/>
  <c r="BG98" i="4" s="1"/>
  <c r="C97" i="4"/>
  <c r="G98" i="4"/>
  <c r="H97" i="4"/>
  <c r="D97" i="4" s="1"/>
  <c r="BE99" i="4" l="1"/>
  <c r="BG99" i="4" s="1"/>
  <c r="G99" i="4"/>
  <c r="C98" i="4"/>
  <c r="H98" i="4"/>
  <c r="D98" i="4" s="1"/>
  <c r="BE100" i="4" l="1"/>
  <c r="BG100" i="4" s="1"/>
  <c r="G100" i="4"/>
  <c r="H99" i="4"/>
  <c r="D99" i="4" s="1"/>
  <c r="C99" i="4"/>
  <c r="BE101" i="4" l="1"/>
  <c r="BG101" i="4" s="1"/>
  <c r="C100" i="4"/>
  <c r="H100" i="4"/>
  <c r="D100" i="4" s="1"/>
  <c r="G101" i="4"/>
  <c r="BE102" i="4" l="1"/>
  <c r="BG102" i="4" s="1"/>
  <c r="G102" i="4"/>
  <c r="H101" i="4"/>
  <c r="D101" i="4" s="1"/>
  <c r="C101" i="4"/>
  <c r="BE103" i="4" l="1"/>
  <c r="BG103" i="4" s="1"/>
  <c r="H102" i="4"/>
  <c r="D102" i="4" s="1"/>
  <c r="G103" i="4"/>
  <c r="C102" i="4"/>
  <c r="BE104" i="4" l="1"/>
  <c r="BG104" i="4" s="1"/>
  <c r="H103" i="4"/>
  <c r="G104" i="4"/>
  <c r="C103" i="4"/>
  <c r="D103" i="4"/>
  <c r="BE105" i="4" l="1"/>
  <c r="BG105" i="4" s="1"/>
  <c r="G105" i="4"/>
  <c r="H104" i="4"/>
  <c r="D104" i="4" s="1"/>
  <c r="C104" i="4"/>
  <c r="BE106" i="4" l="1"/>
  <c r="BG106" i="4" s="1"/>
  <c r="C105" i="4"/>
  <c r="G106" i="4"/>
  <c r="H105" i="4"/>
  <c r="D105" i="4"/>
  <c r="BE107" i="4" l="1"/>
  <c r="BG107" i="4" s="1"/>
  <c r="C106" i="4"/>
  <c r="H106" i="4"/>
  <c r="D106" i="4" s="1"/>
  <c r="G107" i="4"/>
  <c r="BE108" i="4" l="1"/>
  <c r="BG108" i="4" s="1"/>
  <c r="G108" i="4"/>
  <c r="H107" i="4"/>
  <c r="D107" i="4" s="1"/>
  <c r="C107" i="4"/>
  <c r="BE109" i="4" l="1"/>
  <c r="BG109" i="4" s="1"/>
  <c r="C108" i="4"/>
  <c r="G109" i="4"/>
  <c r="H108" i="4"/>
  <c r="D108" i="4" s="1"/>
  <c r="BE110" i="4" l="1"/>
  <c r="BG110" i="4" s="1"/>
  <c r="G110" i="4"/>
  <c r="C109" i="4"/>
  <c r="H109" i="4"/>
  <c r="D109" i="4" s="1"/>
  <c r="BE111" i="4" l="1"/>
  <c r="BG111" i="4" s="1"/>
  <c r="C110" i="4"/>
  <c r="G111" i="4"/>
  <c r="H110" i="4"/>
  <c r="D110" i="4" s="1"/>
  <c r="BE112" i="4" l="1"/>
  <c r="BG112" i="4" s="1"/>
  <c r="G112" i="4"/>
  <c r="C111" i="4"/>
  <c r="H111" i="4"/>
  <c r="D111" i="4" s="1"/>
  <c r="BE113" i="4" l="1"/>
  <c r="BG113" i="4" s="1"/>
  <c r="H112" i="4"/>
  <c r="D112" i="4" s="1"/>
  <c r="C112" i="4"/>
  <c r="G113" i="4"/>
  <c r="BE114" i="4" l="1"/>
  <c r="BG114" i="4" s="1"/>
  <c r="C113" i="4"/>
  <c r="G114" i="4"/>
  <c r="H113" i="4"/>
  <c r="D113" i="4" s="1"/>
  <c r="BE115" i="4" l="1"/>
  <c r="BG115" i="4" s="1"/>
  <c r="H114" i="4"/>
  <c r="D114" i="4" s="1"/>
  <c r="G115" i="4"/>
  <c r="C114" i="4"/>
  <c r="BE116" i="4" l="1"/>
  <c r="BG116" i="4" s="1"/>
  <c r="G116" i="4"/>
  <c r="H115" i="4"/>
  <c r="C115" i="4"/>
  <c r="D115" i="4"/>
  <c r="BE117" i="4" l="1"/>
  <c r="BG117" i="4" s="1"/>
  <c r="G117" i="4"/>
  <c r="C116" i="4"/>
  <c r="H116" i="4"/>
  <c r="D116" i="4" s="1"/>
  <c r="BE118" i="4" l="1"/>
  <c r="BG118" i="4" s="1"/>
  <c r="C117" i="4"/>
  <c r="G118" i="4"/>
  <c r="H117" i="4"/>
  <c r="D117" i="4" s="1"/>
  <c r="BE119" i="4" l="1"/>
  <c r="BG119" i="4" s="1"/>
  <c r="C118" i="4"/>
  <c r="G119" i="4"/>
  <c r="H118" i="4"/>
  <c r="D118" i="4" s="1"/>
  <c r="BE120" i="4" l="1"/>
  <c r="BG120" i="4" s="1"/>
  <c r="G120" i="4"/>
  <c r="C119" i="4"/>
  <c r="H119" i="4"/>
  <c r="D119" i="4" s="1"/>
  <c r="BE121" i="4" l="1"/>
  <c r="BG121" i="4" s="1"/>
  <c r="C120" i="4"/>
  <c r="G121" i="4"/>
  <c r="H120" i="4"/>
  <c r="D120" i="4" s="1"/>
  <c r="BE122" i="4" l="1"/>
  <c r="BG122" i="4" s="1"/>
  <c r="G122" i="4"/>
  <c r="C121" i="4"/>
  <c r="H121" i="4"/>
  <c r="D121" i="4" s="1"/>
  <c r="BE123" i="4" l="1"/>
  <c r="BG123" i="4" s="1"/>
  <c r="G123" i="4"/>
  <c r="C122" i="4"/>
  <c r="H122" i="4"/>
  <c r="D122" i="4" s="1"/>
  <c r="BE124" i="4" l="1"/>
  <c r="BG124" i="4" s="1"/>
  <c r="G124" i="4"/>
  <c r="C123" i="4"/>
  <c r="H123" i="4"/>
  <c r="D123" i="4" s="1"/>
  <c r="BE125" i="4" l="1"/>
  <c r="BG125" i="4" s="1"/>
  <c r="H124" i="4"/>
  <c r="D124" i="4" s="1"/>
  <c r="C124" i="4"/>
  <c r="G125" i="4"/>
  <c r="BE126" i="4" l="1"/>
  <c r="BG126" i="4" s="1"/>
  <c r="C125" i="4"/>
  <c r="H125" i="4"/>
  <c r="G126" i="4"/>
  <c r="D125" i="4"/>
  <c r="BE127" i="4" l="1"/>
  <c r="BG127" i="4" s="1"/>
  <c r="C126" i="4"/>
  <c r="G127" i="4"/>
  <c r="H126" i="4"/>
  <c r="D126" i="4" s="1"/>
  <c r="BE128" i="4" l="1"/>
  <c r="BG128" i="4" s="1"/>
  <c r="G128" i="4"/>
  <c r="C127" i="4"/>
  <c r="H127" i="4"/>
  <c r="D127" i="4" s="1"/>
  <c r="BE129" i="4" l="1"/>
  <c r="BG129" i="4" s="1"/>
  <c r="C128" i="4"/>
  <c r="G129" i="4"/>
  <c r="H128" i="4"/>
  <c r="D128" i="4" s="1"/>
  <c r="BE130" i="4" l="1"/>
  <c r="BG130" i="4" s="1"/>
  <c r="G130" i="4"/>
  <c r="H129" i="4"/>
  <c r="D129" i="4" s="1"/>
  <c r="C129" i="4"/>
  <c r="BE131" i="4" l="1"/>
  <c r="BG131" i="4" s="1"/>
  <c r="C130" i="4"/>
  <c r="H130" i="4"/>
  <c r="G131" i="4"/>
  <c r="D130" i="4"/>
  <c r="BE132" i="4" l="1"/>
  <c r="BG132" i="4" s="1"/>
  <c r="C131" i="4"/>
  <c r="G132" i="4"/>
  <c r="H131" i="4"/>
  <c r="D131" i="4" s="1"/>
  <c r="BE133" i="4" l="1"/>
  <c r="BG133" i="4" s="1"/>
  <c r="C132" i="4"/>
  <c r="G133" i="4"/>
  <c r="H132" i="4"/>
  <c r="D132" i="4" s="1"/>
  <c r="BE134" i="4" l="1"/>
  <c r="BG134" i="4" s="1"/>
  <c r="H133" i="4"/>
  <c r="C133" i="4"/>
  <c r="G134" i="4"/>
  <c r="D133" i="4"/>
  <c r="BE135" i="4" l="1"/>
  <c r="BG135" i="4" s="1"/>
  <c r="H134" i="4"/>
  <c r="D134" i="4" s="1"/>
  <c r="G135" i="4"/>
  <c r="C134" i="4"/>
  <c r="BE136" i="4" l="1"/>
  <c r="BG136" i="4" s="1"/>
  <c r="G136" i="4"/>
  <c r="H135" i="4"/>
  <c r="D135" i="4" s="1"/>
  <c r="C135" i="4"/>
  <c r="BE137" i="4" l="1"/>
  <c r="BG137" i="4" s="1"/>
  <c r="G137" i="4"/>
  <c r="C136" i="4"/>
  <c r="H136" i="4"/>
  <c r="D136" i="4" s="1"/>
  <c r="BE138" i="4" l="1"/>
  <c r="BG138" i="4" s="1"/>
  <c r="C137" i="4"/>
  <c r="G138" i="4"/>
  <c r="H137" i="4"/>
  <c r="D137" i="4" s="1"/>
  <c r="BE139" i="4" l="1"/>
  <c r="BG139" i="4" s="1"/>
  <c r="C138" i="4"/>
  <c r="G139" i="4"/>
  <c r="H138" i="4"/>
  <c r="D138" i="4" s="1"/>
  <c r="BE140" i="4" l="1"/>
  <c r="BG140" i="4" s="1"/>
  <c r="H139" i="4"/>
  <c r="C139" i="4"/>
  <c r="G140" i="4"/>
  <c r="D139" i="4"/>
  <c r="BE141" i="4" l="1"/>
  <c r="BG141" i="4" s="1"/>
  <c r="H140" i="4"/>
  <c r="D140" i="4" s="1"/>
  <c r="G141" i="4"/>
  <c r="C140" i="4"/>
  <c r="BE142" i="4" l="1"/>
  <c r="BG142" i="4" s="1"/>
  <c r="C141" i="4"/>
  <c r="G142" i="4"/>
  <c r="H141" i="4"/>
  <c r="D141" i="4" s="1"/>
  <c r="BE143" i="4" l="1"/>
  <c r="BG143" i="4" s="1"/>
  <c r="C142" i="4"/>
  <c r="G143" i="4"/>
  <c r="H142" i="4"/>
  <c r="D142" i="4" s="1"/>
  <c r="BE144" i="4" l="1"/>
  <c r="BG144" i="4" s="1"/>
  <c r="C143" i="4"/>
  <c r="G144" i="4"/>
  <c r="H143" i="4"/>
  <c r="D143" i="4" s="1"/>
  <c r="BE145" i="4" l="1"/>
  <c r="BG145" i="4" s="1"/>
  <c r="G145" i="4"/>
  <c r="C144" i="4"/>
  <c r="H144" i="4"/>
  <c r="D144" i="4" s="1"/>
  <c r="BE146" i="4" l="1"/>
  <c r="BG146" i="4" s="1"/>
  <c r="C145" i="4"/>
  <c r="H145" i="4"/>
  <c r="G146" i="4"/>
  <c r="D145" i="4"/>
  <c r="BE147" i="4" l="1"/>
  <c r="BG147" i="4" s="1"/>
  <c r="H146" i="4"/>
  <c r="G147" i="4"/>
  <c r="D146" i="4"/>
  <c r="C146" i="4"/>
  <c r="BE148" i="4" l="1"/>
  <c r="BG148" i="4" s="1"/>
  <c r="G148" i="4"/>
  <c r="C147" i="4"/>
  <c r="H147" i="4"/>
  <c r="D147" i="4" s="1"/>
  <c r="BE149" i="4" l="1"/>
  <c r="BG149" i="4" s="1"/>
  <c r="G149" i="4"/>
  <c r="H148" i="4"/>
  <c r="D148" i="4" s="1"/>
  <c r="C148" i="4"/>
  <c r="BE150" i="4" l="1"/>
  <c r="BG150" i="4" s="1"/>
  <c r="G150" i="4"/>
  <c r="H149" i="4"/>
  <c r="D149" i="4" s="1"/>
  <c r="C149" i="4"/>
  <c r="BE151" i="4" l="1"/>
  <c r="BG151" i="4" s="1"/>
  <c r="H150" i="4"/>
  <c r="D150" i="4" s="1"/>
  <c r="G151" i="4"/>
  <c r="C150" i="4"/>
  <c r="BE152" i="4" l="1"/>
  <c r="BG152" i="4" s="1"/>
  <c r="C151" i="4"/>
  <c r="H151" i="4"/>
  <c r="G152" i="4"/>
  <c r="D151" i="4"/>
  <c r="BE153" i="4" l="1"/>
  <c r="BG153" i="4" s="1"/>
  <c r="G153" i="4"/>
  <c r="C152" i="4"/>
  <c r="H152" i="4"/>
  <c r="D152" i="4" s="1"/>
  <c r="BE154" i="4" l="1"/>
  <c r="BG154" i="4" s="1"/>
  <c r="G154" i="4"/>
  <c r="H153" i="4"/>
  <c r="D153" i="4" s="1"/>
  <c r="C153" i="4"/>
  <c r="BE155" i="4" l="1"/>
  <c r="BG155" i="4" s="1"/>
  <c r="G155" i="4"/>
  <c r="H154" i="4"/>
  <c r="D154" i="4" s="1"/>
  <c r="C154" i="4"/>
  <c r="BE156" i="4" l="1"/>
  <c r="BG156" i="4" s="1"/>
  <c r="G156" i="4"/>
  <c r="C155" i="4"/>
  <c r="H155" i="4"/>
  <c r="D155" i="4" s="1"/>
  <c r="BE157" i="4" l="1"/>
  <c r="BG157" i="4" s="1"/>
  <c r="G157" i="4"/>
  <c r="C156" i="4"/>
  <c r="H156" i="4"/>
  <c r="D156" i="4" s="1"/>
  <c r="BE158" i="4" l="1"/>
  <c r="BG158" i="4" s="1"/>
  <c r="H157" i="4"/>
  <c r="G158" i="4"/>
  <c r="D157" i="4"/>
  <c r="C157" i="4"/>
  <c r="BE159" i="4" l="1"/>
  <c r="BG159" i="4" s="1"/>
  <c r="G159" i="4"/>
  <c r="C158" i="4"/>
  <c r="H158" i="4"/>
  <c r="D158" i="4" s="1"/>
  <c r="BE160" i="4" l="1"/>
  <c r="BG160" i="4" s="1"/>
  <c r="G160" i="4"/>
  <c r="C159" i="4"/>
  <c r="H159" i="4"/>
  <c r="D159" i="4" s="1"/>
  <c r="BE161" i="4" l="1"/>
  <c r="BG161" i="4" s="1"/>
  <c r="H160" i="4"/>
  <c r="D160" i="4" s="1"/>
  <c r="G161" i="4"/>
  <c r="C160" i="4"/>
  <c r="BE162" i="4" l="1"/>
  <c r="BG162" i="4" s="1"/>
  <c r="G162" i="4"/>
  <c r="C161" i="4"/>
  <c r="H161" i="4"/>
  <c r="D161" i="4" s="1"/>
  <c r="BE163" i="4" l="1"/>
  <c r="BG163" i="4" s="1"/>
  <c r="H162" i="4"/>
  <c r="D162" i="4" s="1"/>
  <c r="C162" i="4"/>
  <c r="G163" i="4"/>
  <c r="BE164" i="4" l="1"/>
  <c r="BG164" i="4" s="1"/>
  <c r="H163" i="4"/>
  <c r="D163" i="4" s="1"/>
  <c r="G164" i="4"/>
  <c r="C163" i="4"/>
  <c r="BE165" i="4" l="1"/>
  <c r="BG165" i="4" s="1"/>
  <c r="G165" i="4"/>
  <c r="H164" i="4"/>
  <c r="D164" i="4" s="1"/>
  <c r="C164" i="4"/>
  <c r="BE166" i="4" l="1"/>
  <c r="BG166" i="4" s="1"/>
  <c r="H165" i="4"/>
  <c r="D165" i="4" s="1"/>
  <c r="G166" i="4"/>
  <c r="C165" i="4"/>
  <c r="BE167" i="4" l="1"/>
  <c r="BG167" i="4" s="1"/>
  <c r="H166" i="4"/>
  <c r="D166" i="4" s="1"/>
  <c r="G167" i="4"/>
  <c r="C166" i="4"/>
  <c r="BE168" i="4" l="1"/>
  <c r="BG168" i="4" s="1"/>
  <c r="G168" i="4"/>
  <c r="C167" i="4"/>
  <c r="H167" i="4"/>
  <c r="D167" i="4" s="1"/>
  <c r="BE169" i="4" l="1"/>
  <c r="BG169" i="4" s="1"/>
  <c r="G169" i="4"/>
  <c r="H168" i="4"/>
  <c r="D168" i="4" s="1"/>
  <c r="C168" i="4"/>
  <c r="BE170" i="4" l="1"/>
  <c r="BG170" i="4" s="1"/>
  <c r="H169" i="4"/>
  <c r="D169" i="4" s="1"/>
  <c r="G170" i="4"/>
  <c r="C169" i="4"/>
  <c r="BE171" i="4" l="1"/>
  <c r="BG171" i="4" s="1"/>
  <c r="G171" i="4"/>
  <c r="H170" i="4"/>
  <c r="D170" i="4" s="1"/>
  <c r="C170" i="4"/>
  <c r="BE172" i="4" l="1"/>
  <c r="BG172" i="4" s="1"/>
  <c r="H171" i="4"/>
  <c r="D171" i="4" s="1"/>
  <c r="G172" i="4"/>
  <c r="C171" i="4"/>
  <c r="BE173" i="4" l="1"/>
  <c r="BG173" i="4" s="1"/>
  <c r="H172" i="4"/>
  <c r="D172" i="4" s="1"/>
  <c r="G173" i="4"/>
  <c r="C172" i="4"/>
  <c r="BE174" i="4" l="1"/>
  <c r="BG174" i="4" s="1"/>
  <c r="H173" i="4"/>
  <c r="D173" i="4" s="1"/>
  <c r="G174" i="4"/>
  <c r="C173" i="4"/>
  <c r="BE175" i="4" l="1"/>
  <c r="BG175" i="4" s="1"/>
  <c r="H174" i="4"/>
  <c r="D174" i="4" s="1"/>
  <c r="G175" i="4"/>
  <c r="C174" i="4"/>
  <c r="BE176" i="4" l="1"/>
  <c r="BG176" i="4" s="1"/>
  <c r="G176" i="4"/>
  <c r="C175" i="4"/>
  <c r="H175" i="4"/>
  <c r="D175" i="4" s="1"/>
  <c r="BE177" i="4" l="1"/>
  <c r="BG177" i="4" s="1"/>
  <c r="G177" i="4"/>
  <c r="C176" i="4"/>
  <c r="H176" i="4"/>
  <c r="D176" i="4" s="1"/>
  <c r="BE178" i="4" l="1"/>
  <c r="BG178" i="4" s="1"/>
  <c r="G178" i="4"/>
  <c r="C177" i="4"/>
  <c r="H177" i="4"/>
  <c r="D177" i="4" s="1"/>
  <c r="BE179" i="4" l="1"/>
  <c r="BG179" i="4" s="1"/>
  <c r="G179" i="4"/>
  <c r="C178" i="4"/>
  <c r="H178" i="4"/>
  <c r="D178" i="4" s="1"/>
  <c r="BE180" i="4" l="1"/>
  <c r="BG180" i="4" s="1"/>
  <c r="G180" i="4"/>
  <c r="C179" i="4"/>
  <c r="H179" i="4"/>
  <c r="D179" i="4" s="1"/>
  <c r="BE181" i="4" l="1"/>
  <c r="BG181" i="4" s="1"/>
  <c r="G181" i="4"/>
  <c r="H180" i="4"/>
  <c r="D180" i="4" s="1"/>
  <c r="C180" i="4"/>
  <c r="BE182" i="4" l="1"/>
  <c r="BG182" i="4" s="1"/>
  <c r="G182" i="4"/>
  <c r="C181" i="4"/>
  <c r="H181" i="4"/>
  <c r="D181" i="4" s="1"/>
  <c r="BE183" i="4" l="1"/>
  <c r="BG183" i="4" s="1"/>
  <c r="G183" i="4"/>
  <c r="H182" i="4"/>
  <c r="D182" i="4" s="1"/>
  <c r="C182" i="4"/>
  <c r="BE184" i="4" l="1"/>
  <c r="BG184" i="4" s="1"/>
  <c r="C183" i="4"/>
  <c r="H183" i="4"/>
  <c r="D183" i="4" s="1"/>
  <c r="G184" i="4"/>
  <c r="BE185" i="4" l="1"/>
  <c r="BG185" i="4" s="1"/>
  <c r="C184" i="4"/>
  <c r="G185" i="4"/>
  <c r="H184" i="4"/>
  <c r="D184" i="4" s="1"/>
  <c r="BE186" i="4" l="1"/>
  <c r="BG186" i="4" s="1"/>
  <c r="C185" i="4"/>
  <c r="G186" i="4"/>
  <c r="H185" i="4"/>
  <c r="D185" i="4" s="1"/>
  <c r="BE187" i="4" l="1"/>
  <c r="BG187" i="4" s="1"/>
  <c r="H186" i="4"/>
  <c r="D186" i="4" s="1"/>
  <c r="G187" i="4"/>
  <c r="C186" i="4"/>
  <c r="BE188" i="4" l="1"/>
  <c r="BG188" i="4" s="1"/>
  <c r="G188" i="4"/>
  <c r="C187" i="4"/>
  <c r="H187" i="4"/>
  <c r="D187" i="4" s="1"/>
  <c r="BE189" i="4" l="1"/>
  <c r="BG189" i="4" s="1"/>
  <c r="H188" i="4"/>
  <c r="D188" i="4" s="1"/>
  <c r="G189" i="4"/>
  <c r="C188" i="4"/>
  <c r="BE190" i="4" l="1"/>
  <c r="BG190" i="4" s="1"/>
  <c r="G190" i="4"/>
  <c r="H189" i="4"/>
  <c r="D189" i="4" s="1"/>
  <c r="C189" i="4"/>
  <c r="BE191" i="4" l="1"/>
  <c r="BG191" i="4" s="1"/>
  <c r="G191" i="4"/>
  <c r="C190" i="4"/>
  <c r="H190" i="4"/>
  <c r="D190" i="4" s="1"/>
  <c r="BE192" i="4" l="1"/>
  <c r="BG192" i="4" s="1"/>
  <c r="G192" i="4"/>
  <c r="H191" i="4"/>
  <c r="D191" i="4" s="1"/>
  <c r="C191" i="4"/>
  <c r="BE193" i="4" l="1"/>
  <c r="BG193" i="4" s="1"/>
  <c r="G193" i="4"/>
  <c r="C192" i="4"/>
  <c r="H192" i="4"/>
  <c r="D192" i="4" s="1"/>
  <c r="BE194" i="4" l="1"/>
  <c r="BG194" i="4" s="1"/>
  <c r="G194" i="4"/>
  <c r="C193" i="4"/>
  <c r="H193" i="4"/>
  <c r="D193" i="4" s="1"/>
  <c r="BE195" i="4" l="1"/>
  <c r="BG195" i="4" s="1"/>
  <c r="C194" i="4"/>
  <c r="G195" i="4"/>
  <c r="H194" i="4"/>
  <c r="D194" i="4" s="1"/>
  <c r="BE196" i="4" l="1"/>
  <c r="BG196" i="4" s="1"/>
  <c r="H195" i="4"/>
  <c r="D195" i="4" s="1"/>
  <c r="G196" i="4"/>
  <c r="C195" i="4"/>
  <c r="BE197" i="4" l="1"/>
  <c r="BG197" i="4" s="1"/>
  <c r="G197" i="4"/>
  <c r="H196" i="4"/>
  <c r="D196" i="4" s="1"/>
  <c r="C196" i="4"/>
  <c r="BE198" i="4" l="1"/>
  <c r="BG198" i="4" s="1"/>
  <c r="C197" i="4"/>
  <c r="G198" i="4"/>
  <c r="H197" i="4"/>
  <c r="D197" i="4" s="1"/>
  <c r="BE199" i="4" l="1"/>
  <c r="BG199" i="4" s="1"/>
  <c r="G199" i="4"/>
  <c r="H198" i="4"/>
  <c r="D198" i="4" s="1"/>
  <c r="C198" i="4"/>
  <c r="BE200" i="4" l="1"/>
  <c r="BG200" i="4" s="1"/>
  <c r="G200" i="4"/>
  <c r="C199" i="4"/>
  <c r="H199" i="4"/>
  <c r="D199" i="4" s="1"/>
  <c r="BE201" i="4" l="1"/>
  <c r="BG201" i="4" s="1"/>
  <c r="G201" i="4"/>
  <c r="C200" i="4"/>
  <c r="H200" i="4"/>
  <c r="D200" i="4" s="1"/>
  <c r="BE202" i="4" l="1"/>
  <c r="BG202" i="4" s="1"/>
  <c r="G202" i="4"/>
  <c r="H201" i="4"/>
  <c r="D201" i="4" s="1"/>
  <c r="C201" i="4"/>
  <c r="BE203" i="4" l="1"/>
  <c r="BG203" i="4" s="1"/>
  <c r="G203" i="4"/>
  <c r="C202" i="4"/>
  <c r="H202" i="4"/>
  <c r="D202" i="4" s="1"/>
  <c r="BE204" i="4" l="1"/>
  <c r="BG204" i="4" s="1"/>
  <c r="G204" i="4"/>
  <c r="C203" i="4"/>
  <c r="H203" i="4"/>
  <c r="D203" i="4" s="1"/>
  <c r="BE205" i="4" l="1"/>
  <c r="BG205" i="4" s="1"/>
  <c r="G205" i="4"/>
  <c r="C204" i="4"/>
  <c r="H204" i="4"/>
  <c r="D204" i="4" s="1"/>
  <c r="BE206" i="4" l="1"/>
  <c r="BG206" i="4" s="1"/>
  <c r="G206" i="4"/>
  <c r="C205" i="4"/>
  <c r="H205" i="4"/>
  <c r="D205" i="4" s="1"/>
  <c r="BE207" i="4" l="1"/>
  <c r="BG207" i="4" s="1"/>
  <c r="G207" i="4"/>
  <c r="H206" i="4"/>
  <c r="D206" i="4" s="1"/>
  <c r="C206" i="4"/>
  <c r="BE208" i="4" l="1"/>
  <c r="BG208" i="4" s="1"/>
  <c r="G208" i="4"/>
  <c r="C207" i="4"/>
  <c r="H207" i="4"/>
  <c r="D207" i="4"/>
  <c r="BE209" i="4" l="1"/>
  <c r="BG209" i="4" s="1"/>
  <c r="C208" i="4"/>
  <c r="H208" i="4"/>
  <c r="D208" i="4" s="1"/>
  <c r="G209" i="4"/>
  <c r="BE210" i="4" l="1"/>
  <c r="BG210" i="4" s="1"/>
  <c r="H209" i="4"/>
  <c r="C209" i="4"/>
  <c r="G210" i="4"/>
  <c r="D209" i="4"/>
  <c r="BE211" i="4" l="1"/>
  <c r="BG211" i="4" s="1"/>
  <c r="G211" i="4"/>
  <c r="H210" i="4"/>
  <c r="D210" i="4" s="1"/>
  <c r="C210" i="4"/>
  <c r="BE212" i="4" l="1"/>
  <c r="BG212" i="4" s="1"/>
  <c r="G212" i="4"/>
  <c r="C211" i="4"/>
  <c r="H211" i="4"/>
  <c r="D211" i="4" s="1"/>
  <c r="BE213" i="4" l="1"/>
  <c r="BG213" i="4" s="1"/>
  <c r="G213" i="4"/>
  <c r="H212" i="4"/>
  <c r="D212" i="4" s="1"/>
  <c r="C212" i="4"/>
  <c r="BE214" i="4" l="1"/>
  <c r="BG214" i="4" s="1"/>
  <c r="G214" i="4"/>
  <c r="H213" i="4"/>
  <c r="D213" i="4" s="1"/>
  <c r="C213" i="4"/>
  <c r="BE215" i="4" l="1"/>
  <c r="BG215" i="4" s="1"/>
  <c r="G215" i="4"/>
  <c r="H214" i="4"/>
  <c r="D214" i="4" s="1"/>
  <c r="C214" i="4"/>
  <c r="BE216" i="4" l="1"/>
  <c r="BG216" i="4" s="1"/>
  <c r="H215" i="4"/>
  <c r="D215" i="4" s="1"/>
  <c r="C215" i="4"/>
  <c r="G216" i="4"/>
  <c r="BE217" i="4" l="1"/>
  <c r="BG217" i="4" s="1"/>
  <c r="H216" i="4"/>
  <c r="G217" i="4"/>
  <c r="C216" i="4"/>
  <c r="D216" i="4"/>
  <c r="BE218" i="4" l="1"/>
  <c r="BG218" i="4" s="1"/>
  <c r="G218" i="4"/>
  <c r="C217" i="4"/>
  <c r="H217" i="4"/>
  <c r="D217" i="4" s="1"/>
  <c r="BE219" i="4" l="1"/>
  <c r="BG219" i="4" s="1"/>
  <c r="H218" i="4"/>
  <c r="D218" i="4" s="1"/>
  <c r="G219" i="4"/>
  <c r="C218" i="4"/>
  <c r="BE220" i="4" l="1"/>
  <c r="BG220" i="4" s="1"/>
  <c r="C219" i="4"/>
  <c r="G220" i="4"/>
  <c r="H219" i="4"/>
  <c r="D219" i="4" s="1"/>
  <c r="BE221" i="4" l="1"/>
  <c r="BG221" i="4" s="1"/>
  <c r="C220" i="4"/>
  <c r="G221" i="4"/>
  <c r="H220" i="4"/>
  <c r="D220" i="4" s="1"/>
  <c r="BE222" i="4" l="1"/>
  <c r="BG222" i="4" s="1"/>
  <c r="H221" i="4"/>
  <c r="C221" i="4"/>
  <c r="G222" i="4"/>
  <c r="D221" i="4"/>
  <c r="BE223" i="4" l="1"/>
  <c r="BG223" i="4" s="1"/>
  <c r="G223" i="4"/>
  <c r="H222" i="4"/>
  <c r="D222" i="4" s="1"/>
  <c r="C222" i="4"/>
  <c r="BE224" i="4" l="1"/>
  <c r="BG224" i="4" s="1"/>
  <c r="C223" i="4"/>
  <c r="G224" i="4"/>
  <c r="H223" i="4"/>
  <c r="D223" i="4" s="1"/>
  <c r="BE225" i="4" l="1"/>
  <c r="BG225" i="4" s="1"/>
  <c r="G225" i="4"/>
  <c r="C224" i="4"/>
  <c r="H224" i="4"/>
  <c r="D224" i="4" s="1"/>
  <c r="BE226" i="4" l="1"/>
  <c r="BG226" i="4" s="1"/>
  <c r="G226" i="4"/>
  <c r="H225" i="4"/>
  <c r="D225" i="4" s="1"/>
  <c r="C225" i="4"/>
  <c r="BE227" i="4" l="1"/>
  <c r="BG227" i="4" s="1"/>
  <c r="G227" i="4"/>
  <c r="H226" i="4"/>
  <c r="D226" i="4" s="1"/>
  <c r="C226" i="4"/>
  <c r="BE228" i="4" l="1"/>
  <c r="BG228" i="4" s="1"/>
  <c r="H227" i="4"/>
  <c r="C227" i="4"/>
  <c r="G228" i="4"/>
  <c r="D227" i="4"/>
  <c r="BE229" i="4" l="1"/>
  <c r="BG229" i="4" s="1"/>
  <c r="H228" i="4"/>
  <c r="D228" i="4" s="1"/>
  <c r="C228" i="4"/>
  <c r="G229" i="4"/>
  <c r="BE230" i="4" l="1"/>
  <c r="BG230" i="4" s="1"/>
  <c r="C229" i="4"/>
  <c r="G230" i="4"/>
  <c r="H229" i="4"/>
  <c r="D229" i="4" s="1"/>
  <c r="BE231" i="4" l="1"/>
  <c r="BG231" i="4" s="1"/>
  <c r="G231" i="4"/>
  <c r="H230" i="4"/>
  <c r="D230" i="4" s="1"/>
  <c r="C230" i="4"/>
  <c r="BE232" i="4" l="1"/>
  <c r="BG232" i="4" s="1"/>
  <c r="G232" i="4"/>
  <c r="H231" i="4"/>
  <c r="D231" i="4" s="1"/>
  <c r="C231" i="4"/>
  <c r="BE233" i="4" l="1"/>
  <c r="BG233" i="4" s="1"/>
  <c r="H232" i="4"/>
  <c r="D232" i="4" s="1"/>
  <c r="G233" i="4"/>
  <c r="C232" i="4"/>
  <c r="BE234" i="4" l="1"/>
  <c r="BG234" i="4" s="1"/>
  <c r="H233" i="4"/>
  <c r="D233" i="4" s="1"/>
  <c r="C233" i="4"/>
  <c r="G234" i="4"/>
  <c r="BE235" i="4" l="1"/>
  <c r="BG235" i="4" s="1"/>
  <c r="G235" i="4"/>
  <c r="C234" i="4"/>
  <c r="H234" i="4"/>
  <c r="D234" i="4" s="1"/>
  <c r="BE236" i="4" l="1"/>
  <c r="BG236" i="4" s="1"/>
  <c r="H235" i="4"/>
  <c r="D235" i="4" s="1"/>
  <c r="G236" i="4"/>
  <c r="C235" i="4"/>
  <c r="BE237" i="4" l="1"/>
  <c r="BG237" i="4" s="1"/>
  <c r="G237" i="4"/>
  <c r="C236" i="4"/>
  <c r="H236" i="4"/>
  <c r="D236" i="4" s="1"/>
  <c r="BE238" i="4" l="1"/>
  <c r="BG238" i="4" s="1"/>
  <c r="G238" i="4"/>
  <c r="C237" i="4"/>
  <c r="H237" i="4"/>
  <c r="D237" i="4" s="1"/>
  <c r="BE239" i="4" l="1"/>
  <c r="BG239" i="4" s="1"/>
  <c r="G239" i="4"/>
  <c r="C238" i="4"/>
  <c r="H238" i="4"/>
  <c r="D238" i="4" s="1"/>
  <c r="BE240" i="4" l="1"/>
  <c r="BG240" i="4" s="1"/>
  <c r="H239" i="4"/>
  <c r="D239" i="4" s="1"/>
  <c r="C239" i="4"/>
  <c r="G240" i="4"/>
  <c r="BE241" i="4" l="1"/>
  <c r="BG241" i="4" s="1"/>
  <c r="H240" i="4"/>
  <c r="D240" i="4" s="1"/>
  <c r="C240" i="4"/>
  <c r="G241" i="4"/>
  <c r="BE242" i="4" l="1"/>
  <c r="BG242" i="4" s="1"/>
  <c r="G242" i="4"/>
  <c r="H241" i="4"/>
  <c r="D241" i="4" s="1"/>
  <c r="C241" i="4"/>
  <c r="BE243" i="4" l="1"/>
  <c r="BG243" i="4" s="1"/>
  <c r="C242" i="4"/>
  <c r="G243" i="4"/>
  <c r="H242" i="4"/>
  <c r="D242" i="4" s="1"/>
  <c r="BE244" i="4" l="1"/>
  <c r="BG244" i="4" s="1"/>
  <c r="H243" i="4"/>
  <c r="D243" i="4" s="1"/>
  <c r="G244" i="4"/>
  <c r="C243" i="4"/>
  <c r="BE245" i="4" l="1"/>
  <c r="BG245" i="4" s="1"/>
  <c r="C244" i="4"/>
  <c r="G245" i="4"/>
  <c r="H244" i="4"/>
  <c r="D244" i="4" s="1"/>
  <c r="BE246" i="4" l="1"/>
  <c r="BG246" i="4" s="1"/>
  <c r="H245" i="4"/>
  <c r="D245" i="4" s="1"/>
  <c r="C245" i="4"/>
  <c r="G246" i="4"/>
  <c r="BE247" i="4" l="1"/>
  <c r="BG247" i="4" s="1"/>
  <c r="H246" i="4"/>
  <c r="D246" i="4" s="1"/>
  <c r="C246" i="4"/>
  <c r="G247" i="4"/>
  <c r="BE248" i="4" l="1"/>
  <c r="BG248" i="4" s="1"/>
  <c r="H247" i="4"/>
  <c r="D247" i="4" s="1"/>
  <c r="C247" i="4"/>
  <c r="G248" i="4"/>
  <c r="BE249" i="4" l="1"/>
  <c r="BG249" i="4" s="1"/>
  <c r="C248" i="4"/>
  <c r="G249" i="4"/>
  <c r="H248" i="4"/>
  <c r="D248" i="4" s="1"/>
  <c r="BE250" i="4" l="1"/>
  <c r="BG250" i="4" s="1"/>
  <c r="H249" i="4"/>
  <c r="G250" i="4"/>
  <c r="D249" i="4"/>
  <c r="C249" i="4"/>
  <c r="BE251" i="4" l="1"/>
  <c r="BG251" i="4" s="1"/>
  <c r="G251" i="4"/>
  <c r="C250" i="4"/>
  <c r="H250" i="4"/>
  <c r="D250" i="4" s="1"/>
  <c r="BE252" i="4" l="1"/>
  <c r="BG252" i="4" s="1"/>
  <c r="H251" i="4"/>
  <c r="D251" i="4" s="1"/>
  <c r="C251" i="4"/>
  <c r="G252" i="4"/>
  <c r="BE253" i="4" l="1"/>
  <c r="BG253" i="4" s="1"/>
  <c r="C252" i="4"/>
  <c r="G253" i="4"/>
  <c r="H252" i="4"/>
  <c r="D252" i="4" s="1"/>
  <c r="BE254" i="4" l="1"/>
  <c r="BG254" i="4" s="1"/>
  <c r="C253" i="4"/>
  <c r="G254" i="4"/>
  <c r="H253" i="4"/>
  <c r="D253" i="4" s="1"/>
  <c r="BE255" i="4" l="1"/>
  <c r="BG255" i="4" s="1"/>
  <c r="H254" i="4"/>
  <c r="G255" i="4"/>
  <c r="C254" i="4"/>
  <c r="D254" i="4"/>
  <c r="BE256" i="4" l="1"/>
  <c r="BG256" i="4" s="1"/>
  <c r="G256" i="4"/>
  <c r="H255" i="4"/>
  <c r="D255" i="4" s="1"/>
  <c r="C255" i="4"/>
  <c r="BE257" i="4" l="1"/>
  <c r="BG257" i="4" s="1"/>
  <c r="G257" i="4"/>
  <c r="C256" i="4"/>
  <c r="H256" i="4"/>
  <c r="D256" i="4" s="1"/>
  <c r="BE258" i="4" l="1"/>
  <c r="BG258" i="4" s="1"/>
  <c r="H257" i="4"/>
  <c r="D257" i="4" s="1"/>
  <c r="G258" i="4"/>
  <c r="C257" i="4"/>
  <c r="BE259" i="4" l="1"/>
  <c r="BG259" i="4" s="1"/>
  <c r="G259" i="4"/>
  <c r="C258" i="4"/>
  <c r="H258" i="4"/>
  <c r="D258" i="4" s="1"/>
  <c r="BE260" i="4" l="1"/>
  <c r="BG260" i="4" s="1"/>
  <c r="C259" i="4"/>
  <c r="G260" i="4"/>
  <c r="H259" i="4"/>
  <c r="D259" i="4" s="1"/>
  <c r="BE261" i="4" l="1"/>
  <c r="BG261" i="4" s="1"/>
  <c r="H260" i="4"/>
  <c r="C260" i="4"/>
  <c r="G261" i="4"/>
  <c r="D260" i="4"/>
  <c r="BE262" i="4" l="1"/>
  <c r="BG262" i="4" s="1"/>
  <c r="G262" i="4"/>
  <c r="C261" i="4"/>
  <c r="H261" i="4"/>
  <c r="D261" i="4" s="1"/>
  <c r="BE263" i="4" l="1"/>
  <c r="BG263" i="4" s="1"/>
  <c r="G263" i="4"/>
  <c r="C262" i="4"/>
  <c r="H262" i="4"/>
  <c r="D262" i="4" s="1"/>
  <c r="BE264" i="4" l="1"/>
  <c r="BG264" i="4" s="1"/>
  <c r="C263" i="4"/>
  <c r="H263" i="4"/>
  <c r="D263" i="4" s="1"/>
  <c r="G264" i="4"/>
  <c r="BE265" i="4" l="1"/>
  <c r="BG265" i="4" s="1"/>
  <c r="C264" i="4"/>
  <c r="G265" i="4"/>
  <c r="H264" i="4"/>
  <c r="D264" i="4" s="1"/>
  <c r="BE266" i="4" l="1"/>
  <c r="BG266" i="4" s="1"/>
  <c r="H265" i="4"/>
  <c r="D265" i="4" s="1"/>
  <c r="G266" i="4"/>
  <c r="C265" i="4"/>
  <c r="BE267" i="4" l="1"/>
  <c r="BG267" i="4" s="1"/>
  <c r="H266" i="4"/>
  <c r="C266" i="4"/>
  <c r="G267" i="4"/>
  <c r="D266" i="4"/>
  <c r="BE268" i="4" l="1"/>
  <c r="BG268" i="4" s="1"/>
  <c r="H267" i="4"/>
  <c r="D267" i="4" s="1"/>
  <c r="G268" i="4"/>
  <c r="C267" i="4"/>
  <c r="BE269" i="4" l="1"/>
  <c r="BG269" i="4" s="1"/>
  <c r="C268" i="4"/>
  <c r="G269" i="4"/>
  <c r="H268" i="4"/>
  <c r="D268" i="4" s="1"/>
  <c r="BE270" i="4" l="1"/>
  <c r="BG270" i="4" s="1"/>
  <c r="C269" i="4"/>
  <c r="G270" i="4"/>
  <c r="H269" i="4"/>
  <c r="D269" i="4" s="1"/>
  <c r="BE271" i="4" l="1"/>
  <c r="BG271" i="4" s="1"/>
  <c r="C270" i="4"/>
  <c r="G271" i="4"/>
  <c r="H270" i="4"/>
  <c r="D270" i="4" s="1"/>
  <c r="BE272" i="4" l="1"/>
  <c r="BG272" i="4" s="1"/>
  <c r="H271" i="4"/>
  <c r="D271" i="4" s="1"/>
  <c r="G272" i="4"/>
  <c r="C271" i="4"/>
  <c r="BE273" i="4" l="1"/>
  <c r="BG273" i="4" s="1"/>
  <c r="C272" i="4"/>
  <c r="G273" i="4"/>
  <c r="H272" i="4"/>
  <c r="D272" i="4" s="1"/>
  <c r="BE274" i="4" l="1"/>
  <c r="BG274" i="4" s="1"/>
  <c r="H273" i="4"/>
  <c r="C273" i="4"/>
  <c r="D273" i="4"/>
  <c r="G274" i="4"/>
  <c r="BE275" i="4" l="1"/>
  <c r="BG275" i="4" s="1"/>
  <c r="H274" i="4"/>
  <c r="D274" i="4" s="1"/>
  <c r="G275" i="4"/>
  <c r="C274" i="4"/>
  <c r="BE276" i="4" l="1"/>
  <c r="BG276" i="4" s="1"/>
  <c r="G276" i="4"/>
  <c r="C275" i="4"/>
  <c r="H275" i="4"/>
  <c r="D275" i="4" s="1"/>
  <c r="BE277" i="4" l="1"/>
  <c r="BG277" i="4" s="1"/>
  <c r="H276" i="4"/>
  <c r="G277" i="4"/>
  <c r="D276" i="4"/>
  <c r="C276" i="4"/>
  <c r="BE278" i="4" l="1"/>
  <c r="BG278" i="4" s="1"/>
  <c r="C277" i="4"/>
  <c r="G278" i="4"/>
  <c r="H277" i="4"/>
  <c r="D277" i="4" s="1"/>
  <c r="BE279" i="4" l="1"/>
  <c r="BG279" i="4" s="1"/>
  <c r="G279" i="4"/>
  <c r="H278" i="4"/>
  <c r="D278" i="4" s="1"/>
  <c r="C278" i="4"/>
  <c r="BE280" i="4" l="1"/>
  <c r="BG280" i="4" s="1"/>
  <c r="C279" i="4"/>
  <c r="H279" i="4"/>
  <c r="D279" i="4" s="1"/>
  <c r="G280" i="4"/>
  <c r="BE281" i="4" l="1"/>
  <c r="BG281" i="4" s="1"/>
  <c r="H280" i="4"/>
  <c r="C280" i="4"/>
  <c r="D280" i="4"/>
  <c r="G281" i="4"/>
  <c r="BE282" i="4" l="1"/>
  <c r="BG282" i="4" s="1"/>
  <c r="H281" i="4"/>
  <c r="D281" i="4" s="1"/>
  <c r="G282" i="4"/>
  <c r="C281" i="4"/>
  <c r="BE283" i="4" l="1"/>
  <c r="BG283" i="4" s="1"/>
  <c r="G283" i="4"/>
  <c r="C282" i="4"/>
  <c r="H282" i="4"/>
  <c r="D282" i="4" s="1"/>
  <c r="BE284" i="4" l="1"/>
  <c r="BG284" i="4" s="1"/>
  <c r="C283" i="4"/>
  <c r="G284" i="4"/>
  <c r="H283" i="4"/>
  <c r="D283" i="4" s="1"/>
  <c r="BE285" i="4" l="1"/>
  <c r="BG285" i="4" s="1"/>
  <c r="H284" i="4"/>
  <c r="C284" i="4"/>
  <c r="G285" i="4"/>
  <c r="D284" i="4"/>
  <c r="BE286" i="4" l="1"/>
  <c r="BG286" i="4" s="1"/>
  <c r="H285" i="4"/>
  <c r="D285" i="4" s="1"/>
  <c r="G286" i="4"/>
  <c r="C285" i="4"/>
  <c r="BE287" i="4" l="1"/>
  <c r="BG287" i="4" s="1"/>
  <c r="H286" i="4"/>
  <c r="G287" i="4"/>
  <c r="C286" i="4"/>
  <c r="D286" i="4"/>
  <c r="BE288" i="4" l="1"/>
  <c r="BG288" i="4" s="1"/>
  <c r="H287" i="4"/>
  <c r="D287" i="4" s="1"/>
  <c r="G288" i="4"/>
  <c r="C287" i="4"/>
  <c r="BE289" i="4" l="1"/>
  <c r="BG289" i="4" s="1"/>
  <c r="H288" i="4"/>
  <c r="D288" i="4" s="1"/>
  <c r="G289" i="4"/>
  <c r="C288" i="4"/>
  <c r="BE290" i="4" l="1"/>
  <c r="BG290" i="4" s="1"/>
  <c r="G290" i="4"/>
  <c r="C289" i="4"/>
  <c r="H289" i="4"/>
  <c r="D289" i="4" s="1"/>
  <c r="BE291" i="4" l="1"/>
  <c r="BG291" i="4" s="1"/>
  <c r="G291" i="4"/>
  <c r="H290" i="4"/>
  <c r="D290" i="4" s="1"/>
  <c r="C290" i="4"/>
  <c r="BE292" i="4" l="1"/>
  <c r="BG292" i="4" s="1"/>
  <c r="G292" i="4"/>
  <c r="C291" i="4"/>
  <c r="H291" i="4"/>
  <c r="D291" i="4" s="1"/>
  <c r="BE293" i="4" l="1"/>
  <c r="BG293" i="4" s="1"/>
  <c r="H292" i="4"/>
  <c r="D292" i="4" s="1"/>
  <c r="C292" i="4"/>
  <c r="G293" i="4"/>
  <c r="BE294" i="4" l="1"/>
  <c r="BG294" i="4" s="1"/>
  <c r="G294" i="4"/>
  <c r="C293" i="4"/>
  <c r="H293" i="4"/>
  <c r="D293" i="4" s="1"/>
  <c r="BE295" i="4" l="1"/>
  <c r="BG295" i="4" s="1"/>
  <c r="G295" i="4"/>
  <c r="C294" i="4"/>
  <c r="H294" i="4"/>
  <c r="D294" i="4" s="1"/>
  <c r="BE296" i="4" l="1"/>
  <c r="BG296" i="4" s="1"/>
  <c r="G296" i="4"/>
  <c r="H295" i="4"/>
  <c r="C295" i="4"/>
  <c r="D295" i="4"/>
  <c r="BE297" i="4" l="1"/>
  <c r="BG297" i="4" s="1"/>
  <c r="H296" i="4"/>
  <c r="D296" i="4" s="1"/>
  <c r="C296" i="4"/>
  <c r="G297" i="4"/>
  <c r="BE298" i="4" l="1"/>
  <c r="BG298" i="4" s="1"/>
  <c r="G298" i="4"/>
  <c r="C297" i="4"/>
  <c r="H297" i="4"/>
  <c r="D297" i="4" s="1"/>
  <c r="BE299" i="4" l="1"/>
  <c r="BG299" i="4" s="1"/>
  <c r="H298" i="4"/>
  <c r="G299" i="4"/>
  <c r="D298" i="4"/>
  <c r="C298" i="4"/>
  <c r="BE300" i="4" l="1"/>
  <c r="BG300" i="4" s="1"/>
  <c r="G300" i="4"/>
  <c r="H299" i="4"/>
  <c r="D299" i="4" s="1"/>
  <c r="C299" i="4"/>
  <c r="BE301" i="4" l="1"/>
  <c r="BG301" i="4" s="1"/>
  <c r="G301" i="4"/>
  <c r="C300" i="4"/>
  <c r="H300" i="4"/>
  <c r="D300" i="4" s="1"/>
  <c r="BE302" i="4" l="1"/>
  <c r="BG302" i="4" s="1"/>
  <c r="G302" i="4"/>
  <c r="C301" i="4"/>
  <c r="H301" i="4"/>
  <c r="D301" i="4" s="1"/>
  <c r="BE303" i="4" l="1"/>
  <c r="BG303" i="4" s="1"/>
  <c r="C302" i="4"/>
  <c r="G303" i="4"/>
  <c r="H302" i="4"/>
  <c r="D302" i="4" s="1"/>
  <c r="BE304" i="4" l="1"/>
  <c r="BG304" i="4" s="1"/>
  <c r="H303" i="4"/>
  <c r="G304" i="4"/>
  <c r="C303" i="4"/>
  <c r="D303" i="4"/>
  <c r="BE305" i="4" l="1"/>
  <c r="BG305" i="4" s="1"/>
  <c r="C304" i="4"/>
  <c r="G305" i="4"/>
  <c r="H304" i="4"/>
  <c r="D304" i="4" s="1"/>
  <c r="BE306" i="4" l="1"/>
  <c r="BG306" i="4" s="1"/>
  <c r="G306" i="4"/>
  <c r="C305" i="4"/>
  <c r="H305" i="4"/>
  <c r="D305" i="4" s="1"/>
  <c r="BE307" i="4" l="1"/>
  <c r="BG307" i="4" s="1"/>
  <c r="G307" i="4"/>
  <c r="C306" i="4"/>
  <c r="H306" i="4"/>
  <c r="D306" i="4" s="1"/>
  <c r="BE308" i="4" l="1"/>
  <c r="BG308" i="4" s="1"/>
  <c r="G308" i="4"/>
  <c r="C307" i="4"/>
  <c r="H307" i="4"/>
  <c r="D307" i="4" s="1"/>
  <c r="BE309" i="4" l="1"/>
  <c r="BG309" i="4" s="1"/>
  <c r="G309" i="4"/>
  <c r="H308" i="4"/>
  <c r="D308" i="4" s="1"/>
  <c r="C308" i="4"/>
  <c r="BE310" i="4" l="1"/>
  <c r="BG310" i="4" s="1"/>
  <c r="C309" i="4"/>
  <c r="G310" i="4"/>
  <c r="H309" i="4"/>
  <c r="D309" i="4" s="1"/>
  <c r="BE311" i="4" l="1"/>
  <c r="BG311" i="4" s="1"/>
  <c r="C310" i="4"/>
  <c r="H310" i="4"/>
  <c r="D310" i="4" s="1"/>
  <c r="G311" i="4"/>
  <c r="BE312" i="4" l="1"/>
  <c r="BG312" i="4" s="1"/>
  <c r="G312" i="4"/>
  <c r="H311" i="4"/>
  <c r="D311" i="4" s="1"/>
  <c r="C311" i="4"/>
  <c r="BE313" i="4" l="1"/>
  <c r="BG313" i="4" s="1"/>
  <c r="G313" i="4"/>
  <c r="C312" i="4"/>
  <c r="H312" i="4"/>
  <c r="D312" i="4" s="1"/>
  <c r="BE314" i="4" l="1"/>
  <c r="BG314" i="4" s="1"/>
  <c r="G314" i="4"/>
  <c r="H313" i="4"/>
  <c r="C313" i="4"/>
  <c r="D313" i="4"/>
  <c r="BE315" i="4" l="1"/>
  <c r="BG315" i="4" s="1"/>
  <c r="C314" i="4"/>
  <c r="G315" i="4"/>
  <c r="H314" i="4"/>
  <c r="D314" i="4" s="1"/>
  <c r="BE316" i="4" l="1"/>
  <c r="BG316" i="4" s="1"/>
  <c r="H315" i="4"/>
  <c r="D315" i="4" s="1"/>
  <c r="G316" i="4"/>
  <c r="C315" i="4"/>
  <c r="BE317" i="4" l="1"/>
  <c r="BG317" i="4" s="1"/>
  <c r="H316" i="4"/>
  <c r="D316" i="4" s="1"/>
  <c r="G317" i="4"/>
  <c r="C316" i="4"/>
  <c r="BE318" i="4" l="1"/>
  <c r="BG318" i="4" s="1"/>
  <c r="G318" i="4"/>
  <c r="H317" i="4"/>
  <c r="C317" i="4"/>
  <c r="D317" i="4"/>
  <c r="BE319" i="4" l="1"/>
  <c r="BG319" i="4" s="1"/>
  <c r="G319" i="4"/>
  <c r="C318" i="4"/>
  <c r="H318" i="4"/>
  <c r="D318" i="4" s="1"/>
  <c r="BE320" i="4" l="1"/>
  <c r="BG320" i="4" s="1"/>
  <c r="H319" i="4"/>
  <c r="D319" i="4" s="1"/>
  <c r="G320" i="4"/>
  <c r="C319" i="4"/>
  <c r="BE321" i="4" l="1"/>
  <c r="BG321" i="4" s="1"/>
  <c r="G321" i="4"/>
  <c r="H320" i="4"/>
  <c r="D320" i="4" s="1"/>
  <c r="C320" i="4"/>
  <c r="BE322" i="4" l="1"/>
  <c r="BG322" i="4" s="1"/>
  <c r="C321" i="4"/>
  <c r="G322" i="4"/>
  <c r="H321" i="4"/>
  <c r="D321" i="4" s="1"/>
  <c r="BE323" i="4" l="1"/>
  <c r="BG323" i="4" s="1"/>
  <c r="G323" i="4"/>
  <c r="H322" i="4"/>
  <c r="D322" i="4" s="1"/>
  <c r="C322" i="4"/>
  <c r="BE324" i="4" l="1"/>
  <c r="BG324" i="4" s="1"/>
  <c r="H323" i="4"/>
  <c r="D323" i="4" s="1"/>
  <c r="G324" i="4"/>
  <c r="C323" i="4"/>
  <c r="BE325" i="4" l="1"/>
  <c r="BG325" i="4" s="1"/>
  <c r="C324" i="4"/>
  <c r="G325" i="4"/>
  <c r="H324" i="4"/>
  <c r="D324" i="4" s="1"/>
  <c r="BE326" i="4" l="1"/>
  <c r="BG326" i="4" s="1"/>
  <c r="G326" i="4"/>
  <c r="C325" i="4"/>
  <c r="H325" i="4"/>
  <c r="D325" i="4" s="1"/>
  <c r="BE327" i="4" l="1"/>
  <c r="BG327" i="4" s="1"/>
  <c r="C326" i="4"/>
  <c r="G327" i="4"/>
  <c r="H326" i="4"/>
  <c r="D326" i="4"/>
  <c r="BE328" i="4" l="1"/>
  <c r="BG328" i="4" s="1"/>
  <c r="G328" i="4"/>
  <c r="C327" i="4"/>
  <c r="H327" i="4"/>
  <c r="D327" i="4" s="1"/>
  <c r="BE329" i="4" l="1"/>
  <c r="BG329" i="4" s="1"/>
  <c r="C328" i="4"/>
  <c r="G329" i="4"/>
  <c r="H328" i="4"/>
  <c r="D328" i="4" s="1"/>
  <c r="BE330" i="4" l="1"/>
  <c r="BG330" i="4" s="1"/>
  <c r="G330" i="4"/>
  <c r="C329" i="4"/>
  <c r="H329" i="4"/>
  <c r="D329" i="4" s="1"/>
  <c r="BE331" i="4" l="1"/>
  <c r="BG331" i="4" s="1"/>
  <c r="H330" i="4"/>
  <c r="D330" i="4" s="1"/>
  <c r="G331" i="4"/>
  <c r="C330" i="4"/>
  <c r="BE332" i="4" l="1"/>
  <c r="BG332" i="4" s="1"/>
  <c r="C331" i="4"/>
  <c r="G332" i="4"/>
  <c r="H331" i="4"/>
  <c r="D331" i="4" s="1"/>
  <c r="BE333" i="4" l="1"/>
  <c r="BG333" i="4" s="1"/>
  <c r="C332" i="4"/>
  <c r="H332" i="4"/>
  <c r="D332" i="4" s="1"/>
  <c r="G333" i="4"/>
  <c r="BE334" i="4" l="1"/>
  <c r="BG334" i="4" s="1"/>
  <c r="G334" i="4"/>
  <c r="C333" i="4"/>
  <c r="H333" i="4"/>
  <c r="D333" i="4"/>
  <c r="BE335" i="4" l="1"/>
  <c r="BG335" i="4" s="1"/>
  <c r="G335" i="4"/>
  <c r="H334" i="4"/>
  <c r="D334" i="4" s="1"/>
  <c r="C334" i="4"/>
  <c r="BE336" i="4" l="1"/>
  <c r="BG336" i="4" s="1"/>
  <c r="H335" i="4"/>
  <c r="D335" i="4" s="1"/>
  <c r="G336" i="4"/>
  <c r="C335" i="4"/>
  <c r="BE337" i="4" l="1"/>
  <c r="BG337" i="4" s="1"/>
  <c r="C336" i="4"/>
  <c r="G337" i="4"/>
  <c r="H336" i="4"/>
  <c r="D336" i="4"/>
  <c r="BE338" i="4" l="1"/>
  <c r="BG338" i="4" s="1"/>
  <c r="G338" i="4"/>
  <c r="C337" i="4"/>
  <c r="H337" i="4"/>
  <c r="D337" i="4" s="1"/>
  <c r="BE339" i="4" l="1"/>
  <c r="BG339" i="4" s="1"/>
  <c r="H338" i="4"/>
  <c r="D338" i="4" s="1"/>
  <c r="G339" i="4"/>
  <c r="C338" i="4"/>
  <c r="BE340" i="4" l="1"/>
  <c r="BG340" i="4" s="1"/>
  <c r="H339" i="4"/>
  <c r="C339" i="4"/>
  <c r="D339" i="4"/>
  <c r="G340" i="4"/>
  <c r="BE341" i="4" l="1"/>
  <c r="BG341" i="4" s="1"/>
  <c r="C340" i="4"/>
  <c r="H340" i="4"/>
  <c r="D340" i="4" s="1"/>
  <c r="G341" i="4"/>
  <c r="BE342" i="4" l="1"/>
  <c r="BG342" i="4" s="1"/>
  <c r="H341" i="4"/>
  <c r="D341" i="4" s="1"/>
  <c r="C341" i="4"/>
  <c r="G342" i="4"/>
  <c r="BE343" i="4" l="1"/>
  <c r="BG343" i="4" s="1"/>
  <c r="H342" i="4"/>
  <c r="D342" i="4" s="1"/>
  <c r="G343" i="4"/>
  <c r="C342" i="4"/>
  <c r="BE344" i="4" l="1"/>
  <c r="BG344" i="4" s="1"/>
  <c r="G344" i="4"/>
  <c r="H343" i="4"/>
  <c r="D343" i="4" s="1"/>
  <c r="C343" i="4"/>
  <c r="BE345" i="4" l="1"/>
  <c r="BG345" i="4" s="1"/>
  <c r="G345" i="4"/>
  <c r="C344" i="4"/>
  <c r="H344" i="4"/>
  <c r="D344" i="4" s="1"/>
  <c r="BE346" i="4" l="1"/>
  <c r="BG346" i="4" s="1"/>
  <c r="H345" i="4"/>
  <c r="C345" i="4"/>
  <c r="D345" i="4"/>
  <c r="G346" i="4"/>
  <c r="BE347" i="4" l="1"/>
  <c r="BG347" i="4" s="1"/>
  <c r="C346" i="4"/>
  <c r="G347" i="4"/>
  <c r="H346" i="4"/>
  <c r="D346" i="4" s="1"/>
  <c r="BE348" i="4" l="1"/>
  <c r="BG348" i="4" s="1"/>
  <c r="H347" i="4"/>
  <c r="D347" i="4" s="1"/>
  <c r="G348" i="4"/>
  <c r="C347" i="4"/>
  <c r="BE349" i="4" l="1"/>
  <c r="BG349" i="4" s="1"/>
  <c r="G349" i="4"/>
  <c r="H348" i="4"/>
  <c r="D348" i="4" s="1"/>
  <c r="C348" i="4"/>
  <c r="BE350" i="4" l="1"/>
  <c r="BG350" i="4" s="1"/>
  <c r="H349" i="4"/>
  <c r="D349" i="4" s="1"/>
  <c r="G350" i="4"/>
  <c r="C349" i="4"/>
  <c r="BE351" i="4" l="1"/>
  <c r="BG351" i="4" s="1"/>
  <c r="C350" i="4"/>
  <c r="G351" i="4"/>
  <c r="H350" i="4"/>
  <c r="D350" i="4" s="1"/>
  <c r="BE352" i="4" l="1"/>
  <c r="BG352" i="4" s="1"/>
  <c r="H351" i="4"/>
  <c r="C351" i="4"/>
  <c r="D351" i="4"/>
  <c r="G352" i="4"/>
  <c r="BE353" i="4" l="1"/>
  <c r="BG353" i="4" s="1"/>
  <c r="G353" i="4"/>
  <c r="C352" i="4"/>
  <c r="H352" i="4"/>
  <c r="D352" i="4" s="1"/>
  <c r="BE354" i="4" l="1"/>
  <c r="BG354" i="4" s="1"/>
  <c r="G354" i="4"/>
  <c r="C353" i="4"/>
  <c r="H353" i="4"/>
  <c r="D353" i="4" s="1"/>
  <c r="BE355" i="4" l="1"/>
  <c r="BG355" i="4" s="1"/>
  <c r="H354" i="4"/>
  <c r="D354" i="4" s="1"/>
  <c r="C354" i="4"/>
  <c r="G355" i="4"/>
  <c r="BE356" i="4" l="1"/>
  <c r="BG356" i="4" s="1"/>
  <c r="G356" i="4"/>
  <c r="H355" i="4"/>
  <c r="D355" i="4" s="1"/>
  <c r="C355" i="4"/>
  <c r="BE357" i="4" l="1"/>
  <c r="BG357" i="4" s="1"/>
  <c r="G357" i="4"/>
  <c r="H356" i="4"/>
  <c r="D356" i="4" s="1"/>
  <c r="C356" i="4"/>
  <c r="BE358" i="4" l="1"/>
  <c r="BG358" i="4" s="1"/>
  <c r="H357" i="4"/>
  <c r="C357" i="4"/>
  <c r="D357" i="4"/>
  <c r="G358" i="4"/>
  <c r="BE359" i="4" l="1"/>
  <c r="BG359" i="4" s="1"/>
  <c r="C358" i="4"/>
  <c r="G359" i="4"/>
  <c r="H358" i="4"/>
  <c r="D358" i="4" s="1"/>
  <c r="BE360" i="4" l="1"/>
  <c r="BG360" i="4" s="1"/>
  <c r="H359" i="4"/>
  <c r="D359" i="4" s="1"/>
  <c r="C359" i="4"/>
  <c r="G360" i="4"/>
  <c r="BE361" i="4" l="1"/>
  <c r="BG361" i="4" s="1"/>
  <c r="H360" i="4"/>
  <c r="G361" i="4"/>
  <c r="D360" i="4"/>
  <c r="C360" i="4"/>
  <c r="BE362" i="4" l="1"/>
  <c r="BG362" i="4" s="1"/>
  <c r="G362" i="4"/>
  <c r="H361" i="4"/>
  <c r="D361" i="4" s="1"/>
  <c r="C361" i="4"/>
  <c r="BE363" i="4" l="1"/>
  <c r="BG363" i="4" s="1"/>
  <c r="G363" i="4"/>
  <c r="H362" i="4"/>
  <c r="D362" i="4" s="1"/>
  <c r="C362" i="4"/>
  <c r="BE364" i="4" l="1"/>
  <c r="BG364" i="4" s="1"/>
  <c r="H363" i="4"/>
  <c r="C363" i="4"/>
  <c r="D363" i="4"/>
  <c r="G364" i="4"/>
  <c r="BE365" i="4" l="1"/>
  <c r="BG365" i="4" s="1"/>
  <c r="C364" i="4"/>
  <c r="G365" i="4"/>
  <c r="H364" i="4"/>
  <c r="D364" i="4" s="1"/>
  <c r="BE366" i="4" l="1"/>
  <c r="BG366" i="4" s="1"/>
  <c r="G366" i="4"/>
  <c r="C365" i="4"/>
  <c r="H365" i="4"/>
  <c r="D365" i="4" s="1"/>
  <c r="BE367" i="4" l="1"/>
  <c r="BG367" i="4" s="1"/>
  <c r="H366" i="4"/>
  <c r="D366" i="4" s="1"/>
  <c r="G367" i="4"/>
  <c r="C366" i="4"/>
  <c r="BE368" i="4" l="1"/>
  <c r="BG368" i="4" s="1"/>
  <c r="G368" i="4"/>
  <c r="H367" i="4"/>
  <c r="D367" i="4" s="1"/>
  <c r="C367" i="4"/>
  <c r="BE369" i="4" l="1"/>
  <c r="BG369" i="4" s="1"/>
  <c r="H368" i="4"/>
  <c r="D368" i="4" s="1"/>
  <c r="G369" i="4"/>
  <c r="C368" i="4"/>
  <c r="BE370" i="4" l="1"/>
  <c r="BG370" i="4" s="1"/>
  <c r="H369" i="4"/>
  <c r="C369" i="4"/>
  <c r="D369" i="4"/>
  <c r="G370" i="4"/>
  <c r="BE371" i="4" l="1"/>
  <c r="BG371" i="4" s="1"/>
  <c r="H370" i="4"/>
  <c r="D370" i="4" s="1"/>
  <c r="C370" i="4"/>
  <c r="G371" i="4"/>
  <c r="BE372" i="4" l="1"/>
  <c r="BG372" i="4" s="1"/>
  <c r="G372" i="4"/>
  <c r="H371" i="4"/>
  <c r="D371" i="4" s="1"/>
  <c r="C371" i="4"/>
  <c r="BE373" i="4" l="1"/>
  <c r="BG373" i="4" s="1"/>
  <c r="C372" i="4"/>
  <c r="H372" i="4"/>
  <c r="D372" i="4" s="1"/>
  <c r="G373" i="4"/>
  <c r="BE374" i="4" l="1"/>
  <c r="BG374" i="4" s="1"/>
  <c r="G374" i="4"/>
  <c r="C373" i="4"/>
  <c r="H373" i="4"/>
  <c r="D373" i="4" s="1"/>
  <c r="BE375" i="4" l="1"/>
  <c r="BG375" i="4" s="1"/>
  <c r="C374" i="4"/>
  <c r="G375" i="4"/>
  <c r="H374" i="4"/>
  <c r="D374" i="4" s="1"/>
  <c r="BE376" i="4" l="1"/>
  <c r="BG376" i="4" s="1"/>
  <c r="H375" i="4"/>
  <c r="C375" i="4"/>
  <c r="D375" i="4"/>
  <c r="G376" i="4"/>
  <c r="BE377" i="4" l="1"/>
  <c r="BG377" i="4" s="1"/>
  <c r="C376" i="4"/>
  <c r="G377" i="4"/>
  <c r="H376" i="4"/>
  <c r="D376" i="4" s="1"/>
  <c r="BE378" i="4" l="1"/>
  <c r="BG378" i="4" s="1"/>
  <c r="G378" i="4"/>
  <c r="H377" i="4"/>
  <c r="D377" i="4" s="1"/>
  <c r="C377" i="4"/>
  <c r="BE379" i="4" l="1"/>
  <c r="BG379" i="4" s="1"/>
  <c r="G379" i="4"/>
  <c r="C378" i="4"/>
  <c r="H378" i="4"/>
  <c r="D378" i="4" s="1"/>
  <c r="BE380" i="4" l="1"/>
  <c r="BG380" i="4" s="1"/>
  <c r="G380" i="4"/>
  <c r="H379" i="4"/>
  <c r="D379" i="4" s="1"/>
  <c r="C379" i="4"/>
  <c r="BE381" i="4" l="1"/>
  <c r="BG381" i="4" s="1"/>
  <c r="G381" i="4"/>
  <c r="H380" i="4"/>
  <c r="D380" i="4" s="1"/>
  <c r="C380" i="4"/>
  <c r="BE382" i="4" l="1"/>
  <c r="BG382" i="4" s="1"/>
  <c r="H381" i="4"/>
  <c r="C381" i="4"/>
  <c r="D381" i="4"/>
  <c r="G382" i="4"/>
  <c r="BE383" i="4" l="1"/>
  <c r="BG383" i="4" s="1"/>
  <c r="C382" i="4"/>
  <c r="G383" i="4"/>
  <c r="H382" i="4"/>
  <c r="D382" i="4" s="1"/>
  <c r="BE384" i="4" l="1"/>
  <c r="BG384" i="4" s="1"/>
  <c r="G384" i="4"/>
  <c r="C383" i="4"/>
  <c r="H383" i="4"/>
  <c r="D383" i="4" s="1"/>
  <c r="BE385" i="4" l="1"/>
  <c r="BG385" i="4" s="1"/>
  <c r="G385" i="4"/>
  <c r="C384" i="4"/>
  <c r="H384" i="4"/>
  <c r="D384" i="4" s="1"/>
  <c r="BE386" i="4" l="1"/>
  <c r="BG386" i="4" s="1"/>
  <c r="C385" i="4"/>
  <c r="H385" i="4"/>
  <c r="D385" i="4" s="1"/>
  <c r="G386" i="4"/>
  <c r="BE387" i="4" l="1"/>
  <c r="BG387" i="4" s="1"/>
  <c r="C386" i="4"/>
  <c r="G387" i="4"/>
  <c r="H386" i="4"/>
  <c r="D386" i="4" s="1"/>
  <c r="BE388" i="4" l="1"/>
  <c r="BG388" i="4" s="1"/>
  <c r="H387" i="4"/>
  <c r="G388" i="4"/>
  <c r="C387" i="4"/>
  <c r="D387" i="4"/>
  <c r="BE389" i="4" l="1"/>
  <c r="BG389" i="4" s="1"/>
  <c r="C388" i="4"/>
  <c r="H388" i="4"/>
  <c r="D388" i="4" s="1"/>
  <c r="G389" i="4"/>
  <c r="BE390" i="4" l="1"/>
  <c r="BG390" i="4" s="1"/>
  <c r="C389" i="4"/>
  <c r="G390" i="4"/>
  <c r="H389" i="4"/>
  <c r="D389" i="4" s="1"/>
  <c r="BE391" i="4" l="1"/>
  <c r="BG391" i="4" s="1"/>
  <c r="G391" i="4"/>
  <c r="H390" i="4"/>
  <c r="D390" i="4" s="1"/>
  <c r="C390" i="4"/>
  <c r="BE392" i="4" l="1"/>
  <c r="BG392" i="4" s="1"/>
  <c r="G392" i="4"/>
  <c r="H391" i="4"/>
  <c r="D391" i="4" s="1"/>
  <c r="C391" i="4"/>
  <c r="BE393" i="4" l="1"/>
  <c r="BG393" i="4" s="1"/>
  <c r="G393" i="4"/>
  <c r="C392" i="4"/>
  <c r="H392" i="4"/>
  <c r="D392" i="4" s="1"/>
  <c r="BE394" i="4" l="1"/>
  <c r="BG394" i="4" s="1"/>
  <c r="H393" i="4"/>
  <c r="C393" i="4"/>
  <c r="D393" i="4"/>
  <c r="G394" i="4"/>
  <c r="BE395" i="4" l="1"/>
  <c r="BG395" i="4" s="1"/>
  <c r="H394" i="4"/>
  <c r="D394" i="4" s="1"/>
  <c r="G395" i="4"/>
  <c r="C394" i="4"/>
  <c r="BE396" i="4" l="1"/>
  <c r="BG396" i="4" s="1"/>
  <c r="G396" i="4"/>
  <c r="C395" i="4"/>
  <c r="H395" i="4"/>
  <c r="D395" i="4" s="1"/>
  <c r="BE397" i="4" l="1"/>
  <c r="BG397" i="4" s="1"/>
  <c r="H396" i="4"/>
  <c r="C396" i="4"/>
  <c r="G397" i="4"/>
  <c r="D396" i="4"/>
  <c r="BE398" i="4" l="1"/>
  <c r="BG398" i="4" s="1"/>
  <c r="H397" i="4"/>
  <c r="D397" i="4" s="1"/>
  <c r="G398" i="4"/>
  <c r="C397" i="4"/>
  <c r="BE399" i="4" l="1"/>
  <c r="BG399" i="4" s="1"/>
  <c r="G399" i="4"/>
  <c r="H398" i="4"/>
  <c r="C398" i="4"/>
  <c r="D398" i="4"/>
  <c r="BE400" i="4" l="1"/>
  <c r="BG400" i="4" s="1"/>
  <c r="H399" i="4"/>
  <c r="D399" i="4" s="1"/>
  <c r="G400" i="4"/>
  <c r="C399" i="4"/>
  <c r="BE401" i="4" l="1"/>
  <c r="BG401" i="4" s="1"/>
  <c r="C400" i="4"/>
  <c r="G401" i="4"/>
  <c r="H400" i="4"/>
  <c r="D400" i="4" s="1"/>
  <c r="BE402" i="4" l="1"/>
  <c r="BG402" i="4" s="1"/>
  <c r="H401" i="4"/>
  <c r="D401" i="4" s="1"/>
  <c r="G402" i="4"/>
  <c r="C401" i="4"/>
  <c r="BE403" i="4" l="1"/>
  <c r="BG403" i="4" s="1"/>
  <c r="C402" i="4"/>
  <c r="G403" i="4"/>
  <c r="H402" i="4"/>
  <c r="D402" i="4" s="1"/>
  <c r="BE404" i="4" l="1"/>
  <c r="BG404" i="4" s="1"/>
  <c r="G404" i="4"/>
  <c r="H403" i="4"/>
  <c r="D403" i="4" s="1"/>
  <c r="C403" i="4"/>
  <c r="BE405" i="4" l="1"/>
  <c r="BG405" i="4" s="1"/>
  <c r="G405" i="4"/>
  <c r="C404" i="4"/>
  <c r="H404" i="4"/>
  <c r="D404" i="4" s="1"/>
  <c r="BE406" i="4" l="1"/>
  <c r="BG406" i="4" s="1"/>
  <c r="H405" i="4"/>
  <c r="D405" i="4" s="1"/>
  <c r="G406" i="4"/>
  <c r="C405" i="4"/>
  <c r="BE407" i="4" l="1"/>
  <c r="BG407" i="4" s="1"/>
  <c r="H406" i="4"/>
  <c r="D406" i="4" s="1"/>
  <c r="G407" i="4"/>
  <c r="C406" i="4"/>
  <c r="BE408" i="4" l="1"/>
  <c r="BG408" i="4" s="1"/>
  <c r="G408" i="4"/>
  <c r="C407" i="4"/>
  <c r="H407" i="4"/>
  <c r="D407" i="4" s="1"/>
  <c r="BE409" i="4" l="1"/>
  <c r="BG409" i="4" s="1"/>
  <c r="H408" i="4"/>
  <c r="D408" i="4"/>
  <c r="G409" i="4"/>
  <c r="C408" i="4"/>
  <c r="BE410" i="4" l="1"/>
  <c r="BG410" i="4" s="1"/>
  <c r="G410" i="4"/>
  <c r="C409" i="4"/>
  <c r="H409" i="4"/>
  <c r="D409" i="4" s="1"/>
  <c r="BE411" i="4" l="1"/>
  <c r="BG411" i="4" s="1"/>
  <c r="G411" i="4"/>
  <c r="C410" i="4"/>
  <c r="H410" i="4"/>
  <c r="D410" i="4" s="1"/>
  <c r="BE412" i="4" l="1"/>
  <c r="BG412" i="4" s="1"/>
  <c r="C411" i="4"/>
  <c r="H411" i="4"/>
  <c r="D411" i="4" s="1"/>
  <c r="G412" i="4"/>
  <c r="BE413" i="4" l="1"/>
  <c r="BG413" i="4" s="1"/>
  <c r="C412" i="4"/>
  <c r="G413" i="4"/>
  <c r="H412" i="4"/>
  <c r="D412" i="4" s="1"/>
  <c r="BE414" i="4" l="1"/>
  <c r="BG414" i="4" s="1"/>
  <c r="G414" i="4"/>
  <c r="C413" i="4"/>
  <c r="H413" i="4"/>
  <c r="D413" i="4" s="1"/>
  <c r="BE415" i="4" l="1"/>
  <c r="BG415" i="4" s="1"/>
  <c r="G415" i="4"/>
  <c r="H414" i="4"/>
  <c r="D414" i="4" s="1"/>
  <c r="C414" i="4"/>
  <c r="BE416" i="4" l="1"/>
  <c r="BG416" i="4" s="1"/>
  <c r="C415" i="4"/>
  <c r="G416" i="4"/>
  <c r="H415" i="4"/>
  <c r="D415" i="4" s="1"/>
  <c r="BE417" i="4" l="1"/>
  <c r="BG417" i="4" s="1"/>
  <c r="G417" i="4"/>
  <c r="C416" i="4"/>
  <c r="H416" i="4"/>
  <c r="D416" i="4" s="1"/>
  <c r="BE418" i="4" l="1"/>
  <c r="BG418" i="4" s="1"/>
  <c r="H417" i="4"/>
  <c r="D417" i="4" s="1"/>
  <c r="C417" i="4"/>
  <c r="G418" i="4"/>
  <c r="BE419" i="4" l="1"/>
  <c r="BG419" i="4" s="1"/>
  <c r="C418" i="4"/>
  <c r="G419" i="4"/>
  <c r="H418" i="4"/>
  <c r="D418" i="4" s="1"/>
  <c r="BE420" i="4" l="1"/>
  <c r="BG420" i="4" s="1"/>
  <c r="H419" i="4"/>
  <c r="D419" i="4" s="1"/>
  <c r="G420" i="4"/>
  <c r="C419" i="4"/>
  <c r="BE421" i="4" l="1"/>
  <c r="BG421" i="4" s="1"/>
  <c r="H420" i="4"/>
  <c r="D420" i="4" s="1"/>
  <c r="C420" i="4"/>
  <c r="G421" i="4"/>
  <c r="BE422" i="4" l="1"/>
  <c r="BG422" i="4" s="1"/>
  <c r="G422" i="4"/>
  <c r="C421" i="4"/>
  <c r="H421" i="4"/>
  <c r="D421" i="4" s="1"/>
  <c r="BE423" i="4" l="1"/>
  <c r="BG423" i="4" s="1"/>
  <c r="C422" i="4"/>
  <c r="G423" i="4"/>
  <c r="H422" i="4"/>
  <c r="D422" i="4" s="1"/>
  <c r="BE424" i="4" l="1"/>
  <c r="BG424" i="4" s="1"/>
  <c r="H423" i="4"/>
  <c r="C423" i="4"/>
  <c r="D423" i="4"/>
  <c r="G424" i="4"/>
  <c r="BE425" i="4" l="1"/>
  <c r="BG425" i="4" s="1"/>
  <c r="H424" i="4"/>
  <c r="D424" i="4" s="1"/>
  <c r="C424" i="4"/>
  <c r="G425" i="4"/>
  <c r="BE426" i="4" l="1"/>
  <c r="BG426" i="4" s="1"/>
  <c r="G426" i="4"/>
  <c r="H425" i="4"/>
  <c r="D425" i="4" s="1"/>
  <c r="C425" i="4"/>
  <c r="BE427" i="4" l="1"/>
  <c r="BG427" i="4" s="1"/>
  <c r="C426" i="4"/>
  <c r="G427" i="4"/>
  <c r="H426" i="4"/>
  <c r="D426" i="4" s="1"/>
  <c r="BE428" i="4" l="1"/>
  <c r="BG428" i="4" s="1"/>
  <c r="G428" i="4"/>
  <c r="H427" i="4"/>
  <c r="D427" i="4" s="1"/>
  <c r="C427" i="4"/>
  <c r="BE429" i="4" l="1"/>
  <c r="BG429" i="4" s="1"/>
  <c r="G429" i="4"/>
  <c r="C428" i="4"/>
  <c r="H428" i="4"/>
  <c r="D428" i="4" s="1"/>
  <c r="BE430" i="4" l="1"/>
  <c r="BG430" i="4" s="1"/>
  <c r="H429" i="4"/>
  <c r="G430" i="4"/>
  <c r="D429" i="4"/>
  <c r="C429" i="4"/>
  <c r="BE431" i="4" l="1"/>
  <c r="BG431" i="4" s="1"/>
  <c r="G431" i="4"/>
  <c r="C430" i="4"/>
  <c r="H430" i="4"/>
  <c r="D430" i="4" s="1"/>
  <c r="BE432" i="4" l="1"/>
  <c r="BG432" i="4" s="1"/>
  <c r="G432" i="4"/>
  <c r="C431" i="4"/>
  <c r="H431" i="4"/>
  <c r="D431" i="4" s="1"/>
  <c r="BE433" i="4" l="1"/>
  <c r="BG433" i="4" s="1"/>
  <c r="G433" i="4"/>
  <c r="C432" i="4"/>
  <c r="H432" i="4"/>
  <c r="D432" i="4" s="1"/>
  <c r="BE434" i="4" l="1"/>
  <c r="BG434" i="4" s="1"/>
  <c r="G434" i="4"/>
  <c r="H433" i="4"/>
  <c r="D433" i="4" s="1"/>
  <c r="C433" i="4"/>
  <c r="BE435" i="4" l="1"/>
  <c r="BG435" i="4" s="1"/>
  <c r="C434" i="4"/>
  <c r="G435" i="4"/>
  <c r="H434" i="4"/>
  <c r="D434" i="4" s="1"/>
  <c r="BE436" i="4" l="1"/>
  <c r="BG436" i="4" s="1"/>
  <c r="G436" i="4"/>
  <c r="H435" i="4"/>
  <c r="D435" i="4" s="1"/>
  <c r="C435" i="4"/>
  <c r="BE437" i="4" l="1"/>
  <c r="BG437" i="4" s="1"/>
  <c r="H436" i="4"/>
  <c r="D436" i="4" s="1"/>
  <c r="C436" i="4"/>
  <c r="G437" i="4"/>
  <c r="BE438" i="4" l="1"/>
  <c r="BG438" i="4" s="1"/>
  <c r="G438" i="4"/>
  <c r="H437" i="4"/>
  <c r="D437" i="4" s="1"/>
  <c r="C437" i="4"/>
  <c r="BE439" i="4" l="1"/>
  <c r="BG439" i="4" s="1"/>
  <c r="H438" i="4"/>
  <c r="D438" i="4" s="1"/>
  <c r="G439" i="4"/>
  <c r="C438" i="4"/>
  <c r="BE440" i="4" l="1"/>
  <c r="BG440" i="4" s="1"/>
  <c r="C439" i="4"/>
  <c r="H439" i="4"/>
  <c r="D439" i="4" s="1"/>
  <c r="G440" i="4"/>
  <c r="BE441" i="4" l="1"/>
  <c r="BG441" i="4" s="1"/>
  <c r="G441" i="4"/>
  <c r="H440" i="4"/>
  <c r="C440" i="4"/>
  <c r="D440" i="4"/>
  <c r="BE442" i="4" l="1"/>
  <c r="BG442" i="4" s="1"/>
  <c r="G442" i="4"/>
  <c r="C441" i="4"/>
  <c r="H441" i="4"/>
  <c r="D441" i="4" s="1"/>
  <c r="BE443" i="4" l="1"/>
  <c r="BG443" i="4" s="1"/>
  <c r="G443" i="4"/>
  <c r="C442" i="4"/>
  <c r="H442" i="4"/>
  <c r="D442" i="4" s="1"/>
  <c r="BE444" i="4" l="1"/>
  <c r="BG444" i="4" s="1"/>
  <c r="C443" i="4"/>
  <c r="H443" i="4"/>
  <c r="D443" i="4" s="1"/>
  <c r="G444" i="4"/>
  <c r="BE445" i="4" l="1"/>
  <c r="BG445" i="4" s="1"/>
  <c r="H444" i="4"/>
  <c r="D444" i="4" s="1"/>
  <c r="G445" i="4"/>
  <c r="C444" i="4"/>
  <c r="BE446" i="4" l="1"/>
  <c r="BG446" i="4" s="1"/>
  <c r="H445" i="4"/>
  <c r="D445" i="4" s="1"/>
  <c r="C445" i="4"/>
  <c r="G446" i="4"/>
  <c r="BE447" i="4" l="1"/>
  <c r="BG447" i="4" s="1"/>
  <c r="H446" i="4"/>
  <c r="C446" i="4"/>
  <c r="G447" i="4"/>
  <c r="D446" i="4"/>
  <c r="BE448" i="4" l="1"/>
  <c r="BG448" i="4" s="1"/>
  <c r="C447" i="4"/>
  <c r="G448" i="4"/>
  <c r="H447" i="4"/>
  <c r="D447" i="4" s="1"/>
  <c r="BE449" i="4" l="1"/>
  <c r="BG449" i="4" s="1"/>
  <c r="C448" i="4"/>
  <c r="G449" i="4"/>
  <c r="H448" i="4"/>
  <c r="D448" i="4" s="1"/>
  <c r="BE450" i="4" l="1"/>
  <c r="BG450" i="4" s="1"/>
  <c r="G450" i="4"/>
  <c r="H449" i="4"/>
  <c r="D449" i="4" s="1"/>
  <c r="C449" i="4"/>
  <c r="BE451" i="4" l="1"/>
  <c r="BG451" i="4" s="1"/>
  <c r="G451" i="4"/>
  <c r="C450" i="4"/>
  <c r="H450" i="4"/>
  <c r="D450" i="4" s="1"/>
  <c r="BE452" i="4" l="1"/>
  <c r="BG452" i="4" s="1"/>
  <c r="G452" i="4"/>
  <c r="C451" i="4"/>
  <c r="H451" i="4"/>
  <c r="D451" i="4" s="1"/>
  <c r="BE453" i="4" l="1"/>
  <c r="BG453" i="4" s="1"/>
  <c r="H452" i="4"/>
  <c r="C452" i="4"/>
  <c r="D452" i="4"/>
  <c r="G453" i="4"/>
  <c r="BE454" i="4" l="1"/>
  <c r="BG454" i="4" s="1"/>
  <c r="C453" i="4"/>
  <c r="G454" i="4"/>
  <c r="H453" i="4"/>
  <c r="D453" i="4" s="1"/>
  <c r="BE455" i="4" l="1"/>
  <c r="BG455" i="4" s="1"/>
  <c r="G455" i="4"/>
  <c r="H454" i="4"/>
  <c r="D454" i="4" s="1"/>
  <c r="C454" i="4"/>
  <c r="BE456" i="4" l="1"/>
  <c r="BG456" i="4" s="1"/>
  <c r="H455" i="4"/>
  <c r="D455" i="4" s="1"/>
  <c r="G456" i="4"/>
  <c r="C455" i="4"/>
  <c r="BE457" i="4" l="1"/>
  <c r="BG457" i="4" s="1"/>
  <c r="G457" i="4"/>
  <c r="C456" i="4"/>
  <c r="H456" i="4"/>
  <c r="D456" i="4" s="1"/>
  <c r="BE458" i="4" l="1"/>
  <c r="BG458" i="4" s="1"/>
  <c r="G458" i="4"/>
  <c r="C457" i="4"/>
  <c r="H457" i="4"/>
  <c r="D457" i="4"/>
  <c r="BE459" i="4" l="1"/>
  <c r="BG459" i="4" s="1"/>
  <c r="H458" i="4"/>
  <c r="D458" i="4" s="1"/>
  <c r="C458" i="4"/>
  <c r="G459" i="4"/>
  <c r="BE460" i="4" l="1"/>
  <c r="BG460" i="4" s="1"/>
  <c r="C459" i="4"/>
  <c r="G460" i="4"/>
  <c r="H459" i="4"/>
  <c r="D459" i="4" s="1"/>
  <c r="BE461" i="4" l="1"/>
  <c r="BG461" i="4" s="1"/>
  <c r="G461" i="4"/>
  <c r="C460" i="4"/>
  <c r="H460" i="4"/>
  <c r="D460" i="4" s="1"/>
  <c r="BE462" i="4" l="1"/>
  <c r="BG462" i="4" s="1"/>
  <c r="G462" i="4"/>
  <c r="H461" i="4"/>
  <c r="D461" i="4" s="1"/>
  <c r="C461" i="4"/>
  <c r="BE463" i="4" l="1"/>
  <c r="BG463" i="4" s="1"/>
  <c r="G463" i="4"/>
  <c r="C462" i="4"/>
  <c r="H462" i="4"/>
  <c r="D462" i="4" s="1"/>
  <c r="BE464" i="4" l="1"/>
  <c r="BG464" i="4" s="1"/>
  <c r="C463" i="4"/>
  <c r="G464" i="4"/>
  <c r="H463" i="4"/>
  <c r="D463" i="4" s="1"/>
  <c r="BE465" i="4" l="1"/>
  <c r="BG465" i="4" s="1"/>
  <c r="H464" i="4"/>
  <c r="C464" i="4"/>
  <c r="D464" i="4"/>
  <c r="G465" i="4"/>
  <c r="BE466" i="4" l="1"/>
  <c r="BG466" i="4" s="1"/>
  <c r="C465" i="4"/>
  <c r="G466" i="4"/>
  <c r="H465" i="4"/>
  <c r="D465" i="4" s="1"/>
  <c r="BE467" i="4" l="1"/>
  <c r="BG467" i="4" s="1"/>
  <c r="G467" i="4"/>
  <c r="C466" i="4"/>
  <c r="H466" i="4"/>
  <c r="D466" i="4" s="1"/>
  <c r="BE468" i="4" l="1"/>
  <c r="BG468" i="4" s="1"/>
  <c r="G468" i="4"/>
  <c r="C467" i="4"/>
  <c r="H467" i="4"/>
  <c r="D467" i="4" s="1"/>
  <c r="BE469" i="4" l="1"/>
  <c r="BG469" i="4" s="1"/>
  <c r="H468" i="4"/>
  <c r="D468" i="4" s="1"/>
  <c r="G469" i="4"/>
  <c r="C468" i="4"/>
  <c r="BE470" i="4" l="1"/>
  <c r="BG470" i="4" s="1"/>
  <c r="H469" i="4"/>
  <c r="D469" i="4" s="1"/>
  <c r="G470" i="4"/>
  <c r="C469" i="4"/>
  <c r="BE471" i="4" l="1"/>
  <c r="BG471" i="4" s="1"/>
  <c r="H470" i="4"/>
  <c r="C470" i="4"/>
  <c r="G471" i="4"/>
  <c r="D470" i="4"/>
  <c r="BE472" i="4" l="1"/>
  <c r="BG472" i="4" s="1"/>
  <c r="C471" i="4"/>
  <c r="H471" i="4"/>
  <c r="D471" i="4" s="1"/>
  <c r="G472" i="4"/>
  <c r="BE473" i="4" l="1"/>
  <c r="BG473" i="4" s="1"/>
  <c r="G473" i="4"/>
  <c r="C472" i="4"/>
  <c r="H472" i="4"/>
  <c r="D472" i="4" s="1"/>
  <c r="BE474" i="4" l="1"/>
  <c r="BG474" i="4" s="1"/>
  <c r="G474" i="4"/>
  <c r="H473" i="4"/>
  <c r="D473" i="4" s="1"/>
  <c r="C473" i="4"/>
  <c r="BE475" i="4" l="1"/>
  <c r="BG475" i="4" s="1"/>
  <c r="G475" i="4"/>
  <c r="C474" i="4"/>
  <c r="H474" i="4"/>
  <c r="D474" i="4" s="1"/>
  <c r="BE476" i="4" l="1"/>
  <c r="BG476" i="4" s="1"/>
  <c r="C475" i="4"/>
  <c r="G476" i="4"/>
  <c r="H475" i="4"/>
  <c r="D475" i="4" s="1"/>
  <c r="BE477" i="4" l="1"/>
  <c r="BG477" i="4" s="1"/>
  <c r="H476" i="4"/>
  <c r="D476" i="4" s="1"/>
  <c r="G477" i="4"/>
  <c r="C476" i="4"/>
  <c r="BE478" i="4" l="1"/>
  <c r="BG478" i="4" s="1"/>
  <c r="C477" i="4"/>
  <c r="H477" i="4"/>
  <c r="D477" i="4" s="1"/>
  <c r="G478" i="4"/>
  <c r="BE479" i="4" l="1"/>
  <c r="BG479" i="4" s="1"/>
  <c r="G479" i="4"/>
  <c r="C478" i="4"/>
  <c r="H478" i="4"/>
  <c r="D478" i="4" s="1"/>
  <c r="BE480" i="4" l="1"/>
  <c r="BG480" i="4" s="1"/>
  <c r="G480" i="4"/>
  <c r="H479" i="4"/>
  <c r="D479" i="4" s="1"/>
  <c r="C479" i="4"/>
  <c r="BE481" i="4" l="1"/>
  <c r="BG481" i="4" s="1"/>
  <c r="C480" i="4"/>
  <c r="G481" i="4"/>
  <c r="H480" i="4"/>
  <c r="D480" i="4" s="1"/>
  <c r="BE482" i="4" l="1"/>
  <c r="BG482" i="4" s="1"/>
  <c r="H481" i="4"/>
  <c r="D481" i="4" s="1"/>
  <c r="G482" i="4"/>
  <c r="C481" i="4"/>
  <c r="BE483" i="4" l="1"/>
  <c r="BG483" i="4" s="1"/>
  <c r="H482" i="4"/>
  <c r="D482" i="4" s="1"/>
  <c r="C482" i="4"/>
  <c r="G483" i="4"/>
  <c r="BE484" i="4" l="1"/>
  <c r="BG484" i="4" s="1"/>
  <c r="C483" i="4"/>
  <c r="G484" i="4"/>
  <c r="H483" i="4"/>
  <c r="D483" i="4" s="1"/>
  <c r="BE485" i="4" l="1"/>
  <c r="BG485" i="4" s="1"/>
  <c r="G485" i="4"/>
  <c r="H484" i="4"/>
  <c r="D484" i="4" s="1"/>
  <c r="C484" i="4"/>
  <c r="BE486" i="4" l="1"/>
  <c r="BG486" i="4" s="1"/>
  <c r="G486" i="4"/>
  <c r="H485" i="4"/>
  <c r="D485" i="4" s="1"/>
  <c r="C485" i="4"/>
  <c r="BE487" i="4" l="1"/>
  <c r="BG487" i="4" s="1"/>
  <c r="G487" i="4"/>
  <c r="C486" i="4"/>
  <c r="H486" i="4"/>
  <c r="D486" i="4" s="1"/>
  <c r="BE488" i="4" l="1"/>
  <c r="BG488" i="4" s="1"/>
  <c r="G488" i="4"/>
  <c r="H487" i="4"/>
  <c r="D487" i="4" s="1"/>
  <c r="C487" i="4"/>
  <c r="BE489" i="4" l="1"/>
  <c r="BG489" i="4" s="1"/>
  <c r="H488" i="4"/>
  <c r="C488" i="4"/>
  <c r="D488" i="4"/>
  <c r="G489" i="4"/>
  <c r="BE490" i="4" l="1"/>
  <c r="BG490" i="4" s="1"/>
  <c r="C489" i="4"/>
  <c r="G490" i="4"/>
  <c r="H489" i="4"/>
  <c r="D489" i="4" s="1"/>
  <c r="BE491" i="4" l="1"/>
  <c r="BG491" i="4" s="1"/>
  <c r="G491" i="4"/>
  <c r="H490" i="4"/>
  <c r="D490" i="4" s="1"/>
  <c r="C490" i="4"/>
  <c r="BE492" i="4" l="1"/>
  <c r="BG492" i="4" s="1"/>
  <c r="H491" i="4"/>
  <c r="D491" i="4" s="1"/>
  <c r="G492" i="4"/>
  <c r="C491" i="4"/>
  <c r="BE493" i="4" l="1"/>
  <c r="BG493" i="4" s="1"/>
  <c r="G493" i="4"/>
  <c r="C492" i="4"/>
  <c r="H492" i="4"/>
  <c r="D492" i="4" s="1"/>
  <c r="BE494" i="4" l="1"/>
  <c r="BG494" i="4" s="1"/>
  <c r="G494" i="4"/>
  <c r="C493" i="4"/>
  <c r="H493" i="4"/>
  <c r="D493" i="4" s="1"/>
  <c r="BE495" i="4" l="1"/>
  <c r="BG495" i="4" s="1"/>
  <c r="H494" i="4"/>
  <c r="C494" i="4"/>
  <c r="D494" i="4"/>
  <c r="G495" i="4"/>
  <c r="BE496" i="4" l="1"/>
  <c r="BG496" i="4" s="1"/>
  <c r="C495" i="4"/>
  <c r="G496" i="4"/>
  <c r="H495" i="4"/>
  <c r="D495" i="4" s="1"/>
  <c r="BE497" i="4" l="1"/>
  <c r="BG497" i="4" s="1"/>
  <c r="G497" i="4"/>
  <c r="C496" i="4"/>
  <c r="H496" i="4"/>
  <c r="D496" i="4" s="1"/>
  <c r="BE498" i="4" l="1"/>
  <c r="BG498" i="4" s="1"/>
  <c r="H497" i="4"/>
  <c r="D497" i="4" s="1"/>
  <c r="G498" i="4"/>
  <c r="C497" i="4"/>
  <c r="BE499" i="4" l="1"/>
  <c r="BG499" i="4" s="1"/>
  <c r="C498" i="4"/>
  <c r="G499" i="4"/>
  <c r="H498" i="4"/>
  <c r="D498" i="4" s="1"/>
  <c r="BE500" i="4" l="1"/>
  <c r="BG500" i="4" s="1"/>
  <c r="C499" i="4"/>
  <c r="G500" i="4"/>
  <c r="H499" i="4"/>
  <c r="D499" i="4" s="1"/>
  <c r="BE501" i="4" l="1"/>
  <c r="BG501" i="4" s="1"/>
  <c r="H500" i="4"/>
  <c r="C500" i="4"/>
  <c r="D500" i="4"/>
  <c r="G501" i="4"/>
  <c r="BE502" i="4" l="1"/>
  <c r="BG502" i="4" s="1"/>
  <c r="C501" i="4"/>
  <c r="G502" i="4"/>
  <c r="H501" i="4"/>
  <c r="D501" i="4" s="1"/>
  <c r="BE503" i="4" l="1"/>
  <c r="BG503" i="4" s="1"/>
  <c r="C502" i="4"/>
  <c r="G503" i="4"/>
  <c r="H502" i="4"/>
  <c r="D502" i="4" s="1"/>
  <c r="BE504" i="4" l="1"/>
  <c r="BG504" i="4" s="1"/>
  <c r="H503" i="4"/>
  <c r="D503" i="4" s="1"/>
  <c r="G504" i="4"/>
  <c r="C503" i="4"/>
  <c r="BE505" i="4" l="1"/>
  <c r="BG505" i="4" s="1"/>
  <c r="C504" i="4"/>
  <c r="G505" i="4"/>
  <c r="H504" i="4"/>
  <c r="D504" i="4" s="1"/>
  <c r="BE506" i="4" l="1"/>
  <c r="BG506" i="4" s="1"/>
  <c r="G506" i="4"/>
  <c r="C505" i="4"/>
  <c r="H505" i="4"/>
  <c r="D505" i="4" s="1"/>
  <c r="BE507" i="4" l="1"/>
  <c r="BG507" i="4" s="1"/>
  <c r="H506" i="4"/>
  <c r="C506" i="4"/>
  <c r="D506" i="4"/>
  <c r="G507" i="4"/>
  <c r="BE508" i="4" l="1"/>
  <c r="BG508" i="4" s="1"/>
  <c r="H507" i="4"/>
  <c r="D507" i="4" s="1"/>
  <c r="C507" i="4"/>
  <c r="G508" i="4"/>
  <c r="BE509" i="4" l="1"/>
  <c r="BG509" i="4" s="1"/>
  <c r="G509" i="4"/>
  <c r="C508" i="4"/>
  <c r="H508" i="4"/>
  <c r="D508" i="4" s="1"/>
  <c r="BE510" i="4" l="1"/>
  <c r="BG510" i="4" s="1"/>
  <c r="H509" i="4"/>
  <c r="D509" i="4" s="1"/>
  <c r="G510" i="4"/>
  <c r="C509" i="4"/>
  <c r="BE511" i="4" l="1"/>
  <c r="BG511" i="4" s="1"/>
  <c r="G511" i="4"/>
  <c r="H510" i="4"/>
  <c r="D510" i="4" s="1"/>
  <c r="C510" i="4"/>
  <c r="BE512" i="4" l="1"/>
  <c r="BG512" i="4" s="1"/>
  <c r="C511" i="4"/>
  <c r="G512" i="4"/>
  <c r="H511" i="4"/>
  <c r="D511" i="4" s="1"/>
  <c r="BE513" i="4" l="1"/>
  <c r="BG513" i="4" s="1"/>
  <c r="C512" i="4"/>
  <c r="H512" i="4"/>
  <c r="D512" i="4" s="1"/>
  <c r="G513" i="4"/>
  <c r="BE514" i="4" l="1"/>
  <c r="BG514" i="4" s="1"/>
  <c r="G514" i="4"/>
  <c r="C513" i="4"/>
  <c r="H513" i="4"/>
  <c r="D513" i="4" s="1"/>
  <c r="BE515" i="4" l="1"/>
  <c r="BG515" i="4" s="1"/>
  <c r="C514" i="4"/>
  <c r="G515" i="4"/>
  <c r="H514" i="4"/>
  <c r="D514" i="4" s="1"/>
  <c r="BE516" i="4" l="1"/>
  <c r="BG516" i="4" s="1"/>
  <c r="G516" i="4"/>
  <c r="H515" i="4"/>
  <c r="D515" i="4" s="1"/>
  <c r="C515" i="4"/>
  <c r="BE517" i="4" l="1"/>
  <c r="BG517" i="4" s="1"/>
  <c r="C516" i="4"/>
  <c r="G517" i="4"/>
  <c r="H516" i="4"/>
  <c r="D516" i="4" s="1"/>
  <c r="BE518" i="4" l="1"/>
  <c r="BG518" i="4" s="1"/>
  <c r="G518" i="4"/>
  <c r="H517" i="4"/>
  <c r="D517" i="4" s="1"/>
  <c r="C517" i="4"/>
  <c r="BE519" i="4" l="1"/>
  <c r="BG519" i="4" s="1"/>
  <c r="H518" i="4"/>
  <c r="D518" i="4" s="1"/>
  <c r="C518" i="4"/>
  <c r="G519" i="4"/>
  <c r="BE520" i="4" l="1"/>
  <c r="BG520" i="4" s="1"/>
  <c r="C519" i="4"/>
  <c r="G520" i="4"/>
  <c r="H519" i="4"/>
  <c r="D519" i="4" s="1"/>
  <c r="BE521" i="4" l="1"/>
  <c r="BG521" i="4" s="1"/>
  <c r="H520" i="4"/>
  <c r="D520" i="4" s="1"/>
  <c r="G521" i="4"/>
  <c r="C520" i="4"/>
  <c r="BE522" i="4" l="1"/>
  <c r="BG522" i="4" s="1"/>
  <c r="G522" i="4"/>
  <c r="H521" i="4"/>
  <c r="D521" i="4" s="1"/>
  <c r="C521" i="4"/>
  <c r="BE523" i="4" l="1"/>
  <c r="BG523" i="4" s="1"/>
  <c r="G523" i="4"/>
  <c r="H522" i="4"/>
  <c r="D522" i="4" s="1"/>
  <c r="C522" i="4"/>
  <c r="BE524" i="4" l="1"/>
  <c r="BG524" i="4" s="1"/>
  <c r="G524" i="4"/>
  <c r="H523" i="4"/>
  <c r="D523" i="4" s="1"/>
  <c r="C523" i="4"/>
  <c r="BE525" i="4" l="1"/>
  <c r="BG525" i="4" s="1"/>
  <c r="H524" i="4"/>
  <c r="D524" i="4" s="1"/>
  <c r="C524" i="4"/>
  <c r="G525" i="4"/>
  <c r="BE526" i="4" l="1"/>
  <c r="BG526" i="4" s="1"/>
  <c r="C525" i="4"/>
  <c r="G526" i="4"/>
  <c r="H525" i="4"/>
  <c r="D525" i="4" s="1"/>
  <c r="BE527" i="4" l="1"/>
  <c r="BG527" i="4" s="1"/>
  <c r="H526" i="4"/>
  <c r="D526" i="4" s="1"/>
  <c r="G527" i="4"/>
  <c r="C526" i="4"/>
  <c r="BE528" i="4" l="1"/>
  <c r="BG528" i="4" s="1"/>
  <c r="G528" i="4"/>
  <c r="H527" i="4"/>
  <c r="D527" i="4" s="1"/>
  <c r="C527" i="4"/>
  <c r="BE529" i="4" l="1"/>
  <c r="BG529" i="4" s="1"/>
  <c r="C528" i="4"/>
  <c r="G529" i="4"/>
  <c r="H528" i="4"/>
  <c r="D528" i="4" s="1"/>
  <c r="BE530" i="4" l="1"/>
  <c r="BG530" i="4" s="1"/>
  <c r="C529" i="4"/>
  <c r="G530" i="4"/>
  <c r="H529" i="4"/>
  <c r="D529" i="4" s="1"/>
  <c r="BE531" i="4" l="1"/>
  <c r="BG531" i="4" s="1"/>
  <c r="H530" i="4"/>
  <c r="D530" i="4" s="1"/>
  <c r="G531" i="4"/>
  <c r="C530" i="4"/>
  <c r="BE532" i="4" l="1"/>
  <c r="BG532" i="4" s="1"/>
  <c r="C531" i="4"/>
  <c r="G532" i="4"/>
  <c r="H531" i="4"/>
  <c r="D531" i="4" s="1"/>
  <c r="BE533" i="4" l="1"/>
  <c r="BG533" i="4" s="1"/>
  <c r="G533" i="4"/>
  <c r="H532" i="4"/>
  <c r="D532" i="4" s="1"/>
  <c r="C532" i="4"/>
  <c r="BE534" i="4" l="1"/>
  <c r="BG534" i="4" s="1"/>
  <c r="G534" i="4"/>
  <c r="H533" i="4"/>
  <c r="D533" i="4" s="1"/>
  <c r="C533" i="4"/>
  <c r="BE535" i="4" l="1"/>
  <c r="BG535" i="4" s="1"/>
  <c r="H534" i="4"/>
  <c r="D534" i="4" s="1"/>
  <c r="G535" i="4"/>
  <c r="C534" i="4"/>
  <c r="BE536" i="4" l="1"/>
  <c r="BG536" i="4" s="1"/>
  <c r="H535" i="4"/>
  <c r="D535" i="4" s="1"/>
  <c r="G536" i="4"/>
  <c r="C535" i="4"/>
  <c r="BE537" i="4" l="1"/>
  <c r="BG537" i="4" s="1"/>
  <c r="H536" i="4"/>
  <c r="D536" i="4" s="1"/>
  <c r="G537" i="4"/>
  <c r="C536" i="4"/>
  <c r="BE538" i="4" l="1"/>
  <c r="BG538" i="4" s="1"/>
  <c r="C537" i="4"/>
  <c r="G538" i="4"/>
  <c r="H537" i="4"/>
  <c r="D537" i="4" s="1"/>
  <c r="BE539" i="4" l="1"/>
  <c r="BG539" i="4" s="1"/>
  <c r="G539" i="4"/>
  <c r="C538" i="4"/>
  <c r="H538" i="4"/>
  <c r="D538" i="4" s="1"/>
  <c r="BE540" i="4" l="1"/>
  <c r="BG540" i="4" s="1"/>
  <c r="G540" i="4"/>
  <c r="H539" i="4"/>
  <c r="D539" i="4" s="1"/>
  <c r="C539" i="4"/>
  <c r="BE541" i="4" l="1"/>
  <c r="BG541" i="4" s="1"/>
  <c r="G541" i="4"/>
  <c r="C540" i="4"/>
  <c r="H540" i="4"/>
  <c r="D540" i="4" s="1"/>
  <c r="BE542" i="4" l="1"/>
  <c r="BG542" i="4" s="1"/>
  <c r="G542" i="4"/>
  <c r="C541" i="4"/>
  <c r="H541" i="4"/>
  <c r="D541" i="4" s="1"/>
  <c r="BE543" i="4" l="1"/>
  <c r="BG543" i="4" s="1"/>
  <c r="H542" i="4"/>
  <c r="D542" i="4" s="1"/>
  <c r="G543" i="4"/>
  <c r="C542" i="4"/>
  <c r="BE544" i="4" l="1"/>
  <c r="BG544" i="4" s="1"/>
  <c r="C543" i="4"/>
  <c r="G544" i="4"/>
  <c r="H543" i="4"/>
  <c r="D543" i="4" s="1"/>
  <c r="BE545" i="4" l="1"/>
  <c r="BG545" i="4" s="1"/>
  <c r="C544" i="4"/>
  <c r="G545" i="4"/>
  <c r="H544" i="4"/>
  <c r="D544" i="4" s="1"/>
  <c r="BE546" i="4" l="1"/>
  <c r="BG546" i="4" s="1"/>
  <c r="G546" i="4"/>
  <c r="H545" i="4"/>
  <c r="D545" i="4" s="1"/>
  <c r="C545" i="4"/>
  <c r="BE547" i="4" l="1"/>
  <c r="BG547" i="4" s="1"/>
  <c r="G547" i="4"/>
  <c r="H546" i="4"/>
  <c r="D546" i="4" s="1"/>
  <c r="C546" i="4"/>
  <c r="BE548" i="4" l="1"/>
  <c r="BG548" i="4" s="1"/>
  <c r="C547" i="4"/>
  <c r="G548" i="4"/>
  <c r="H547" i="4"/>
  <c r="D547" i="4" s="1"/>
  <c r="BE549" i="4" l="1"/>
  <c r="BG549" i="4" s="1"/>
  <c r="H548" i="4"/>
  <c r="D548" i="4" s="1"/>
  <c r="G549" i="4"/>
  <c r="C548" i="4"/>
  <c r="BE550" i="4" l="1"/>
  <c r="BG550" i="4" s="1"/>
  <c r="H549" i="4"/>
  <c r="D549" i="4" s="1"/>
  <c r="C549" i="4"/>
  <c r="G550" i="4"/>
  <c r="BE551" i="4" l="1"/>
  <c r="BG551" i="4" s="1"/>
  <c r="G551" i="4"/>
  <c r="C550" i="4"/>
  <c r="H550" i="4"/>
  <c r="D550" i="4" s="1"/>
  <c r="BE552" i="4" l="1"/>
  <c r="BG552" i="4" s="1"/>
  <c r="G552" i="4"/>
  <c r="C551" i="4"/>
  <c r="H551" i="4"/>
  <c r="D551" i="4" s="1"/>
  <c r="BE553" i="4" l="1"/>
  <c r="BG553" i="4" s="1"/>
  <c r="G553" i="4"/>
  <c r="H552" i="4"/>
  <c r="D552" i="4" s="1"/>
  <c r="C552" i="4"/>
  <c r="BE554" i="4" l="1"/>
  <c r="BG554" i="4" s="1"/>
  <c r="G554" i="4"/>
  <c r="H553" i="4"/>
  <c r="D553" i="4" s="1"/>
  <c r="C553" i="4"/>
  <c r="BE555" i="4" l="1"/>
  <c r="BG555" i="4" s="1"/>
  <c r="G555" i="4"/>
  <c r="H554" i="4"/>
  <c r="D554" i="4" s="1"/>
  <c r="C554" i="4"/>
  <c r="BE556" i="4" l="1"/>
  <c r="BG556" i="4" s="1"/>
  <c r="C555" i="4"/>
  <c r="G556" i="4"/>
  <c r="H555" i="4"/>
  <c r="D555" i="4" s="1"/>
  <c r="BE557" i="4" l="1"/>
  <c r="BG557" i="4" s="1"/>
  <c r="C556" i="4"/>
  <c r="G557" i="4"/>
  <c r="H556" i="4"/>
  <c r="D556" i="4" s="1"/>
  <c r="BE558" i="4" l="1"/>
  <c r="BG558" i="4" s="1"/>
  <c r="H557" i="4"/>
  <c r="D557" i="4" s="1"/>
  <c r="G558" i="4"/>
  <c r="C557" i="4"/>
  <c r="BE559" i="4" l="1"/>
  <c r="BG559" i="4" s="1"/>
  <c r="H558" i="4"/>
  <c r="D558" i="4" s="1"/>
  <c r="G559" i="4"/>
  <c r="C558" i="4"/>
  <c r="BE560" i="4" l="1"/>
  <c r="BG560" i="4" s="1"/>
  <c r="H559" i="4"/>
  <c r="D559" i="4" s="1"/>
  <c r="G560" i="4"/>
  <c r="C559" i="4"/>
  <c r="BE561" i="4" l="1"/>
  <c r="BG561" i="4" s="1"/>
  <c r="H560" i="4"/>
  <c r="D560" i="4" s="1"/>
  <c r="G561" i="4"/>
  <c r="C560" i="4"/>
  <c r="BE562" i="4" l="1"/>
  <c r="BG562" i="4" s="1"/>
  <c r="H561" i="4"/>
  <c r="D561" i="4" s="1"/>
  <c r="C561" i="4"/>
  <c r="G562" i="4"/>
  <c r="BE563" i="4" l="1"/>
  <c r="BG563" i="4" s="1"/>
  <c r="C562" i="4"/>
  <c r="G563" i="4"/>
  <c r="H562" i="4"/>
  <c r="D562" i="4" s="1"/>
  <c r="BE564" i="4" l="1"/>
  <c r="BG564" i="4" s="1"/>
  <c r="H563" i="4"/>
  <c r="D563" i="4" s="1"/>
  <c r="G564" i="4"/>
  <c r="C563" i="4"/>
  <c r="BE565" i="4" l="1"/>
  <c r="BG565" i="4" s="1"/>
  <c r="C564" i="4"/>
  <c r="G565" i="4"/>
  <c r="H564" i="4"/>
  <c r="D564" i="4" s="1"/>
  <c r="BE566" i="4" l="1"/>
  <c r="BG566" i="4" s="1"/>
  <c r="H565" i="4"/>
  <c r="D565" i="4" s="1"/>
  <c r="G566" i="4"/>
  <c r="C565" i="4"/>
  <c r="BE567" i="4" l="1"/>
  <c r="BG567" i="4" s="1"/>
  <c r="H566" i="4"/>
  <c r="D566" i="4" s="1"/>
  <c r="G567" i="4"/>
  <c r="C566" i="4"/>
  <c r="BE568" i="4" l="1"/>
  <c r="BG568" i="4" s="1"/>
  <c r="H567" i="4"/>
  <c r="D567" i="4" s="1"/>
  <c r="C567" i="4"/>
  <c r="G568" i="4"/>
  <c r="BE569" i="4" l="1"/>
  <c r="BG569" i="4" s="1"/>
  <c r="H568" i="4"/>
  <c r="D568" i="4" s="1"/>
  <c r="G569" i="4"/>
  <c r="C568" i="4"/>
  <c r="BE570" i="4" l="1"/>
  <c r="BG570" i="4" s="1"/>
  <c r="H569" i="4"/>
  <c r="D569" i="4" s="1"/>
  <c r="G570" i="4"/>
  <c r="C569" i="4"/>
  <c r="BE571" i="4" l="1"/>
  <c r="BG571" i="4" s="1"/>
  <c r="G571" i="4"/>
  <c r="C570" i="4"/>
  <c r="H570" i="4"/>
  <c r="D570" i="4" s="1"/>
  <c r="BE572" i="4" l="1"/>
  <c r="BG572" i="4" s="1"/>
  <c r="G572" i="4"/>
  <c r="H571" i="4"/>
  <c r="D571" i="4" s="1"/>
  <c r="C571" i="4"/>
  <c r="BE573" i="4" l="1"/>
  <c r="BG573" i="4" s="1"/>
  <c r="G573" i="4"/>
  <c r="C572" i="4"/>
  <c r="H572" i="4"/>
  <c r="D572" i="4" s="1"/>
  <c r="BE574" i="4" l="1"/>
  <c r="BG574" i="4" s="1"/>
  <c r="H573" i="4"/>
  <c r="D573" i="4" s="1"/>
  <c r="C573" i="4"/>
  <c r="G574" i="4"/>
  <c r="BE575" i="4" l="1"/>
  <c r="BG575" i="4" s="1"/>
  <c r="C574" i="4"/>
  <c r="G575" i="4"/>
  <c r="H574" i="4"/>
  <c r="D574" i="4" s="1"/>
  <c r="BE576" i="4" l="1"/>
  <c r="BG576" i="4" s="1"/>
  <c r="G576" i="4"/>
  <c r="C575" i="4"/>
  <c r="H575" i="4"/>
  <c r="D575" i="4" s="1"/>
  <c r="BE577" i="4" l="1"/>
  <c r="BG577" i="4" s="1"/>
  <c r="G577" i="4"/>
  <c r="H576" i="4"/>
  <c r="D576" i="4" s="1"/>
  <c r="C576" i="4"/>
  <c r="BE578" i="4" l="1"/>
  <c r="BG578" i="4" s="1"/>
  <c r="G578" i="4"/>
  <c r="C577" i="4"/>
  <c r="H577" i="4"/>
  <c r="D577" i="4" s="1"/>
  <c r="BE579" i="4" l="1"/>
  <c r="BG579" i="4" s="1"/>
  <c r="H578" i="4"/>
  <c r="D578" i="4" s="1"/>
  <c r="G579" i="4"/>
  <c r="C578" i="4"/>
  <c r="BE580" i="4" l="1"/>
  <c r="BG580" i="4" s="1"/>
  <c r="H579" i="4"/>
  <c r="D579" i="4" s="1"/>
  <c r="C579" i="4"/>
  <c r="G580" i="4"/>
  <c r="BE581" i="4" l="1"/>
  <c r="BG581" i="4" s="1"/>
  <c r="H580" i="4"/>
  <c r="D580" i="4" s="1"/>
  <c r="G581" i="4"/>
  <c r="C580" i="4"/>
  <c r="BE582" i="4" l="1"/>
  <c r="BG582" i="4" s="1"/>
  <c r="H581" i="4"/>
  <c r="D581" i="4" s="1"/>
  <c r="G582" i="4"/>
  <c r="C581" i="4"/>
  <c r="BE583" i="4" l="1"/>
  <c r="BG583" i="4" s="1"/>
  <c r="C582" i="4"/>
  <c r="G583" i="4"/>
  <c r="H582" i="4"/>
  <c r="D582" i="4" s="1"/>
  <c r="BE584" i="4" l="1"/>
  <c r="BG584" i="4" s="1"/>
  <c r="G584" i="4"/>
  <c r="H583" i="4"/>
  <c r="D583" i="4" s="1"/>
  <c r="C583" i="4"/>
  <c r="BE585" i="4" l="1"/>
  <c r="BG585" i="4" s="1"/>
  <c r="C584" i="4"/>
  <c r="G585" i="4"/>
  <c r="H584" i="4"/>
  <c r="D584" i="4" s="1"/>
  <c r="BE586" i="4" l="1"/>
  <c r="BG586" i="4" s="1"/>
  <c r="G586" i="4"/>
  <c r="H585" i="4"/>
  <c r="D585" i="4" s="1"/>
  <c r="C585" i="4"/>
  <c r="BE587" i="4" l="1"/>
  <c r="BG587" i="4" s="1"/>
  <c r="H586" i="4"/>
  <c r="D586" i="4" s="1"/>
  <c r="C586" i="4"/>
  <c r="G587" i="4"/>
  <c r="BE588" i="4" l="1"/>
  <c r="BG588" i="4" s="1"/>
  <c r="H587" i="4"/>
  <c r="D587" i="4" s="1"/>
  <c r="C587" i="4"/>
  <c r="G588" i="4"/>
  <c r="BE589" i="4" l="1"/>
  <c r="BG589" i="4" s="1"/>
  <c r="C588" i="4"/>
  <c r="H588" i="4"/>
  <c r="D588" i="4" s="1"/>
  <c r="G589" i="4"/>
  <c r="BE590" i="4" l="1"/>
  <c r="BG590" i="4" s="1"/>
  <c r="H589" i="4"/>
  <c r="G590" i="4"/>
  <c r="C589" i="4"/>
  <c r="D589" i="4"/>
  <c r="BE591" i="4" l="1"/>
  <c r="BG591" i="4" s="1"/>
  <c r="C590" i="4"/>
  <c r="G591" i="4"/>
  <c r="H590" i="4"/>
  <c r="D590" i="4" s="1"/>
  <c r="BE592" i="4" l="1"/>
  <c r="BG592" i="4" s="1"/>
  <c r="C591" i="4"/>
  <c r="G592" i="4"/>
  <c r="H591" i="4"/>
  <c r="D591" i="4" s="1"/>
  <c r="BE593" i="4" l="1"/>
  <c r="BG593" i="4" s="1"/>
  <c r="G593" i="4"/>
  <c r="C592" i="4"/>
  <c r="H592" i="4"/>
  <c r="D592" i="4" s="1"/>
  <c r="BE594" i="4" l="1"/>
  <c r="BG594" i="4" s="1"/>
  <c r="G594" i="4"/>
  <c r="H593" i="4"/>
  <c r="D593" i="4" s="1"/>
  <c r="C593" i="4"/>
  <c r="BE595" i="4" l="1"/>
  <c r="BG595" i="4" s="1"/>
  <c r="C594" i="4"/>
  <c r="G595" i="4"/>
  <c r="H594" i="4"/>
  <c r="D594" i="4" s="1"/>
  <c r="BE596" i="4" l="1"/>
  <c r="BG596" i="4" s="1"/>
  <c r="C595" i="4"/>
  <c r="G596" i="4"/>
  <c r="H595" i="4"/>
  <c r="D595" i="4" s="1"/>
  <c r="BE597" i="4" l="1"/>
  <c r="BG597" i="4" s="1"/>
  <c r="H596" i="4"/>
  <c r="D596" i="4" s="1"/>
  <c r="G597" i="4"/>
  <c r="C596" i="4"/>
  <c r="BE598" i="4" l="1"/>
  <c r="BG598" i="4" s="1"/>
  <c r="G598" i="4"/>
  <c r="C597" i="4"/>
  <c r="H597" i="4"/>
  <c r="D597" i="4" s="1"/>
  <c r="BE599" i="4" l="1"/>
  <c r="BG599" i="4" s="1"/>
  <c r="C598" i="4"/>
  <c r="G599" i="4"/>
  <c r="H598" i="4"/>
  <c r="D598" i="4" s="1"/>
  <c r="BE600" i="4" l="1"/>
  <c r="BG600" i="4" s="1"/>
  <c r="G600" i="4"/>
  <c r="H599" i="4"/>
  <c r="D599" i="4" s="1"/>
  <c r="C599" i="4"/>
  <c r="BE601" i="4" l="1"/>
  <c r="BG601" i="4" s="1"/>
  <c r="G601" i="4"/>
  <c r="C600" i="4"/>
  <c r="H600" i="4"/>
  <c r="D600" i="4" s="1"/>
  <c r="BE602" i="4" l="1"/>
  <c r="BG602" i="4" s="1"/>
  <c r="G602" i="4"/>
  <c r="H601" i="4"/>
  <c r="D601" i="4" s="1"/>
  <c r="C601" i="4"/>
  <c r="BE603" i="4" l="1"/>
  <c r="BG603" i="4" s="1"/>
  <c r="G603" i="4"/>
  <c r="C602" i="4"/>
  <c r="H602" i="4"/>
  <c r="D602" i="4" s="1"/>
  <c r="BE604" i="4" l="1"/>
  <c r="BG604" i="4" s="1"/>
  <c r="C603" i="4"/>
  <c r="G604" i="4"/>
  <c r="H603" i="4"/>
  <c r="D603" i="4" s="1"/>
  <c r="BE605" i="4" l="1"/>
  <c r="BG605" i="4" s="1"/>
  <c r="G605" i="4"/>
  <c r="H604" i="4"/>
  <c r="D604" i="4" s="1"/>
  <c r="C604" i="4"/>
  <c r="BE606" i="4" l="1"/>
  <c r="BG606" i="4" s="1"/>
  <c r="C605" i="4"/>
  <c r="G606" i="4"/>
  <c r="H605" i="4"/>
  <c r="D605" i="4"/>
  <c r="BE607" i="4" l="1"/>
  <c r="BG607" i="4" s="1"/>
  <c r="G607" i="4"/>
  <c r="C606" i="4"/>
  <c r="H606" i="4"/>
  <c r="D606" i="4" s="1"/>
  <c r="BE608" i="4" l="1"/>
  <c r="BG608" i="4" s="1"/>
  <c r="G608" i="4"/>
  <c r="H607" i="4"/>
  <c r="D607" i="4" s="1"/>
  <c r="C607" i="4"/>
  <c r="BE609" i="4" l="1"/>
  <c r="BG609" i="4" s="1"/>
  <c r="C608" i="4"/>
  <c r="G609" i="4"/>
  <c r="H608" i="4"/>
  <c r="D608" i="4" s="1"/>
  <c r="BE610" i="4" l="1"/>
  <c r="BG610" i="4" s="1"/>
  <c r="C609" i="4"/>
  <c r="H609" i="4"/>
  <c r="D609" i="4" s="1"/>
  <c r="G610" i="4"/>
  <c r="BE611" i="4" l="1"/>
  <c r="BG611" i="4" s="1"/>
  <c r="H610" i="4"/>
  <c r="D610" i="4" s="1"/>
  <c r="C610" i="4"/>
  <c r="G611" i="4"/>
  <c r="BE612" i="4" l="1"/>
  <c r="BG612" i="4" s="1"/>
  <c r="C611" i="4"/>
  <c r="H611" i="4"/>
  <c r="D611" i="4" s="1"/>
  <c r="G612" i="4"/>
  <c r="BE613" i="4" l="1"/>
  <c r="BG613" i="4" s="1"/>
  <c r="H612" i="4"/>
  <c r="D612" i="4" s="1"/>
  <c r="C612" i="4"/>
  <c r="G613" i="4"/>
  <c r="BE614" i="4" l="1"/>
  <c r="BG614" i="4" s="1"/>
  <c r="G614" i="4"/>
  <c r="H613" i="4"/>
  <c r="D613" i="4" s="1"/>
  <c r="C613" i="4"/>
  <c r="BE615" i="4" l="1"/>
  <c r="BG615" i="4" s="1"/>
  <c r="H614" i="4"/>
  <c r="D614" i="4" s="1"/>
  <c r="C614" i="4"/>
  <c r="G615" i="4"/>
  <c r="BE616" i="4" l="1"/>
  <c r="BG616" i="4" s="1"/>
  <c r="G616" i="4"/>
  <c r="C615" i="4"/>
  <c r="H615" i="4"/>
  <c r="D615" i="4" s="1"/>
  <c r="BE617" i="4" l="1"/>
  <c r="BG617" i="4" s="1"/>
  <c r="C616" i="4"/>
  <c r="G617" i="4"/>
  <c r="H616" i="4"/>
  <c r="D616" i="4" s="1"/>
  <c r="BE618" i="4" l="1"/>
  <c r="BG618" i="4" s="1"/>
  <c r="H617" i="4"/>
  <c r="D617" i="4" s="1"/>
  <c r="G618" i="4"/>
  <c r="C617" i="4"/>
  <c r="BE619" i="4" l="1"/>
  <c r="BG619" i="4" s="1"/>
  <c r="C618" i="4"/>
  <c r="G619" i="4"/>
  <c r="H618" i="4"/>
  <c r="D618" i="4" s="1"/>
  <c r="BE620" i="4" l="1"/>
  <c r="BG620" i="4" s="1"/>
  <c r="H619" i="4"/>
  <c r="D619" i="4" s="1"/>
  <c r="C619" i="4"/>
  <c r="G620" i="4"/>
  <c r="BE621" i="4" l="1"/>
  <c r="BG621" i="4" s="1"/>
  <c r="C620" i="4"/>
  <c r="H620" i="4"/>
  <c r="D620" i="4" s="1"/>
  <c r="G621" i="4"/>
  <c r="BE622" i="4" l="1"/>
  <c r="BG622" i="4" s="1"/>
  <c r="G622" i="4"/>
  <c r="H621" i="4"/>
  <c r="D621" i="4" s="1"/>
  <c r="C621" i="4"/>
  <c r="BE623" i="4" l="1"/>
  <c r="BG623" i="4" s="1"/>
  <c r="H622" i="4"/>
  <c r="D622" i="4" s="1"/>
  <c r="G623" i="4"/>
  <c r="C622" i="4"/>
  <c r="BE624" i="4" l="1"/>
  <c r="BG624" i="4" s="1"/>
  <c r="G624" i="4"/>
  <c r="C623" i="4"/>
  <c r="H623" i="4"/>
  <c r="D623" i="4" s="1"/>
  <c r="BE625" i="4" l="1"/>
  <c r="BG625" i="4" s="1"/>
  <c r="C624" i="4"/>
  <c r="G625" i="4"/>
  <c r="H624" i="4"/>
  <c r="D624" i="4" s="1"/>
  <c r="BE626" i="4" l="1"/>
  <c r="BG626" i="4" s="1"/>
  <c r="H625" i="4"/>
  <c r="C625" i="4"/>
  <c r="D625" i="4"/>
  <c r="G626" i="4"/>
  <c r="BE627" i="4" l="1"/>
  <c r="BG627" i="4" s="1"/>
  <c r="H626" i="4"/>
  <c r="D626" i="4" s="1"/>
  <c r="C626" i="4"/>
  <c r="G627" i="4"/>
  <c r="BE628" i="4" l="1"/>
  <c r="BG628" i="4" s="1"/>
  <c r="G628" i="4"/>
  <c r="C627" i="4"/>
  <c r="H627" i="4"/>
  <c r="D627" i="4" s="1"/>
  <c r="BE629" i="4" l="1"/>
  <c r="BG629" i="4" s="1"/>
  <c r="G629" i="4"/>
  <c r="H628" i="4"/>
  <c r="D628" i="4" s="1"/>
  <c r="C628" i="4"/>
  <c r="BE630" i="4" l="1"/>
  <c r="BG630" i="4" s="1"/>
  <c r="G630" i="4"/>
  <c r="C629" i="4"/>
  <c r="H629" i="4"/>
  <c r="D629" i="4" s="1"/>
  <c r="BE631" i="4" l="1"/>
  <c r="BG631" i="4" s="1"/>
  <c r="G631" i="4"/>
  <c r="H630" i="4"/>
  <c r="C630" i="4"/>
  <c r="D630" i="4"/>
  <c r="BE632" i="4" l="1"/>
  <c r="BG632" i="4" s="1"/>
  <c r="H631" i="4"/>
  <c r="C631" i="4"/>
  <c r="D631" i="4"/>
  <c r="G632" i="4"/>
  <c r="BE633" i="4" l="1"/>
  <c r="BG633" i="4" s="1"/>
  <c r="C632" i="4"/>
  <c r="G633" i="4"/>
  <c r="H632" i="4"/>
  <c r="D632" i="4" s="1"/>
  <c r="BE634" i="4" l="1"/>
  <c r="BG634" i="4" s="1"/>
  <c r="G634" i="4"/>
  <c r="C633" i="4"/>
  <c r="H633" i="4"/>
  <c r="D633" i="4" s="1"/>
  <c r="BE635" i="4" l="1"/>
  <c r="BG635" i="4" s="1"/>
  <c r="H634" i="4"/>
  <c r="D634" i="4" s="1"/>
  <c r="G635" i="4"/>
  <c r="C634" i="4"/>
  <c r="BE636" i="4" l="1"/>
  <c r="BG636" i="4" s="1"/>
  <c r="H635" i="4"/>
  <c r="D635" i="4" s="1"/>
  <c r="C635" i="4"/>
  <c r="G636" i="4"/>
  <c r="BE637" i="4" l="1"/>
  <c r="BG637" i="4" s="1"/>
  <c r="G637" i="4"/>
  <c r="H636" i="4"/>
  <c r="D636" i="4" s="1"/>
  <c r="C636" i="4"/>
  <c r="BE638" i="4" l="1"/>
  <c r="BG638" i="4" s="1"/>
  <c r="H637" i="4"/>
  <c r="C637" i="4"/>
  <c r="D637" i="4"/>
  <c r="G638" i="4"/>
  <c r="BE639" i="4" l="1"/>
  <c r="BG639" i="4" s="1"/>
  <c r="H638" i="4"/>
  <c r="D638" i="4" s="1"/>
  <c r="C638" i="4"/>
  <c r="G639" i="4"/>
  <c r="BE640" i="4" l="1"/>
  <c r="BG640" i="4" s="1"/>
  <c r="C639" i="4"/>
  <c r="G640" i="4"/>
  <c r="H639" i="4"/>
  <c r="D639" i="4" s="1"/>
  <c r="BE641" i="4" l="1"/>
  <c r="BG641" i="4" s="1"/>
  <c r="C640" i="4"/>
  <c r="G641" i="4"/>
  <c r="H640" i="4"/>
  <c r="D640" i="4" s="1"/>
  <c r="BE642" i="4" l="1"/>
  <c r="BG642" i="4" s="1"/>
  <c r="C641" i="4"/>
  <c r="G642" i="4"/>
  <c r="H641" i="4"/>
  <c r="D641" i="4" s="1"/>
  <c r="BE643" i="4" l="1"/>
  <c r="BG643" i="4" s="1"/>
  <c r="C642" i="4"/>
  <c r="G643" i="4"/>
  <c r="H642" i="4"/>
  <c r="D642" i="4" s="1"/>
  <c r="BE644" i="4" l="1"/>
  <c r="BG644" i="4" s="1"/>
  <c r="H643" i="4"/>
  <c r="D643" i="4" s="1"/>
  <c r="C643" i="4"/>
  <c r="G644" i="4"/>
  <c r="BE645" i="4" l="1"/>
  <c r="BG645" i="4" s="1"/>
  <c r="C644" i="4"/>
  <c r="G645" i="4"/>
  <c r="H644" i="4"/>
  <c r="D644" i="4" s="1"/>
  <c r="BE646" i="4" l="1"/>
  <c r="BG646" i="4" s="1"/>
  <c r="H645" i="4"/>
  <c r="D645" i="4" s="1"/>
  <c r="G646" i="4"/>
  <c r="C645" i="4"/>
  <c r="BE647" i="4" l="1"/>
  <c r="BG647" i="4" s="1"/>
  <c r="G647" i="4"/>
  <c r="H646" i="4"/>
  <c r="D646" i="4" s="1"/>
  <c r="C646" i="4"/>
  <c r="BE648" i="4" l="1"/>
  <c r="BG648" i="4" s="1"/>
  <c r="H647" i="4"/>
  <c r="D647" i="4" s="1"/>
  <c r="G648" i="4"/>
  <c r="C647" i="4"/>
  <c r="BE649" i="4" l="1"/>
  <c r="BG649" i="4" s="1"/>
  <c r="H648" i="4"/>
  <c r="D648" i="4" s="1"/>
  <c r="G649" i="4"/>
  <c r="C648" i="4"/>
  <c r="BE650" i="4" l="1"/>
  <c r="BG650" i="4" s="1"/>
  <c r="G650" i="4"/>
  <c r="H649" i="4"/>
  <c r="C649" i="4"/>
  <c r="D649" i="4"/>
  <c r="BE651" i="4" l="1"/>
  <c r="BG651" i="4" s="1"/>
  <c r="C650" i="4"/>
  <c r="G651" i="4"/>
  <c r="H650" i="4"/>
  <c r="D650" i="4" s="1"/>
  <c r="BE652" i="4" l="1"/>
  <c r="BG652" i="4" s="1"/>
  <c r="G652" i="4"/>
  <c r="C651" i="4"/>
  <c r="H651" i="4"/>
  <c r="D651" i="4" s="1"/>
  <c r="BE653" i="4" l="1"/>
  <c r="BG653" i="4" s="1"/>
  <c r="G653" i="4"/>
  <c r="H652" i="4"/>
  <c r="D652" i="4" s="1"/>
  <c r="C652" i="4"/>
  <c r="BE654" i="4" l="1"/>
  <c r="BG654" i="4" s="1"/>
  <c r="G654" i="4"/>
  <c r="C653" i="4"/>
  <c r="H653" i="4"/>
  <c r="D653" i="4" s="1"/>
  <c r="BE655" i="4" l="1"/>
  <c r="BG655" i="4" s="1"/>
  <c r="G655" i="4"/>
  <c r="H654" i="4"/>
  <c r="C654" i="4"/>
  <c r="D654" i="4"/>
  <c r="BE656" i="4" l="1"/>
  <c r="BG656" i="4" s="1"/>
  <c r="H655" i="4"/>
  <c r="C655" i="4"/>
  <c r="D655" i="4"/>
  <c r="G656" i="4"/>
  <c r="BE657" i="4" l="1"/>
  <c r="BG657" i="4" s="1"/>
  <c r="H656" i="4"/>
  <c r="D656" i="4" s="1"/>
  <c r="C656" i="4"/>
  <c r="G657" i="4"/>
  <c r="BE658" i="4" l="1"/>
  <c r="BG658" i="4" s="1"/>
  <c r="G658" i="4"/>
  <c r="H657" i="4"/>
  <c r="D657" i="4" s="1"/>
  <c r="C657" i="4"/>
  <c r="BE659" i="4" l="1"/>
  <c r="BG659" i="4" s="1"/>
  <c r="G659" i="4"/>
  <c r="H658" i="4"/>
  <c r="D658" i="4" s="1"/>
  <c r="C658" i="4"/>
  <c r="BE660" i="4" l="1"/>
  <c r="BG660" i="4" s="1"/>
  <c r="C659" i="4"/>
  <c r="G660" i="4"/>
  <c r="H659" i="4"/>
  <c r="D659" i="4" s="1"/>
  <c r="BE661" i="4" l="1"/>
  <c r="BG661" i="4" s="1"/>
  <c r="H660" i="4"/>
  <c r="D660" i="4" s="1"/>
  <c r="C660" i="4"/>
  <c r="G661" i="4"/>
  <c r="BE662" i="4" l="1"/>
  <c r="BG662" i="4" s="1"/>
  <c r="H661" i="4"/>
  <c r="D661" i="4"/>
  <c r="G662" i="4"/>
  <c r="C661" i="4"/>
  <c r="BE663" i="4" l="1"/>
  <c r="BG663" i="4" s="1"/>
  <c r="C662" i="4"/>
  <c r="H662" i="4"/>
  <c r="D662" i="4" s="1"/>
  <c r="G663" i="4"/>
  <c r="BE664" i="4" l="1"/>
  <c r="BG664" i="4" s="1"/>
  <c r="G664" i="4"/>
  <c r="H663" i="4"/>
  <c r="D663" i="4" s="1"/>
  <c r="C663" i="4"/>
  <c r="BE665" i="4" l="1"/>
  <c r="BG665" i="4" s="1"/>
  <c r="H664" i="4"/>
  <c r="D664" i="4" s="1"/>
  <c r="G665" i="4"/>
  <c r="C664" i="4"/>
  <c r="BE666" i="4" l="1"/>
  <c r="BG666" i="4" s="1"/>
  <c r="G666" i="4"/>
  <c r="C665" i="4"/>
  <c r="H665" i="4"/>
  <c r="D665" i="4" s="1"/>
  <c r="BE667" i="4" l="1"/>
  <c r="BG667" i="4" s="1"/>
  <c r="G667" i="4"/>
  <c r="H666" i="4"/>
  <c r="D666" i="4" s="1"/>
  <c r="C666" i="4"/>
  <c r="BE668" i="4" l="1"/>
  <c r="BG668" i="4" s="1"/>
  <c r="H667" i="4"/>
  <c r="C667" i="4"/>
  <c r="D667" i="4"/>
  <c r="G668" i="4"/>
  <c r="BE669" i="4" l="1"/>
  <c r="BG669" i="4" s="1"/>
  <c r="H668" i="4"/>
  <c r="D668" i="4" s="1"/>
  <c r="C668" i="4"/>
  <c r="G669" i="4"/>
  <c r="BE670" i="4" l="1"/>
  <c r="BG670" i="4" s="1"/>
  <c r="C669" i="4"/>
  <c r="G670" i="4"/>
  <c r="H669" i="4"/>
  <c r="D669" i="4" s="1"/>
  <c r="BE671" i="4" l="1"/>
  <c r="BG671" i="4" s="1"/>
  <c r="H670" i="4"/>
  <c r="D670" i="4" s="1"/>
  <c r="G671" i="4"/>
  <c r="C670" i="4"/>
  <c r="BE672" i="4" l="1"/>
  <c r="BG672" i="4" s="1"/>
  <c r="G672" i="4"/>
  <c r="C671" i="4"/>
  <c r="H671" i="4"/>
  <c r="D671" i="4" s="1"/>
  <c r="BE673" i="4" l="1"/>
  <c r="BG673" i="4" s="1"/>
  <c r="H672" i="4"/>
  <c r="D672" i="4" s="1"/>
  <c r="G673" i="4"/>
  <c r="C672" i="4"/>
  <c r="BE674" i="4" l="1"/>
  <c r="BG674" i="4" s="1"/>
  <c r="H673" i="4"/>
  <c r="C673" i="4"/>
  <c r="D673" i="4"/>
  <c r="G674" i="4"/>
  <c r="BE675" i="4" l="1"/>
  <c r="BG675" i="4" s="1"/>
  <c r="H674" i="4"/>
  <c r="D674" i="4" s="1"/>
  <c r="C674" i="4"/>
  <c r="G675" i="4"/>
  <c r="BE676" i="4" l="1"/>
  <c r="BG676" i="4" s="1"/>
  <c r="G676" i="4"/>
  <c r="H675" i="4"/>
  <c r="D675" i="4" s="1"/>
  <c r="C675" i="4"/>
  <c r="BE677" i="4" l="1"/>
  <c r="BG677" i="4" s="1"/>
  <c r="G677" i="4"/>
  <c r="H676" i="4"/>
  <c r="D676" i="4" s="1"/>
  <c r="C676" i="4"/>
  <c r="BE678" i="4" l="1"/>
  <c r="BG678" i="4" s="1"/>
  <c r="C677" i="4"/>
  <c r="G678" i="4"/>
  <c r="H677" i="4"/>
  <c r="D677" i="4" s="1"/>
  <c r="BE679" i="4" l="1"/>
  <c r="BG679" i="4" s="1"/>
  <c r="G679" i="4"/>
  <c r="H678" i="4"/>
  <c r="D678" i="4" s="1"/>
  <c r="C678" i="4"/>
  <c r="BE680" i="4" l="1"/>
  <c r="BG680" i="4" s="1"/>
  <c r="H679" i="4"/>
  <c r="D679" i="4" s="1"/>
  <c r="C679" i="4"/>
  <c r="G680" i="4"/>
  <c r="BE681" i="4" l="1"/>
  <c r="BG681" i="4" s="1"/>
  <c r="C680" i="4"/>
  <c r="G681" i="4"/>
  <c r="H680" i="4"/>
  <c r="D680" i="4" s="1"/>
  <c r="BE682" i="4" l="1"/>
  <c r="BG682" i="4" s="1"/>
  <c r="G682" i="4"/>
  <c r="H681" i="4"/>
  <c r="D681" i="4" s="1"/>
  <c r="C681" i="4"/>
  <c r="BE683" i="4" l="1"/>
  <c r="BG683" i="4" s="1"/>
  <c r="G683" i="4"/>
  <c r="H682" i="4"/>
  <c r="D682" i="4" s="1"/>
  <c r="C682" i="4"/>
  <c r="BE684" i="4" l="1"/>
  <c r="BG684" i="4" s="1"/>
  <c r="C683" i="4"/>
  <c r="G684" i="4"/>
  <c r="H683" i="4"/>
  <c r="D683" i="4" s="1"/>
  <c r="BE685" i="4" l="1"/>
  <c r="BG685" i="4" s="1"/>
  <c r="G685" i="4"/>
  <c r="C684" i="4"/>
  <c r="H684" i="4"/>
  <c r="D684" i="4" s="1"/>
  <c r="BE686" i="4" l="1"/>
  <c r="BG686" i="4" s="1"/>
  <c r="H685" i="4"/>
  <c r="C685" i="4"/>
  <c r="D685" i="4"/>
  <c r="G686" i="4"/>
  <c r="BE687" i="4" l="1"/>
  <c r="BG687" i="4" s="1"/>
  <c r="C686" i="4"/>
  <c r="G687" i="4"/>
  <c r="H686" i="4"/>
  <c r="D686" i="4" s="1"/>
  <c r="BE688" i="4" l="1"/>
  <c r="BG688" i="4" s="1"/>
  <c r="G688" i="4"/>
  <c r="C687" i="4"/>
  <c r="H687" i="4"/>
  <c r="D687" i="4" s="1"/>
  <c r="BE689" i="4" l="1"/>
  <c r="BG689" i="4" s="1"/>
  <c r="H688" i="4"/>
  <c r="D688" i="4" s="1"/>
  <c r="G689" i="4"/>
  <c r="C688" i="4"/>
  <c r="BE690" i="4" l="1"/>
  <c r="BG690" i="4" s="1"/>
  <c r="G690" i="4"/>
  <c r="H689" i="4"/>
  <c r="D689" i="4" s="1"/>
  <c r="C689" i="4"/>
  <c r="BE691" i="4" l="1"/>
  <c r="BG691" i="4" s="1"/>
  <c r="H690" i="4"/>
  <c r="D690" i="4" s="1"/>
  <c r="G691" i="4"/>
  <c r="C690" i="4"/>
  <c r="BE692" i="4" l="1"/>
  <c r="BG692" i="4" s="1"/>
  <c r="H691" i="4"/>
  <c r="C691" i="4"/>
  <c r="D691" i="4"/>
  <c r="G692" i="4"/>
  <c r="BE693" i="4" l="1"/>
  <c r="BG693" i="4" s="1"/>
  <c r="C692" i="4"/>
  <c r="G693" i="4"/>
  <c r="H692" i="4"/>
  <c r="D692" i="4" s="1"/>
  <c r="BE694" i="4" l="1"/>
  <c r="BG694" i="4" s="1"/>
  <c r="H693" i="4"/>
  <c r="D693" i="4" s="1"/>
  <c r="G694" i="4"/>
  <c r="C693" i="4"/>
  <c r="BE695" i="4" l="1"/>
  <c r="BG695" i="4" s="1"/>
  <c r="C694" i="4"/>
  <c r="G695" i="4"/>
  <c r="H694" i="4"/>
  <c r="D694" i="4" s="1"/>
  <c r="BE696" i="4" l="1"/>
  <c r="BG696" i="4" s="1"/>
  <c r="H695" i="4"/>
  <c r="D695" i="4" s="1"/>
  <c r="G696" i="4"/>
  <c r="C695" i="4"/>
  <c r="BE697" i="4" l="1"/>
  <c r="BG697" i="4" s="1"/>
  <c r="G697" i="4"/>
  <c r="C696" i="4"/>
  <c r="H696" i="4"/>
  <c r="D696" i="4" s="1"/>
  <c r="BE698" i="4" l="1"/>
  <c r="BG698" i="4" s="1"/>
  <c r="H697" i="4"/>
  <c r="C697" i="4"/>
  <c r="D697" i="4"/>
  <c r="G698" i="4"/>
  <c r="BE699" i="4" l="1"/>
  <c r="BG699" i="4" s="1"/>
  <c r="H698" i="4"/>
  <c r="D698" i="4" s="1"/>
  <c r="C698" i="4"/>
  <c r="G699" i="4"/>
  <c r="BE700" i="4" l="1"/>
  <c r="BG700" i="4" s="1"/>
  <c r="G700" i="4"/>
  <c r="H699" i="4"/>
  <c r="D699" i="4" s="1"/>
  <c r="C699" i="4"/>
  <c r="BE701" i="4" l="1"/>
  <c r="BG701" i="4" s="1"/>
  <c r="G701" i="4"/>
  <c r="H700" i="4"/>
  <c r="D700" i="4" s="1"/>
  <c r="C700" i="4"/>
  <c r="BE702" i="4" l="1"/>
  <c r="BG702" i="4" s="1"/>
  <c r="G702" i="4"/>
  <c r="C701" i="4"/>
  <c r="H701" i="4"/>
  <c r="D701" i="4" s="1"/>
  <c r="BE703" i="4" l="1"/>
  <c r="BG703" i="4" s="1"/>
  <c r="G703" i="4"/>
  <c r="H702" i="4"/>
  <c r="D702" i="4" s="1"/>
  <c r="C702" i="4"/>
  <c r="AQ703" i="4"/>
  <c r="AQ83" i="4"/>
  <c r="AQ313" i="4"/>
  <c r="AQ525" i="4"/>
  <c r="AQ269" i="4"/>
  <c r="AQ687" i="4"/>
  <c r="AQ287" i="4"/>
  <c r="AQ655" i="4"/>
  <c r="AQ456" i="4"/>
  <c r="AQ487" i="4"/>
  <c r="AQ94" i="4"/>
  <c r="AQ563" i="4"/>
  <c r="AQ458" i="4"/>
  <c r="AQ204" i="4"/>
  <c r="AQ156" i="4"/>
  <c r="AQ303" i="4"/>
  <c r="AQ698" i="4"/>
  <c r="AQ500" i="4"/>
  <c r="AQ417" i="4"/>
  <c r="AQ206" i="4"/>
  <c r="AQ355" i="4"/>
  <c r="AQ189" i="4"/>
  <c r="AQ638" i="4"/>
  <c r="AQ580" i="4"/>
  <c r="AQ612" i="4"/>
  <c r="AQ425" i="4"/>
  <c r="AQ147" i="4"/>
  <c r="AQ504" i="4"/>
  <c r="AQ469" i="4"/>
  <c r="AQ518" i="4"/>
  <c r="AQ315" i="4"/>
  <c r="AQ697" i="4"/>
  <c r="AQ666" i="4"/>
  <c r="AQ194" i="4"/>
  <c r="AQ590" i="4"/>
  <c r="AQ255" i="4"/>
  <c r="AQ134" i="4"/>
  <c r="AQ577" i="4"/>
  <c r="AQ185" i="4"/>
  <c r="AQ18" i="4"/>
  <c r="AQ121" i="4"/>
  <c r="AQ64" i="4"/>
  <c r="AQ158" i="4"/>
  <c r="AQ556" i="4"/>
  <c r="AQ109" i="4"/>
  <c r="AQ311" i="4"/>
  <c r="AQ167" i="4"/>
  <c r="AQ530" i="4"/>
  <c r="AQ424" i="4"/>
  <c r="AQ558" i="4"/>
  <c r="AQ539" i="4"/>
  <c r="AQ221" i="4"/>
  <c r="AQ110" i="4"/>
  <c r="AQ567" i="4"/>
  <c r="AQ610" i="4"/>
  <c r="AQ268" i="4"/>
  <c r="AQ326" i="4"/>
  <c r="AQ528" i="4"/>
  <c r="AQ154" i="4"/>
  <c r="AQ447" i="4"/>
  <c r="AQ490" i="4"/>
  <c r="AQ368" i="4"/>
  <c r="AQ308" i="4"/>
  <c r="AQ343" i="4"/>
  <c r="AQ668" i="4"/>
  <c r="AQ454" i="4"/>
  <c r="AQ301" i="4"/>
  <c r="AQ280" i="4"/>
  <c r="AQ640" i="4"/>
  <c r="AQ509" i="4"/>
  <c r="AQ151" i="4"/>
  <c r="AQ694" i="4"/>
  <c r="AQ616" i="4"/>
  <c r="AQ511" i="4"/>
  <c r="AQ182" i="4"/>
  <c r="AQ142" i="4"/>
  <c r="AQ607" i="4"/>
  <c r="AQ631" i="4"/>
  <c r="AQ137" i="4"/>
  <c r="AQ685" i="4"/>
  <c r="AQ160" i="4"/>
  <c r="AQ43" i="4"/>
  <c r="AQ135" i="4"/>
  <c r="AQ499" i="4"/>
  <c r="AQ60" i="4"/>
  <c r="AQ614" i="4"/>
  <c r="AQ119" i="4"/>
  <c r="AQ257" i="4"/>
  <c r="AQ549" i="4"/>
  <c r="AQ606" i="4"/>
  <c r="AQ647" i="4"/>
  <c r="AQ354" i="4"/>
  <c r="AQ254" i="4"/>
  <c r="AQ492" i="4"/>
  <c r="AQ99" i="4"/>
  <c r="AQ472" i="4"/>
  <c r="AQ401" i="4"/>
  <c r="AQ674" i="4"/>
  <c r="AQ325" i="4"/>
  <c r="AQ65" i="4"/>
  <c r="AQ409" i="4"/>
  <c r="AQ309" i="4"/>
  <c r="AQ480" i="4"/>
  <c r="AQ230" i="4"/>
  <c r="AQ619" i="4"/>
  <c r="AQ237" i="4"/>
  <c r="AQ444" i="4"/>
  <c r="AQ625" i="4"/>
  <c r="AQ270" i="4"/>
  <c r="AQ276" i="4"/>
  <c r="AQ583" i="4"/>
  <c r="AQ483" i="4"/>
  <c r="AQ302" i="4"/>
  <c r="AQ701" i="4"/>
  <c r="AQ673" i="4"/>
  <c r="AQ529" i="4"/>
  <c r="AQ406" i="4"/>
  <c r="AQ21" i="4"/>
  <c r="AQ2" i="4"/>
  <c r="AQ241" i="4"/>
  <c r="AQ340" i="4"/>
  <c r="AQ510" i="4"/>
  <c r="AQ523" i="4"/>
  <c r="AQ33" i="4"/>
  <c r="AQ699" i="4"/>
  <c r="AQ205" i="4"/>
  <c r="AQ78" i="4"/>
  <c r="AQ290" i="4"/>
  <c r="AQ531" i="4"/>
  <c r="AQ320" i="4"/>
  <c r="AQ675" i="4"/>
  <c r="AQ248" i="4"/>
  <c r="AQ453" i="4"/>
  <c r="AQ209" i="4"/>
  <c r="AQ244" i="4"/>
  <c r="AQ520" i="4"/>
  <c r="AQ342" i="4"/>
  <c r="AQ163" i="4"/>
  <c r="AQ282" i="4"/>
  <c r="AQ611" i="4"/>
  <c r="AQ259" i="4"/>
  <c r="AQ148" i="4"/>
  <c r="AQ594" i="4"/>
  <c r="AQ478" i="4"/>
  <c r="AQ659" i="4"/>
  <c r="AQ296" i="4"/>
  <c r="AQ398" i="4"/>
  <c r="AQ314" i="4"/>
  <c r="AQ81" i="4"/>
  <c r="AQ651" i="4"/>
  <c r="AQ284" i="4"/>
  <c r="AQ348" i="4"/>
  <c r="AQ138" i="4"/>
  <c r="AQ571" i="4"/>
  <c r="AQ118" i="4"/>
  <c r="AQ155" i="4"/>
  <c r="AQ133" i="4"/>
  <c r="AQ225" i="4"/>
  <c r="AQ506" i="4"/>
  <c r="AQ455" i="4"/>
  <c r="AQ538" i="4"/>
  <c r="AQ92" i="4"/>
  <c r="AQ627" i="4"/>
  <c r="AQ684" i="4"/>
  <c r="AQ53" i="4"/>
  <c r="AQ93" i="4"/>
  <c r="AQ395" i="4"/>
  <c r="AQ323" i="4"/>
  <c r="AQ199" i="4"/>
  <c r="AQ557" i="4"/>
  <c r="AQ170" i="4"/>
  <c r="AQ50" i="4"/>
  <c r="AQ542" i="4"/>
  <c r="AQ385" i="4"/>
  <c r="AQ235" i="4"/>
  <c r="AQ108" i="4"/>
  <c r="AQ159" i="4"/>
  <c r="AQ600" i="4"/>
  <c r="AQ391" i="4"/>
  <c r="AQ464" i="4"/>
  <c r="AQ396" i="4"/>
  <c r="AQ689" i="4"/>
  <c r="AQ291" i="4"/>
  <c r="AQ279" i="4"/>
  <c r="AQ430" i="4"/>
  <c r="AQ633" i="4"/>
  <c r="AQ432" i="4"/>
  <c r="AQ393" i="4"/>
  <c r="AQ374" i="4"/>
  <c r="AQ514" i="4"/>
  <c r="AQ171" i="4"/>
  <c r="AQ263" i="4"/>
  <c r="AQ232" i="4"/>
  <c r="AQ653" i="4"/>
  <c r="AQ318" i="4"/>
  <c r="AQ620" i="4"/>
  <c r="AQ435" i="4"/>
  <c r="AQ289" i="4"/>
  <c r="AQ598" i="4"/>
  <c r="AQ277" i="4"/>
  <c r="AQ162" i="4"/>
  <c r="AQ662" i="4"/>
  <c r="AQ543" i="4"/>
  <c r="AQ635" i="4"/>
  <c r="AQ341" i="4"/>
  <c r="AQ9" i="4"/>
  <c r="AQ495" i="4"/>
  <c r="AQ369" i="4"/>
  <c r="AQ546" i="4"/>
  <c r="AQ51" i="4"/>
  <c r="AQ488" i="4"/>
  <c r="AQ663" i="4"/>
  <c r="AQ213" i="4"/>
  <c r="AQ286" i="4"/>
  <c r="AQ517" i="4"/>
  <c r="AQ127" i="4"/>
  <c r="AQ475" i="4"/>
  <c r="AQ630" i="4"/>
  <c r="AQ146" i="4"/>
  <c r="AQ281" i="4"/>
  <c r="AQ438" i="4"/>
  <c r="AQ565" i="4"/>
  <c r="AQ274" i="4"/>
  <c r="AQ123" i="4"/>
  <c r="AQ524" i="4"/>
  <c r="AQ98" i="4"/>
  <c r="AQ512" i="4"/>
  <c r="AQ215" i="4"/>
  <c r="AQ79" i="4"/>
  <c r="AQ392" i="4"/>
  <c r="AQ437" i="4"/>
  <c r="AQ253" i="4"/>
  <c r="AQ90" i="4"/>
  <c r="AQ362" i="4"/>
  <c r="AQ426" i="4"/>
  <c r="AQ84" i="4"/>
  <c r="AQ452" i="4"/>
  <c r="AQ46" i="4"/>
  <c r="AQ364" i="4"/>
  <c r="AQ440" i="4"/>
  <c r="AQ131" i="4"/>
  <c r="AQ219" i="4"/>
  <c r="AQ526" i="4"/>
  <c r="AQ165" i="4"/>
  <c r="AQ700" i="4"/>
  <c r="AQ505" i="4"/>
  <c r="AQ80" i="4"/>
  <c r="AQ443" i="4"/>
  <c r="AQ441" i="4"/>
  <c r="AQ97" i="4"/>
  <c r="AQ144" i="4"/>
  <c r="AQ240" i="4"/>
  <c r="AQ149" i="4"/>
  <c r="AQ579" i="4"/>
  <c r="AQ227" i="4"/>
  <c r="AQ184" i="4"/>
  <c r="AQ223" i="4"/>
  <c r="AQ176" i="4"/>
  <c r="AQ568" i="4"/>
  <c r="AQ233" i="4"/>
  <c r="AQ164" i="4"/>
  <c r="AQ422" i="4"/>
  <c r="AQ548" i="4"/>
  <c r="AQ467" i="4"/>
  <c r="AQ70" i="4"/>
  <c r="AQ193" i="4"/>
  <c r="AQ360" i="4"/>
  <c r="AQ317" i="4"/>
  <c r="AQ414" i="4"/>
  <c r="AQ8" i="4"/>
  <c r="AQ365" i="4"/>
  <c r="AQ107" i="4"/>
  <c r="AQ143" i="4"/>
  <c r="AQ604" i="4"/>
  <c r="AQ101" i="4"/>
  <c r="AQ14" i="4"/>
  <c r="AQ471" i="4"/>
  <c r="AQ202" i="4"/>
  <c r="AQ573" i="4"/>
  <c r="AQ238" i="4"/>
  <c r="AQ413" i="4"/>
  <c r="AQ331" i="4"/>
  <c r="AQ681" i="4"/>
  <c r="AQ384" i="4"/>
  <c r="AQ7" i="4"/>
  <c r="AQ390" i="4"/>
  <c r="AQ307" i="4"/>
  <c r="AQ324" i="4"/>
  <c r="AQ294" i="4"/>
  <c r="AQ470" i="4"/>
  <c r="AQ249" i="4"/>
  <c r="AQ450" i="4"/>
  <c r="AQ203" i="4"/>
  <c r="AQ22" i="4"/>
  <c r="AQ461" i="4"/>
  <c r="AQ596" i="4"/>
  <c r="AQ136" i="4"/>
  <c r="AQ686" i="4"/>
  <c r="AQ648" i="4"/>
  <c r="AQ387" i="4"/>
  <c r="AQ197" i="4"/>
  <c r="AQ224" i="4"/>
  <c r="AQ322" i="4"/>
  <c r="AQ100" i="4"/>
  <c r="AQ507" i="4"/>
  <c r="AQ477" i="4"/>
  <c r="AQ91" i="4"/>
  <c r="AQ157" i="4"/>
  <c r="AQ214" i="4"/>
  <c r="AQ68" i="4"/>
  <c r="AQ321" i="4"/>
  <c r="AQ116" i="4"/>
  <c r="AQ4" i="4"/>
  <c r="AQ63" i="4"/>
  <c r="AQ431" i="4"/>
  <c r="AQ615" i="4"/>
  <c r="AQ575" i="4"/>
  <c r="AQ498" i="4"/>
  <c r="AQ593" i="4"/>
  <c r="AQ335" i="4"/>
  <c r="AQ262" i="4"/>
  <c r="AQ446" i="4"/>
  <c r="AQ493" i="4"/>
  <c r="AQ377" i="4"/>
  <c r="AQ486" i="4"/>
  <c r="AQ412" i="4"/>
  <c r="AQ312" i="4"/>
  <c r="AQ637" i="4"/>
  <c r="AQ473" i="4"/>
  <c r="AQ310" i="4"/>
  <c r="AQ608" i="4"/>
  <c r="AQ419" i="4"/>
  <c r="AQ128" i="4"/>
  <c r="AQ380" i="4"/>
  <c r="AQ95" i="4"/>
  <c r="AQ169" i="4"/>
  <c r="AQ533" i="4"/>
  <c r="AQ236" i="4"/>
  <c r="AQ551" i="4"/>
  <c r="AQ210" i="4"/>
  <c r="AQ389" i="4"/>
  <c r="AQ589" i="4"/>
  <c r="AQ103" i="4"/>
  <c r="AQ17" i="4"/>
  <c r="AQ72" i="4"/>
  <c r="AQ28" i="4"/>
  <c r="AQ410" i="4"/>
  <c r="AQ266" i="4"/>
  <c r="AQ295" i="4"/>
  <c r="AQ180" i="4"/>
  <c r="AQ272" i="4"/>
  <c r="AQ334" i="4"/>
  <c r="AQ415" i="4"/>
  <c r="AQ71" i="4"/>
  <c r="AQ462" i="4"/>
  <c r="AQ382" i="4"/>
  <c r="AQ481" i="4"/>
  <c r="AQ652" i="4"/>
  <c r="AQ252" i="4"/>
  <c r="AQ260" i="4"/>
  <c r="AQ298" i="4"/>
  <c r="AQ661" i="4"/>
  <c r="AQ179" i="4"/>
  <c r="AQ30" i="4"/>
  <c r="AQ132" i="4"/>
  <c r="AQ561" i="4"/>
  <c r="AQ669" i="4"/>
  <c r="AQ283" i="4"/>
  <c r="AQ16" i="4"/>
  <c r="AQ408" i="4"/>
  <c r="AQ503" i="4"/>
  <c r="AQ220" i="4"/>
  <c r="AQ42" i="4"/>
  <c r="AQ201" i="4"/>
  <c r="AQ212" i="4"/>
  <c r="AQ88" i="4"/>
  <c r="AQ6" i="4"/>
  <c r="AQ353" i="4"/>
  <c r="AQ44" i="4"/>
  <c r="AQ688" i="4"/>
  <c r="AQ386" i="4"/>
  <c r="AQ476" i="4"/>
  <c r="AQ29" i="4"/>
  <c r="AQ139" i="4"/>
  <c r="AQ636" i="4"/>
  <c r="AQ407" i="4"/>
  <c r="AQ297" i="4"/>
  <c r="AQ449" i="4"/>
  <c r="AQ258" i="4"/>
  <c r="AQ629" i="4"/>
  <c r="AQ250" i="4"/>
  <c r="AQ465" i="4"/>
  <c r="AQ692" i="4"/>
  <c r="AQ105" i="4"/>
  <c r="AQ329" i="4"/>
  <c r="AQ601" i="4"/>
  <c r="AQ402" i="4"/>
  <c r="AQ621" i="4"/>
  <c r="AQ183" i="4"/>
  <c r="AQ34" i="4"/>
  <c r="AQ55" i="4"/>
  <c r="AQ643" i="4"/>
  <c r="AQ332" i="4"/>
  <c r="AQ305" i="4"/>
  <c r="AQ357" i="4"/>
  <c r="AQ375" i="4"/>
  <c r="AQ664" i="4"/>
  <c r="AQ656" i="4"/>
  <c r="AQ45" i="4"/>
  <c r="AQ682" i="4"/>
  <c r="AQ485" i="4"/>
  <c r="AQ501" i="4"/>
  <c r="AQ545" i="4"/>
  <c r="AQ338" i="4"/>
  <c r="AQ129" i="4"/>
  <c r="AQ366" i="4"/>
  <c r="AQ427" i="4"/>
  <c r="AQ48" i="4"/>
  <c r="AQ553" i="4"/>
  <c r="AQ665" i="4"/>
  <c r="AQ111" i="4"/>
  <c r="AQ433" i="4"/>
  <c r="AQ356" i="4"/>
  <c r="AQ683" i="4"/>
  <c r="AQ273" i="4"/>
  <c r="AQ372" i="4"/>
  <c r="AQ595" i="4"/>
  <c r="AQ126" i="4"/>
  <c r="AQ173" i="4"/>
  <c r="AQ333" i="4"/>
  <c r="AQ497" i="4"/>
  <c r="AQ555" i="4"/>
  <c r="AQ261" i="4"/>
  <c r="AQ693" i="4"/>
  <c r="AQ41" i="4"/>
  <c r="AQ592" i="4"/>
  <c r="AQ102" i="4"/>
  <c r="AQ560" i="4"/>
  <c r="AQ251" i="4"/>
  <c r="AQ602" i="4"/>
  <c r="AQ125" i="4"/>
  <c r="AQ429" i="4"/>
  <c r="AQ246" i="4"/>
  <c r="AQ466" i="4"/>
  <c r="AQ222" i="4"/>
  <c r="AQ198" i="4"/>
  <c r="AQ597" i="4"/>
  <c r="AQ77" i="4"/>
  <c r="AQ40" i="4"/>
  <c r="AQ217" i="4"/>
  <c r="AQ618" i="4"/>
  <c r="AQ150" i="4"/>
  <c r="AQ541" i="4"/>
  <c r="AQ352" i="4"/>
  <c r="AQ494" i="4"/>
  <c r="AQ566" i="4"/>
  <c r="AQ691" i="4"/>
  <c r="AQ275" i="4"/>
  <c r="AQ285" i="4"/>
  <c r="AQ457" i="4"/>
  <c r="AQ439" i="4"/>
  <c r="AQ15" i="4"/>
  <c r="AQ373" i="4"/>
  <c r="AQ578" i="4"/>
  <c r="AQ394" i="4"/>
  <c r="AQ634" i="4"/>
  <c r="AQ141" i="4"/>
  <c r="AQ69" i="4"/>
  <c r="AQ527" i="4"/>
  <c r="AQ57" i="4"/>
  <c r="AQ658" i="4"/>
  <c r="AQ448" i="4"/>
  <c r="AQ626" i="4"/>
  <c r="AQ552" i="4"/>
  <c r="AQ346" i="4"/>
  <c r="AQ574" i="4"/>
  <c r="AQ288" i="4"/>
  <c r="AQ442" i="4"/>
  <c r="AQ122" i="4"/>
  <c r="AQ536" i="4"/>
  <c r="AQ649" i="4"/>
  <c r="AQ178" i="4"/>
  <c r="AQ12" i="4"/>
  <c r="AQ397" i="4"/>
  <c r="AQ603" i="4"/>
  <c r="AQ403" i="4"/>
  <c r="AQ27" i="4"/>
  <c r="AQ104" i="4"/>
  <c r="AQ59" i="4"/>
  <c r="AQ20" i="4"/>
  <c r="AQ339" i="4"/>
  <c r="AQ554" i="4"/>
  <c r="AQ641" i="4"/>
  <c r="AQ271" i="4"/>
  <c r="AQ535" i="4"/>
  <c r="AQ351" i="4"/>
  <c r="AQ239" i="4"/>
  <c r="AQ491" i="4"/>
  <c r="AQ62" i="4"/>
  <c r="AQ36" i="4"/>
  <c r="AQ349" i="4"/>
  <c r="AQ617" i="4"/>
  <c r="AQ196" i="4"/>
  <c r="AQ316" i="4"/>
  <c r="AQ613" i="4"/>
  <c r="AQ130" i="4"/>
  <c r="AQ363" i="4"/>
  <c r="AQ191" i="4"/>
  <c r="AQ404" i="4"/>
  <c r="AQ388" i="4"/>
  <c r="AQ657" i="4"/>
  <c r="AQ31" i="4"/>
  <c r="AQ654" i="4"/>
  <c r="AQ168" i="4"/>
  <c r="AQ89" i="4"/>
  <c r="AQ153" i="4"/>
  <c r="AQ86" i="4"/>
  <c r="AQ445" i="4"/>
  <c r="AQ367" i="4"/>
  <c r="AQ609" i="4"/>
  <c r="AQ87" i="4"/>
  <c r="AQ559" i="4"/>
  <c r="AQ292" i="4"/>
  <c r="AQ76" i="4"/>
  <c r="AQ411" i="4"/>
  <c r="AQ420" i="4"/>
  <c r="AQ599" i="4"/>
  <c r="AQ3" i="4"/>
  <c r="AQ534" i="4"/>
  <c r="AQ52" i="4"/>
  <c r="AQ642" i="4"/>
  <c r="AQ679" i="4"/>
  <c r="AQ695" i="4"/>
  <c r="AQ463" i="4"/>
  <c r="AQ581" i="4"/>
  <c r="AQ228" i="4"/>
  <c r="AQ582" i="4"/>
  <c r="AQ330" i="4"/>
  <c r="AQ547" i="4"/>
  <c r="AQ208" i="4"/>
  <c r="AQ13" i="4"/>
  <c r="AQ400" i="4"/>
  <c r="AQ187" i="4"/>
  <c r="AQ75" i="4"/>
  <c r="AQ588" i="4"/>
  <c r="AQ190" i="4"/>
  <c r="AQ67" i="4"/>
  <c r="AQ11" i="4"/>
  <c r="AQ645" i="4"/>
  <c r="AQ350" i="4"/>
  <c r="AQ304" i="4"/>
  <c r="AQ591" i="4"/>
  <c r="AQ670" i="4"/>
  <c r="AQ306" i="4"/>
  <c r="AQ245" i="4"/>
  <c r="AQ421" i="4"/>
  <c r="AQ117" i="4"/>
  <c r="AQ231" i="4"/>
  <c r="AQ516" i="4"/>
  <c r="AQ120" i="4"/>
  <c r="AQ605" i="4"/>
  <c r="AQ23" i="4"/>
  <c r="AQ25" i="4"/>
  <c r="AQ383" i="4"/>
  <c r="AQ361" i="4"/>
  <c r="AQ678" i="4"/>
  <c r="AQ175" i="4"/>
  <c r="AQ24" i="4"/>
  <c r="AQ344" i="4"/>
  <c r="AQ345" i="4"/>
  <c r="AQ508" i="4"/>
  <c r="AQ418" i="4"/>
  <c r="AQ35" i="4"/>
  <c r="AQ690" i="4"/>
  <c r="AQ381" i="4"/>
  <c r="AQ537" i="4"/>
  <c r="AQ106" i="4"/>
  <c r="AQ624" i="4"/>
  <c r="AQ672" i="4"/>
  <c r="AQ200" i="4"/>
  <c r="AQ572" i="4"/>
  <c r="AQ405" i="4"/>
  <c r="AQ399" i="4"/>
  <c r="AQ207" i="4"/>
  <c r="AQ696" i="4"/>
  <c r="AQ10" i="4"/>
  <c r="AQ532" i="4"/>
  <c r="AQ702" i="4"/>
  <c r="AQ677" i="4"/>
  <c r="AQ152" i="4"/>
  <c r="AQ26" i="4"/>
  <c r="AQ47" i="4"/>
  <c r="AQ540" i="4"/>
  <c r="AQ188" i="4"/>
  <c r="AQ186" i="4"/>
  <c r="AQ218" i="4"/>
  <c r="AQ359" i="4"/>
  <c r="AQ216" i="4"/>
  <c r="AQ576" i="4"/>
  <c r="AQ522" i="4"/>
  <c r="AQ550" i="4"/>
  <c r="AQ622" i="4"/>
  <c r="AQ39" i="4"/>
  <c r="AQ569" i="4"/>
  <c r="AQ484" i="4"/>
  <c r="AQ646" i="4"/>
  <c r="AQ650" i="4"/>
  <c r="AQ378" i="4"/>
  <c r="AQ460" i="4"/>
  <c r="AQ544" i="4"/>
  <c r="AQ521" i="4"/>
  <c r="AQ115" i="4"/>
  <c r="AQ585" i="4"/>
  <c r="AQ371" i="4"/>
  <c r="AQ639" i="4"/>
  <c r="AQ211" i="4"/>
  <c r="AQ174" i="4"/>
  <c r="AQ256" i="4"/>
  <c r="AQ54" i="4"/>
  <c r="AQ56" i="4"/>
  <c r="AQ85" i="4"/>
  <c r="AQ74" i="4"/>
  <c r="AQ242" i="4"/>
  <c r="AQ660" i="4"/>
  <c r="AQ265" i="4"/>
  <c r="AQ513" i="4"/>
  <c r="AQ628" i="4"/>
  <c r="AQ451" i="4"/>
  <c r="AQ112" i="4"/>
  <c r="AQ319" i="4"/>
  <c r="AQ667" i="4"/>
  <c r="AQ434" i="4"/>
  <c r="AQ299" i="4"/>
  <c r="AQ459" i="4"/>
  <c r="AQ38" i="4"/>
  <c r="AQ644" i="4"/>
  <c r="AQ234" i="4"/>
  <c r="AQ82" i="4"/>
  <c r="AQ293" i="4"/>
  <c r="AQ676" i="4"/>
  <c r="AQ584" i="4"/>
  <c r="AQ73" i="4"/>
  <c r="AQ114" i="4"/>
  <c r="AQ358" i="4"/>
  <c r="AQ347" i="4"/>
  <c r="AQ562" i="4"/>
  <c r="AQ416" i="4"/>
  <c r="AQ278" i="4"/>
  <c r="AQ337" i="4"/>
  <c r="AQ379" i="4"/>
  <c r="AQ166" i="4"/>
  <c r="AQ370" i="4"/>
  <c r="AQ474" i="4"/>
  <c r="AQ49" i="4"/>
  <c r="AQ124" i="4"/>
  <c r="AQ671" i="4"/>
  <c r="AQ623" i="4"/>
  <c r="AQ58" i="4"/>
  <c r="AQ96" i="4"/>
  <c r="AQ376" i="4"/>
  <c r="AQ181" i="4"/>
  <c r="AQ145" i="4"/>
  <c r="AQ177" i="4"/>
  <c r="AQ496" i="4"/>
  <c r="AQ192" i="4"/>
  <c r="AQ32" i="4"/>
  <c r="AQ247" i="4"/>
  <c r="AQ327" i="4"/>
  <c r="AQ515" i="4"/>
  <c r="AQ680" i="4"/>
  <c r="AQ229" i="4"/>
  <c r="AQ519" i="4"/>
  <c r="AQ482" i="4"/>
  <c r="AQ564" i="4"/>
  <c r="AQ423" i="4"/>
  <c r="AQ502" i="4"/>
  <c r="AQ161" i="4"/>
  <c r="AQ243" i="4"/>
  <c r="AQ61" i="4"/>
  <c r="AQ428" i="4"/>
  <c r="AQ468" i="4"/>
  <c r="AQ328" i="4"/>
  <c r="AQ113" i="4"/>
  <c r="AQ66" i="4"/>
  <c r="AQ19" i="4"/>
  <c r="AQ587" i="4"/>
  <c r="AQ489" i="4"/>
  <c r="AQ172" i="4"/>
  <c r="AQ140" i="4"/>
  <c r="AQ37" i="4"/>
  <c r="AQ264" i="4"/>
  <c r="AQ226" i="4"/>
  <c r="AQ436" i="4"/>
  <c r="AQ300" i="4"/>
  <c r="AQ195" i="4"/>
  <c r="AQ479" i="4"/>
  <c r="AQ632" i="4"/>
  <c r="AQ267" i="4"/>
  <c r="AQ570" i="4"/>
  <c r="AQ586" i="4"/>
  <c r="AQ5" i="4"/>
  <c r="AQ336" i="4"/>
  <c r="BE704" i="4" l="1"/>
  <c r="BG704" i="4" s="1"/>
  <c r="AQ704" i="4" s="1"/>
  <c r="H703" i="4"/>
  <c r="C703" i="4"/>
  <c r="G704" i="4"/>
  <c r="D703" i="4"/>
  <c r="BE705" i="4" l="1"/>
  <c r="BG705" i="4" s="1"/>
  <c r="AQ705" i="4" s="1"/>
  <c r="C704" i="4"/>
  <c r="G705" i="4"/>
  <c r="H704" i="4"/>
  <c r="D704" i="4" s="1"/>
  <c r="BE706" i="4" l="1"/>
  <c r="BG706" i="4" s="1"/>
  <c r="AQ706" i="4" s="1"/>
  <c r="C705" i="4"/>
  <c r="G706" i="4"/>
  <c r="H705" i="4"/>
  <c r="D705" i="4" s="1"/>
  <c r="BE707" i="4" l="1"/>
  <c r="BG707" i="4" s="1"/>
  <c r="C706" i="4"/>
  <c r="G707" i="4"/>
  <c r="H706" i="4"/>
  <c r="D706" i="4" s="1"/>
  <c r="AQ707" i="4"/>
  <c r="BE708" i="4" l="1"/>
  <c r="BG708" i="4" s="1"/>
  <c r="AQ708" i="4" s="1"/>
  <c r="G708" i="4"/>
  <c r="H707" i="4"/>
  <c r="D707" i="4" s="1"/>
  <c r="C707" i="4"/>
  <c r="BE709" i="4" l="1"/>
  <c r="BG709" i="4" s="1"/>
  <c r="AQ709" i="4" s="1"/>
  <c r="C708" i="4"/>
  <c r="G709" i="4"/>
  <c r="H708" i="4"/>
  <c r="D708" i="4" s="1"/>
  <c r="BE710" i="4" l="1"/>
  <c r="BG710" i="4" s="1"/>
  <c r="H709" i="4"/>
  <c r="C709" i="4"/>
  <c r="D709" i="4"/>
  <c r="G710" i="4"/>
  <c r="AQ710" i="4"/>
  <c r="BE711" i="4" l="1"/>
  <c r="BG711" i="4" s="1"/>
  <c r="C710" i="4"/>
  <c r="G711" i="4"/>
  <c r="H710" i="4"/>
  <c r="D710" i="4" s="1"/>
  <c r="AQ711" i="4"/>
  <c r="BE712" i="4" l="1"/>
  <c r="BG712" i="4" s="1"/>
  <c r="AQ712" i="4" s="1"/>
  <c r="G712" i="4"/>
  <c r="H711" i="4"/>
  <c r="D711" i="4" s="1"/>
  <c r="C711" i="4"/>
  <c r="BE713" i="4" l="1"/>
  <c r="BG713" i="4" s="1"/>
  <c r="AQ713" i="4" s="1"/>
  <c r="C712" i="4"/>
  <c r="G713" i="4"/>
  <c r="H712" i="4"/>
  <c r="D712" i="4" s="1"/>
  <c r="BE714" i="4" l="1"/>
  <c r="BG714" i="4" s="1"/>
  <c r="AQ714" i="4" s="1"/>
  <c r="G714" i="4"/>
  <c r="H713" i="4"/>
  <c r="D713" i="4" s="1"/>
  <c r="C713" i="4"/>
  <c r="BE715" i="4" l="1"/>
  <c r="BG715" i="4" s="1"/>
  <c r="G715" i="4"/>
  <c r="C714" i="4"/>
  <c r="H714" i="4"/>
  <c r="D714" i="4" s="1"/>
  <c r="AQ715" i="4"/>
  <c r="BE716" i="4" l="1"/>
  <c r="BG716" i="4" s="1"/>
  <c r="AQ716" i="4" s="1"/>
  <c r="H715" i="4"/>
  <c r="D715" i="4" s="1"/>
  <c r="C715" i="4"/>
  <c r="G716" i="4"/>
  <c r="BE717" i="4" l="1"/>
  <c r="BG717" i="4" s="1"/>
  <c r="AQ717" i="4" s="1"/>
  <c r="H716" i="4"/>
  <c r="D716" i="4" s="1"/>
  <c r="C716" i="4"/>
  <c r="G717" i="4"/>
  <c r="BE718" i="4" l="1"/>
  <c r="BG718" i="4" s="1"/>
  <c r="AQ718" i="4" s="1"/>
  <c r="G718" i="4"/>
  <c r="H717" i="4"/>
  <c r="D717" i="4" s="1"/>
  <c r="C717" i="4"/>
  <c r="BE719" i="4" l="1"/>
  <c r="BG719" i="4" s="1"/>
  <c r="G719" i="4"/>
  <c r="C718" i="4"/>
  <c r="H718" i="4"/>
  <c r="D718" i="4" s="1"/>
  <c r="AQ719" i="4"/>
  <c r="BE720" i="4" l="1"/>
  <c r="BG720" i="4" s="1"/>
  <c r="C719" i="4"/>
  <c r="G720" i="4"/>
  <c r="H719" i="4"/>
  <c r="D719" i="4" s="1"/>
  <c r="AQ720" i="4"/>
  <c r="BE721" i="4" l="1"/>
  <c r="BG721" i="4" s="1"/>
  <c r="AQ721" i="4" s="1"/>
  <c r="G721" i="4"/>
  <c r="H720" i="4"/>
  <c r="D720" i="4" s="1"/>
  <c r="C720" i="4"/>
  <c r="BE722" i="4" l="1"/>
  <c r="BG722" i="4" s="1"/>
  <c r="H721" i="4"/>
  <c r="C721" i="4"/>
  <c r="D721" i="4"/>
  <c r="G722" i="4"/>
  <c r="AQ722" i="4"/>
  <c r="BE723" i="4" l="1"/>
  <c r="BG723" i="4" s="1"/>
  <c r="AQ723" i="4" s="1"/>
  <c r="C722" i="4"/>
  <c r="H722" i="4"/>
  <c r="D722" i="4" s="1"/>
  <c r="G723" i="4"/>
  <c r="BE724" i="4" l="1"/>
  <c r="BG724" i="4" s="1"/>
  <c r="H723" i="4"/>
  <c r="D723" i="4" s="1"/>
  <c r="G724" i="4"/>
  <c r="C723" i="4"/>
  <c r="AQ724" i="4"/>
  <c r="BE725" i="4" l="1"/>
  <c r="BG725" i="4" s="1"/>
  <c r="G725" i="4"/>
  <c r="H724" i="4"/>
  <c r="D724" i="4" s="1"/>
  <c r="C724" i="4"/>
  <c r="AQ725" i="4"/>
  <c r="BE726" i="4" l="1"/>
  <c r="BG726" i="4" s="1"/>
  <c r="AQ726" i="4" s="1"/>
  <c r="H725" i="4"/>
  <c r="D725" i="4" s="1"/>
  <c r="G726" i="4"/>
  <c r="C725" i="4"/>
  <c r="BE727" i="4" l="1"/>
  <c r="BG727" i="4" s="1"/>
  <c r="AQ727" i="4" s="1"/>
  <c r="G727" i="4"/>
  <c r="H726" i="4"/>
  <c r="D726" i="4" s="1"/>
  <c r="C726" i="4"/>
  <c r="BE728" i="4" l="1"/>
  <c r="BG728" i="4" s="1"/>
  <c r="AQ728" i="4" s="1"/>
  <c r="H727" i="4"/>
  <c r="D727" i="4" s="1"/>
  <c r="C727" i="4"/>
  <c r="G728" i="4"/>
  <c r="BE729" i="4" l="1"/>
  <c r="BG729" i="4" s="1"/>
  <c r="H728" i="4"/>
  <c r="D728" i="4" s="1"/>
  <c r="C728" i="4"/>
  <c r="G729" i="4"/>
  <c r="AQ729" i="4"/>
  <c r="BE730" i="4" l="1"/>
  <c r="BG730" i="4" s="1"/>
  <c r="H729" i="4"/>
  <c r="D729" i="4" s="1"/>
  <c r="G730" i="4"/>
  <c r="C729" i="4"/>
  <c r="AQ730" i="4"/>
  <c r="BE731" i="4" l="1"/>
  <c r="BG731" i="4" s="1"/>
  <c r="AQ731" i="4" s="1"/>
  <c r="G731" i="4"/>
  <c r="H730" i="4"/>
  <c r="D730" i="4" s="1"/>
  <c r="C730" i="4"/>
  <c r="BE732" i="4" l="1"/>
  <c r="BG732" i="4" s="1"/>
  <c r="AQ732" i="4" s="1"/>
  <c r="G732" i="4"/>
  <c r="C731" i="4"/>
  <c r="H731" i="4"/>
  <c r="D731" i="4" s="1"/>
  <c r="BE733" i="4" l="1"/>
  <c r="BG733" i="4" s="1"/>
  <c r="AQ733" i="4" s="1"/>
  <c r="G733" i="4"/>
  <c r="C732" i="4"/>
  <c r="H732" i="4"/>
  <c r="D732" i="4" s="1"/>
  <c r="BE734" i="4" l="1"/>
  <c r="BG734" i="4" s="1"/>
  <c r="H733" i="4"/>
  <c r="C733" i="4"/>
  <c r="D733" i="4"/>
  <c r="G734" i="4"/>
  <c r="AQ734" i="4"/>
  <c r="BE735" i="4" l="1"/>
  <c r="BG735" i="4" s="1"/>
  <c r="AQ735" i="4" s="1"/>
  <c r="C734" i="4"/>
  <c r="G735" i="4"/>
  <c r="H734" i="4"/>
  <c r="D734" i="4" s="1"/>
  <c r="BE736" i="4" l="1"/>
  <c r="BG736" i="4" s="1"/>
  <c r="G736" i="4"/>
  <c r="H735" i="4"/>
  <c r="D735" i="4" s="1"/>
  <c r="C735" i="4"/>
  <c r="AQ736" i="4"/>
  <c r="BE737" i="4" l="1"/>
  <c r="BG737" i="4" s="1"/>
  <c r="C736" i="4"/>
  <c r="G737" i="4"/>
  <c r="H736" i="4"/>
  <c r="D736" i="4" s="1"/>
  <c r="AQ737" i="4"/>
  <c r="BE738" i="4" l="1"/>
  <c r="BG738" i="4" s="1"/>
  <c r="G738" i="4"/>
  <c r="C737" i="4"/>
  <c r="H737" i="4"/>
  <c r="D737" i="4" s="1"/>
  <c r="AQ738" i="4"/>
  <c r="BE739" i="4" l="1"/>
  <c r="BG739" i="4" s="1"/>
  <c r="G739" i="4"/>
  <c r="C738" i="4"/>
  <c r="H738" i="4"/>
  <c r="D738" i="4"/>
  <c r="AQ739" i="4"/>
  <c r="BE740" i="4" l="1"/>
  <c r="BG740" i="4" s="1"/>
  <c r="H739" i="4"/>
  <c r="C739" i="4"/>
  <c r="D739" i="4"/>
  <c r="G740" i="4"/>
  <c r="AQ740" i="4"/>
  <c r="BE741" i="4" l="1"/>
  <c r="BG741" i="4" s="1"/>
  <c r="G741" i="4"/>
  <c r="H740" i="4"/>
  <c r="D740" i="4" s="1"/>
  <c r="C740" i="4"/>
  <c r="AQ741" i="4"/>
  <c r="BE742" i="4" l="1"/>
  <c r="BG742" i="4" s="1"/>
  <c r="G742" i="4"/>
  <c r="H741" i="4"/>
  <c r="D741" i="4" s="1"/>
  <c r="C741" i="4"/>
  <c r="AQ742" i="4"/>
  <c r="BE743" i="4" l="1"/>
  <c r="BG743" i="4" s="1"/>
  <c r="AQ743" i="4" s="1"/>
  <c r="G743" i="4"/>
  <c r="C742" i="4"/>
  <c r="H742" i="4"/>
  <c r="D742" i="4" s="1"/>
  <c r="BE744" i="4" l="1"/>
  <c r="BG744" i="4" s="1"/>
  <c r="AQ744" i="4" s="1"/>
  <c r="G744" i="4"/>
  <c r="H743" i="4"/>
  <c r="D743" i="4" s="1"/>
  <c r="C743" i="4"/>
  <c r="BE745" i="4" l="1"/>
  <c r="BG745" i="4" s="1"/>
  <c r="H744" i="4"/>
  <c r="D744" i="4" s="1"/>
  <c r="G745" i="4"/>
  <c r="C744" i="4"/>
  <c r="AQ745" i="4"/>
  <c r="BE746" i="4" l="1"/>
  <c r="BG746" i="4" s="1"/>
  <c r="H745" i="4"/>
  <c r="C745" i="4"/>
  <c r="D745" i="4"/>
  <c r="G746" i="4"/>
  <c r="AQ746" i="4"/>
  <c r="BE747" i="4" l="1"/>
  <c r="BG747" i="4" s="1"/>
  <c r="AQ747" i="4" s="1"/>
  <c r="G747" i="4"/>
  <c r="C746" i="4"/>
  <c r="H746" i="4"/>
  <c r="D746" i="4" s="1"/>
  <c r="BE748" i="4" l="1"/>
  <c r="BG748" i="4" s="1"/>
  <c r="AQ748" i="4" s="1"/>
  <c r="G748" i="4"/>
  <c r="H747" i="4"/>
  <c r="D747" i="4" s="1"/>
  <c r="C747" i="4"/>
  <c r="BE749" i="4" l="1"/>
  <c r="BG749" i="4" s="1"/>
  <c r="AQ749" i="4" s="1"/>
  <c r="G749" i="4"/>
  <c r="C748" i="4"/>
  <c r="H748" i="4"/>
  <c r="D748" i="4" s="1"/>
  <c r="BE750" i="4" l="1"/>
  <c r="BG750" i="4" s="1"/>
  <c r="G750" i="4"/>
  <c r="C749" i="4"/>
  <c r="H749" i="4"/>
  <c r="D749" i="4" s="1"/>
  <c r="AQ750" i="4"/>
  <c r="BE751" i="4" l="1"/>
  <c r="BG751" i="4" s="1"/>
  <c r="C750" i="4"/>
  <c r="H750" i="4"/>
  <c r="D750" i="4" s="1"/>
  <c r="G751" i="4"/>
  <c r="AQ751" i="4"/>
  <c r="BE752" i="4" l="1"/>
  <c r="BG752" i="4" s="1"/>
  <c r="H751" i="4"/>
  <c r="G752" i="4"/>
  <c r="C751" i="4"/>
  <c r="D751" i="4"/>
  <c r="AQ752" i="4"/>
  <c r="BE753" i="4" l="1"/>
  <c r="BG753" i="4" s="1"/>
  <c r="AQ753" i="4" s="1"/>
  <c r="G753" i="4"/>
  <c r="H752" i="4"/>
  <c r="C752" i="4"/>
  <c r="D752" i="4"/>
  <c r="BE754" i="4" l="1"/>
  <c r="BG754" i="4" s="1"/>
  <c r="G754" i="4"/>
  <c r="H753" i="4"/>
  <c r="D753" i="4" s="1"/>
  <c r="C753" i="4"/>
  <c r="AQ754" i="4"/>
  <c r="BE755" i="4" l="1"/>
  <c r="BG755" i="4" s="1"/>
  <c r="AQ755" i="4" s="1"/>
  <c r="C754" i="4"/>
  <c r="G755" i="4"/>
  <c r="H754" i="4"/>
  <c r="D754" i="4" s="1"/>
  <c r="BE756" i="4" l="1"/>
  <c r="BG756" i="4" s="1"/>
  <c r="AQ756" i="4" s="1"/>
  <c r="H755" i="4"/>
  <c r="D755" i="4" s="1"/>
  <c r="C755" i="4"/>
  <c r="G756" i="4"/>
  <c r="BE757" i="4" l="1"/>
  <c r="BG757" i="4" s="1"/>
  <c r="AQ757" i="4" s="1"/>
  <c r="G757" i="4"/>
  <c r="H756" i="4"/>
  <c r="D756" i="4" s="1"/>
  <c r="C756" i="4"/>
  <c r="BE758" i="4" l="1"/>
  <c r="BG758" i="4" s="1"/>
  <c r="H757" i="4"/>
  <c r="D757" i="4" s="1"/>
  <c r="C757" i="4"/>
  <c r="G758" i="4"/>
  <c r="AQ758" i="4"/>
  <c r="BE759" i="4" l="1"/>
  <c r="BG759" i="4" s="1"/>
  <c r="AQ759" i="4" s="1"/>
  <c r="H758" i="4"/>
  <c r="D758" i="4" s="1"/>
  <c r="G759" i="4"/>
  <c r="C758" i="4"/>
  <c r="BE760" i="4" l="1"/>
  <c r="BG760" i="4" s="1"/>
  <c r="AQ760" i="4" s="1"/>
  <c r="C759" i="4"/>
  <c r="G760" i="4"/>
  <c r="H759" i="4"/>
  <c r="D759" i="4" s="1"/>
  <c r="BE761" i="4" l="1"/>
  <c r="BG761" i="4" s="1"/>
  <c r="G761" i="4"/>
  <c r="H760" i="4"/>
  <c r="D760" i="4" s="1"/>
  <c r="C760" i="4"/>
  <c r="AQ761" i="4"/>
  <c r="BE762" i="4" l="1"/>
  <c r="BG762" i="4" s="1"/>
  <c r="AQ762" i="4" s="1"/>
  <c r="G762" i="4"/>
  <c r="C761" i="4"/>
  <c r="H761" i="4"/>
  <c r="D761" i="4" s="1"/>
  <c r="BE763" i="4" l="1"/>
  <c r="BG763" i="4" s="1"/>
  <c r="C762" i="4"/>
  <c r="H762" i="4"/>
  <c r="G763" i="4"/>
  <c r="D762" i="4"/>
  <c r="AQ763" i="4"/>
  <c r="BE764" i="4" l="1"/>
  <c r="BG764" i="4" s="1"/>
  <c r="AQ764" i="4" s="1"/>
  <c r="H763" i="4"/>
  <c r="C763" i="4"/>
  <c r="D763" i="4"/>
  <c r="G764" i="4"/>
  <c r="BE765" i="4" l="1"/>
  <c r="BG765" i="4" s="1"/>
  <c r="H764" i="4"/>
  <c r="G765" i="4"/>
  <c r="D764" i="4"/>
  <c r="C764" i="4"/>
  <c r="AQ765" i="4"/>
  <c r="BE766" i="4" l="1"/>
  <c r="BG766" i="4" s="1"/>
  <c r="C765" i="4"/>
  <c r="G766" i="4"/>
  <c r="H765" i="4"/>
  <c r="D765" i="4" s="1"/>
  <c r="AQ766" i="4"/>
  <c r="BE767" i="4" l="1"/>
  <c r="BG767" i="4" s="1"/>
  <c r="AQ767" i="4" s="1"/>
  <c r="G767" i="4"/>
  <c r="C766" i="4"/>
  <c r="H766" i="4"/>
  <c r="D766" i="4" s="1"/>
  <c r="BE768" i="4" l="1"/>
  <c r="BG768" i="4" s="1"/>
  <c r="G768" i="4"/>
  <c r="H767" i="4"/>
  <c r="D767" i="4" s="1"/>
  <c r="C767" i="4"/>
  <c r="AQ768" i="4"/>
  <c r="BE769" i="4" l="1"/>
  <c r="BG769" i="4" s="1"/>
  <c r="H768" i="4"/>
  <c r="D768" i="4" s="1"/>
  <c r="G769" i="4"/>
  <c r="C768" i="4"/>
  <c r="AQ769" i="4"/>
  <c r="BE770" i="4" l="1"/>
  <c r="BG770" i="4" s="1"/>
  <c r="AQ770" i="4" s="1"/>
  <c r="H769" i="4"/>
  <c r="C769" i="4"/>
  <c r="G770" i="4"/>
  <c r="D769" i="4"/>
  <c r="BE771" i="4" l="1"/>
  <c r="BG771" i="4" s="1"/>
  <c r="G771" i="4"/>
  <c r="C770" i="4"/>
  <c r="H770" i="4"/>
  <c r="D770" i="4" s="1"/>
  <c r="AQ771" i="4"/>
  <c r="BE772" i="4" l="1"/>
  <c r="BG772" i="4" s="1"/>
  <c r="AQ772" i="4" s="1"/>
  <c r="H771" i="4"/>
  <c r="D771" i="4" s="1"/>
  <c r="G772" i="4"/>
  <c r="C771" i="4"/>
  <c r="BE773" i="4" l="1"/>
  <c r="BG773" i="4" s="1"/>
  <c r="H772" i="4"/>
  <c r="D772" i="4" s="1"/>
  <c r="G773" i="4"/>
  <c r="C772" i="4"/>
  <c r="AQ773" i="4"/>
  <c r="BE774" i="4" l="1"/>
  <c r="BG774" i="4" s="1"/>
  <c r="H773" i="4"/>
  <c r="D773" i="4" s="1"/>
  <c r="G774" i="4"/>
  <c r="C773" i="4"/>
  <c r="AQ774" i="4"/>
  <c r="BE775" i="4" l="1"/>
  <c r="BG775" i="4" s="1"/>
  <c r="AQ775" i="4" s="1"/>
  <c r="G775" i="4"/>
  <c r="H774" i="4"/>
  <c r="D774" i="4" s="1"/>
  <c r="C774" i="4"/>
  <c r="BE776" i="4" l="1"/>
  <c r="BG776" i="4" s="1"/>
  <c r="C775" i="4"/>
  <c r="G776" i="4"/>
  <c r="H775" i="4"/>
  <c r="D775" i="4" s="1"/>
  <c r="AQ776" i="4"/>
  <c r="BE777" i="4" l="1"/>
  <c r="BG777" i="4" s="1"/>
  <c r="H776" i="4"/>
  <c r="C776" i="4"/>
  <c r="G777" i="4"/>
  <c r="D776" i="4"/>
  <c r="AQ777" i="4"/>
  <c r="BE778" i="4" l="1"/>
  <c r="BG778" i="4" s="1"/>
  <c r="C777" i="4"/>
  <c r="G778" i="4"/>
  <c r="H777" i="4"/>
  <c r="D777" i="4" s="1"/>
  <c r="AQ778" i="4"/>
  <c r="BE779" i="4" l="1"/>
  <c r="BG779" i="4" s="1"/>
  <c r="H778" i="4"/>
  <c r="D778" i="4" s="1"/>
  <c r="C778" i="4"/>
  <c r="G779" i="4"/>
  <c r="AQ779" i="4"/>
  <c r="BE780" i="4" l="1"/>
  <c r="BG780" i="4" s="1"/>
  <c r="C779" i="4"/>
  <c r="G780" i="4"/>
  <c r="H779" i="4"/>
  <c r="D779" i="4" s="1"/>
  <c r="AQ780" i="4"/>
  <c r="BE781" i="4" l="1"/>
  <c r="BG781" i="4" s="1"/>
  <c r="AQ781" i="4" s="1"/>
  <c r="G781" i="4"/>
  <c r="H780" i="4"/>
  <c r="D780" i="4" s="1"/>
  <c r="C780" i="4"/>
  <c r="BE782" i="4" l="1"/>
  <c r="BG782" i="4" s="1"/>
  <c r="H781" i="4"/>
  <c r="D781" i="4" s="1"/>
  <c r="G782" i="4"/>
  <c r="C781" i="4"/>
  <c r="AQ782" i="4"/>
  <c r="BE783" i="4" l="1"/>
  <c r="BG783" i="4" s="1"/>
  <c r="H782" i="4"/>
  <c r="D782" i="4" s="1"/>
  <c r="C782" i="4"/>
  <c r="G783" i="4"/>
  <c r="AQ783" i="4"/>
  <c r="BE784" i="4" l="1"/>
  <c r="BG784" i="4" s="1"/>
  <c r="G784" i="4"/>
  <c r="H783" i="4"/>
  <c r="D783" i="4" s="1"/>
  <c r="C783" i="4"/>
  <c r="AQ784" i="4"/>
  <c r="BE785" i="4" l="1"/>
  <c r="BG785" i="4" s="1"/>
  <c r="AQ785" i="4" s="1"/>
  <c r="C784" i="4"/>
  <c r="G785" i="4"/>
  <c r="H784" i="4"/>
  <c r="D784" i="4" s="1"/>
  <c r="BE786" i="4" l="1"/>
  <c r="BG786" i="4" s="1"/>
  <c r="G786" i="4"/>
  <c r="C785" i="4"/>
  <c r="H785" i="4"/>
  <c r="D785" i="4" s="1"/>
  <c r="AQ786" i="4"/>
  <c r="BE787" i="4" l="1"/>
  <c r="BG787" i="4" s="1"/>
  <c r="AQ787" i="4" s="1"/>
  <c r="C786" i="4"/>
  <c r="G787" i="4"/>
  <c r="H786" i="4"/>
  <c r="D786" i="4" s="1"/>
  <c r="BE788" i="4" l="1"/>
  <c r="BG788" i="4" s="1"/>
  <c r="AQ788" i="4" s="1"/>
  <c r="H787" i="4"/>
  <c r="D787" i="4" s="1"/>
  <c r="G788" i="4"/>
  <c r="C787" i="4"/>
  <c r="BE789" i="4" l="1"/>
  <c r="BG789" i="4" s="1"/>
  <c r="H788" i="4"/>
  <c r="D788" i="4" s="1"/>
  <c r="C788" i="4"/>
  <c r="G789" i="4"/>
  <c r="AQ789" i="4"/>
  <c r="BE790" i="4" l="1"/>
  <c r="BG790" i="4" s="1"/>
  <c r="H789" i="4"/>
  <c r="D789" i="4" s="1"/>
  <c r="C789" i="4"/>
  <c r="G790" i="4"/>
  <c r="AQ790" i="4"/>
  <c r="BE791" i="4" l="1"/>
  <c r="BG791" i="4" s="1"/>
  <c r="H790" i="4"/>
  <c r="D790" i="4" s="1"/>
  <c r="G791" i="4"/>
  <c r="C790" i="4"/>
  <c r="AQ791" i="4"/>
  <c r="BE792" i="4" l="1"/>
  <c r="BG792" i="4" s="1"/>
  <c r="G792" i="4"/>
  <c r="C791" i="4"/>
  <c r="H791" i="4"/>
  <c r="D791" i="4" s="1"/>
  <c r="AQ792" i="4"/>
  <c r="BE793" i="4" l="1"/>
  <c r="BG793" i="4" s="1"/>
  <c r="C792" i="4"/>
  <c r="G793" i="4"/>
  <c r="H792" i="4"/>
  <c r="D792" i="4" s="1"/>
  <c r="AQ793" i="4"/>
  <c r="BE794" i="4" l="1"/>
  <c r="BG794" i="4" s="1"/>
  <c r="C793" i="4"/>
  <c r="G794" i="4"/>
  <c r="H793" i="4"/>
  <c r="D793" i="4" s="1"/>
  <c r="AQ794" i="4"/>
  <c r="BE795" i="4" l="1"/>
  <c r="BG795" i="4" s="1"/>
  <c r="G795" i="4"/>
  <c r="H794" i="4"/>
  <c r="D794" i="4" s="1"/>
  <c r="C794" i="4"/>
  <c r="AQ795" i="4"/>
  <c r="BE796" i="4" l="1"/>
  <c r="BG796" i="4" s="1"/>
  <c r="G796" i="4"/>
  <c r="H795" i="4"/>
  <c r="D795" i="4" s="1"/>
  <c r="C795" i="4"/>
  <c r="AQ796" i="4"/>
  <c r="BE797" i="4" l="1"/>
  <c r="BG797" i="4" s="1"/>
  <c r="C796" i="4"/>
  <c r="G797" i="4"/>
  <c r="H796" i="4"/>
  <c r="D796" i="4" s="1"/>
  <c r="AQ797" i="4"/>
  <c r="BE798" i="4" l="1"/>
  <c r="BG798" i="4" s="1"/>
  <c r="C797" i="4"/>
  <c r="H797" i="4"/>
  <c r="D797" i="4" s="1"/>
  <c r="G798" i="4"/>
  <c r="AQ798" i="4"/>
  <c r="BE799" i="4" l="1"/>
  <c r="BG799" i="4" s="1"/>
  <c r="AQ799" i="4" s="1"/>
  <c r="G799" i="4"/>
  <c r="C798" i="4"/>
  <c r="H798" i="4"/>
  <c r="D798" i="4" s="1"/>
  <c r="BE800" i="4" l="1"/>
  <c r="BG800" i="4" s="1"/>
  <c r="AQ800" i="4" s="1"/>
  <c r="G800" i="4"/>
  <c r="H799" i="4"/>
  <c r="D799" i="4" s="1"/>
  <c r="C799" i="4"/>
  <c r="BE801" i="4" l="1"/>
  <c r="BG801" i="4" s="1"/>
  <c r="C800" i="4"/>
  <c r="H800" i="4"/>
  <c r="D800" i="4" s="1"/>
  <c r="G801" i="4"/>
  <c r="AQ801" i="4"/>
  <c r="BE802" i="4" l="1"/>
  <c r="BG802" i="4" s="1"/>
  <c r="H801" i="4"/>
  <c r="D801" i="4" s="1"/>
  <c r="G802" i="4"/>
  <c r="C801" i="4"/>
  <c r="AQ802" i="4"/>
  <c r="BE803" i="4" l="1"/>
  <c r="BG803" i="4" s="1"/>
  <c r="G803" i="4"/>
  <c r="H802" i="4"/>
  <c r="D802" i="4" s="1"/>
  <c r="C802" i="4"/>
  <c r="AQ803" i="4"/>
  <c r="BE804" i="4" l="1"/>
  <c r="BG804" i="4" s="1"/>
  <c r="C803" i="4"/>
  <c r="G804" i="4"/>
  <c r="H803" i="4"/>
  <c r="D803" i="4" s="1"/>
  <c r="AQ804" i="4"/>
  <c r="BE805" i="4" l="1"/>
  <c r="BG805" i="4" s="1"/>
  <c r="AQ805" i="4" s="1"/>
  <c r="G805" i="4"/>
  <c r="C804" i="4"/>
  <c r="H804" i="4"/>
  <c r="D804" i="4" s="1"/>
  <c r="BE806" i="4" l="1"/>
  <c r="BG806" i="4" s="1"/>
  <c r="C805" i="4"/>
  <c r="G806" i="4"/>
  <c r="H805" i="4"/>
  <c r="D805" i="4" s="1"/>
  <c r="AQ806" i="4"/>
  <c r="BE807" i="4" l="1"/>
  <c r="BG807" i="4" s="1"/>
  <c r="G807" i="4"/>
  <c r="C806" i="4"/>
  <c r="H806" i="4"/>
  <c r="D806" i="4" s="1"/>
  <c r="AQ807" i="4"/>
  <c r="BE808" i="4" l="1"/>
  <c r="BG808" i="4" s="1"/>
  <c r="AQ808" i="4" s="1"/>
  <c r="H807" i="4"/>
  <c r="D807" i="4" s="1"/>
  <c r="C807" i="4"/>
  <c r="G808" i="4"/>
  <c r="BE809" i="4" l="1"/>
  <c r="BG809" i="4" s="1"/>
  <c r="G809" i="4"/>
  <c r="C808" i="4"/>
  <c r="H808" i="4"/>
  <c r="D808" i="4" s="1"/>
  <c r="AQ809" i="4"/>
  <c r="BE810" i="4" l="1"/>
  <c r="BG810" i="4" s="1"/>
  <c r="G810" i="4"/>
  <c r="C809" i="4"/>
  <c r="H809" i="4"/>
  <c r="D809" i="4" s="1"/>
  <c r="AQ810" i="4"/>
  <c r="BE811" i="4" l="1"/>
  <c r="BG811" i="4" s="1"/>
  <c r="G811" i="4"/>
  <c r="H810" i="4"/>
  <c r="D810" i="4" s="1"/>
  <c r="C810" i="4"/>
  <c r="AQ811" i="4"/>
  <c r="BE812" i="4" l="1"/>
  <c r="BG812" i="4" s="1"/>
  <c r="H811" i="4"/>
  <c r="D811" i="4" s="1"/>
  <c r="C811" i="4"/>
  <c r="G812" i="4"/>
  <c r="AQ812" i="4"/>
  <c r="BE813" i="4" l="1"/>
  <c r="BG813" i="4" s="1"/>
  <c r="AQ813" i="4" s="1"/>
  <c r="G813" i="4"/>
  <c r="H812" i="4"/>
  <c r="D812" i="4" s="1"/>
  <c r="C812" i="4"/>
  <c r="BE814" i="4" l="1"/>
  <c r="BG814" i="4" s="1"/>
  <c r="AQ814" i="4" s="1"/>
  <c r="C813" i="4"/>
  <c r="G814" i="4"/>
  <c r="H813" i="4"/>
  <c r="D813" i="4" s="1"/>
  <c r="BE815" i="4" l="1"/>
  <c r="BG815" i="4" s="1"/>
  <c r="G815" i="4"/>
  <c r="C814" i="4"/>
  <c r="H814" i="4"/>
  <c r="D814" i="4" s="1"/>
  <c r="AQ815" i="4"/>
  <c r="BE816" i="4" l="1"/>
  <c r="BG816" i="4" s="1"/>
  <c r="G816" i="4"/>
  <c r="H815" i="4"/>
  <c r="C815" i="4"/>
  <c r="D815" i="4"/>
  <c r="AQ816" i="4"/>
  <c r="BE817" i="4" l="1"/>
  <c r="BG817" i="4" s="1"/>
  <c r="C816" i="4"/>
  <c r="G817" i="4"/>
  <c r="H816" i="4"/>
  <c r="D816" i="4" s="1"/>
  <c r="AQ817" i="4"/>
  <c r="BE818" i="4" l="1"/>
  <c r="BG818" i="4" s="1"/>
  <c r="AQ818" i="4" s="1"/>
  <c r="C817" i="4"/>
  <c r="G818" i="4"/>
  <c r="H817" i="4"/>
  <c r="D817" i="4" s="1"/>
  <c r="BE819" i="4" l="1"/>
  <c r="BG819" i="4" s="1"/>
  <c r="AQ819" i="4" s="1"/>
  <c r="G819" i="4"/>
  <c r="H818" i="4"/>
  <c r="D818" i="4" s="1"/>
  <c r="C818" i="4"/>
  <c r="BE820" i="4" l="1"/>
  <c r="BG820" i="4" s="1"/>
  <c r="AQ820" i="4" s="1"/>
  <c r="G820" i="4"/>
  <c r="C819" i="4"/>
  <c r="H819" i="4"/>
  <c r="D819" i="4" s="1"/>
  <c r="BE821" i="4" l="1"/>
  <c r="BG821" i="4" s="1"/>
  <c r="AQ821" i="4" s="1"/>
  <c r="G821" i="4"/>
  <c r="C820" i="4"/>
  <c r="H820" i="4"/>
  <c r="D820" i="4" s="1"/>
  <c r="BE822" i="4" l="1"/>
  <c r="BG822" i="4" s="1"/>
  <c r="H821" i="4"/>
  <c r="C821" i="4"/>
  <c r="D821" i="4"/>
  <c r="G822" i="4"/>
  <c r="AQ822" i="4"/>
  <c r="BE823" i="4" l="1"/>
  <c r="BG823" i="4" s="1"/>
  <c r="C822" i="4"/>
  <c r="G823" i="4"/>
  <c r="H822" i="4"/>
  <c r="D822" i="4" s="1"/>
  <c r="AQ823" i="4"/>
  <c r="BE824" i="4" l="1"/>
  <c r="BG824" i="4" s="1"/>
  <c r="AQ824" i="4" s="1"/>
  <c r="C823" i="4"/>
  <c r="G824" i="4"/>
  <c r="H823" i="4"/>
  <c r="D823" i="4" s="1"/>
  <c r="BE825" i="4" l="1"/>
  <c r="BG825" i="4" s="1"/>
  <c r="H824" i="4"/>
  <c r="D824" i="4" s="1"/>
  <c r="G825" i="4"/>
  <c r="C824" i="4"/>
  <c r="AQ825" i="4"/>
  <c r="BE826" i="4" l="1"/>
  <c r="BG826" i="4" s="1"/>
  <c r="G826" i="4"/>
  <c r="C825" i="4"/>
  <c r="H825" i="4"/>
  <c r="D825" i="4" s="1"/>
  <c r="BE827" i="4" l="1"/>
  <c r="BG827" i="4" s="1"/>
  <c r="H826" i="4"/>
  <c r="D826" i="4" s="1"/>
  <c r="G827" i="4"/>
  <c r="C826" i="4"/>
  <c r="BE828" i="4" l="1"/>
  <c r="BG828" i="4" s="1"/>
  <c r="H827" i="4"/>
  <c r="D827" i="4" s="1"/>
  <c r="C827" i="4"/>
  <c r="G828" i="4"/>
  <c r="BE829" i="4" l="1"/>
  <c r="BG829" i="4" s="1"/>
  <c r="AQ829" i="4" s="1"/>
  <c r="C828" i="4"/>
  <c r="G829" i="4"/>
  <c r="H828" i="4"/>
  <c r="D828" i="4" s="1"/>
  <c r="BE830" i="4" l="1"/>
  <c r="BG830" i="4" s="1"/>
  <c r="AQ830" i="4" s="1"/>
  <c r="C829" i="4"/>
  <c r="G830" i="4"/>
  <c r="H829" i="4"/>
  <c r="D829" i="4" s="1"/>
  <c r="BE831" i="4" l="1"/>
  <c r="BG831" i="4" s="1"/>
  <c r="AQ831" i="4" s="1"/>
  <c r="G831" i="4"/>
  <c r="H830" i="4"/>
  <c r="D830" i="4" s="1"/>
  <c r="C830" i="4"/>
  <c r="BE832" i="4" l="1"/>
  <c r="BG832" i="4" s="1"/>
  <c r="AQ832" i="4" s="1"/>
  <c r="G832" i="4"/>
  <c r="C831" i="4"/>
  <c r="H831" i="4"/>
  <c r="D831" i="4" s="1"/>
  <c r="BE833" i="4" l="1"/>
  <c r="BG833" i="4" s="1"/>
  <c r="AQ833" i="4" s="1"/>
  <c r="C832" i="4"/>
  <c r="G833" i="4"/>
  <c r="H832" i="4"/>
  <c r="D832" i="4" s="1"/>
  <c r="BE834" i="4" l="1"/>
  <c r="BG834" i="4" s="1"/>
  <c r="H833" i="4"/>
  <c r="C833" i="4"/>
  <c r="D833" i="4"/>
  <c r="G834" i="4"/>
  <c r="AQ834" i="4"/>
  <c r="BE835" i="4" l="1"/>
  <c r="BG835" i="4" s="1"/>
  <c r="AQ835" i="4" s="1"/>
  <c r="C834" i="4"/>
  <c r="G835" i="4"/>
  <c r="H834" i="4"/>
  <c r="D834" i="4" s="1"/>
  <c r="BE836" i="4" l="1"/>
  <c r="BG836" i="4" s="1"/>
  <c r="AQ836" i="4" s="1"/>
  <c r="C835" i="4"/>
  <c r="G836" i="4"/>
  <c r="H835" i="4"/>
  <c r="D835" i="4" s="1"/>
  <c r="BE837" i="4" l="1"/>
  <c r="BG837" i="4" s="1"/>
  <c r="AQ837" i="4" s="1"/>
  <c r="H836" i="4"/>
  <c r="D836" i="4" s="1"/>
  <c r="G837" i="4"/>
  <c r="C836" i="4"/>
  <c r="BE838" i="4" l="1"/>
  <c r="BG838" i="4" s="1"/>
  <c r="AQ838" i="4" s="1"/>
  <c r="G838" i="4"/>
  <c r="H837" i="4"/>
  <c r="D837" i="4" s="1"/>
  <c r="C837" i="4"/>
  <c r="BE839" i="4" l="1"/>
  <c r="BG839" i="4" s="1"/>
  <c r="AQ839" i="4" s="1"/>
  <c r="G839" i="4"/>
  <c r="C838" i="4"/>
  <c r="H838" i="4"/>
  <c r="D838" i="4" s="1"/>
  <c r="BE840" i="4" l="1"/>
  <c r="BG840" i="4" s="1"/>
  <c r="AQ840" i="4" s="1"/>
  <c r="H839" i="4"/>
  <c r="C839" i="4"/>
  <c r="D839" i="4"/>
  <c r="G840" i="4"/>
  <c r="BE841" i="4" l="1"/>
  <c r="BG841" i="4" s="1"/>
  <c r="AQ841" i="4" s="1"/>
  <c r="H840" i="4"/>
  <c r="D840" i="4" s="1"/>
  <c r="C840" i="4"/>
  <c r="G841" i="4"/>
  <c r="BE842" i="4" l="1"/>
  <c r="BG842" i="4" s="1"/>
  <c r="AQ842" i="4" s="1"/>
  <c r="C841" i="4"/>
  <c r="G842" i="4"/>
  <c r="H841" i="4"/>
  <c r="D841" i="4" s="1"/>
  <c r="BE843" i="4" l="1"/>
  <c r="BG843" i="4" s="1"/>
  <c r="AQ843" i="4" s="1"/>
  <c r="G843" i="4"/>
  <c r="H842" i="4"/>
  <c r="D842" i="4" s="1"/>
  <c r="C842" i="4"/>
  <c r="BE844" i="4" l="1"/>
  <c r="BG844" i="4" s="1"/>
  <c r="AQ844" i="4" s="1"/>
  <c r="G844" i="4"/>
  <c r="H843" i="4"/>
  <c r="D843" i="4" s="1"/>
  <c r="C843" i="4"/>
  <c r="BE845" i="4" l="1"/>
  <c r="BG845" i="4" s="1"/>
  <c r="AQ845" i="4" s="1"/>
  <c r="G845" i="4"/>
  <c r="H844" i="4"/>
  <c r="D844" i="4" s="1"/>
  <c r="C844" i="4"/>
  <c r="BE846" i="4" l="1"/>
  <c r="BG846" i="4" s="1"/>
  <c r="AQ846" i="4" s="1"/>
  <c r="H845" i="4"/>
  <c r="D845" i="4" s="1"/>
  <c r="C845" i="4"/>
  <c r="G846" i="4"/>
  <c r="BE847" i="4" l="1"/>
  <c r="BG847" i="4" s="1"/>
  <c r="C846" i="4"/>
  <c r="G847" i="4"/>
  <c r="H846" i="4"/>
  <c r="D846" i="4" s="1"/>
  <c r="AQ847" i="4"/>
  <c r="BE848" i="4" l="1"/>
  <c r="BG848" i="4" s="1"/>
  <c r="H847" i="4"/>
  <c r="D847" i="4" s="1"/>
  <c r="C847" i="4"/>
  <c r="G848" i="4"/>
  <c r="AQ848" i="4"/>
  <c r="BE849" i="4" l="1"/>
  <c r="BG849" i="4" s="1"/>
  <c r="G849" i="4"/>
  <c r="H848" i="4"/>
  <c r="D848" i="4" s="1"/>
  <c r="C848" i="4"/>
  <c r="AQ849" i="4"/>
  <c r="BE850" i="4" l="1"/>
  <c r="BG850" i="4" s="1"/>
  <c r="C849" i="4"/>
  <c r="G850" i="4"/>
  <c r="H849" i="4"/>
  <c r="D849" i="4" s="1"/>
  <c r="AQ850" i="4"/>
  <c r="BE851" i="4" l="1"/>
  <c r="BG851" i="4" s="1"/>
  <c r="C850" i="4"/>
  <c r="G851" i="4"/>
  <c r="H850" i="4"/>
  <c r="D850" i="4" s="1"/>
  <c r="AQ851" i="4"/>
  <c r="BE852" i="4" l="1"/>
  <c r="BG852" i="4" s="1"/>
  <c r="AQ852" i="4" s="1"/>
  <c r="H851" i="4"/>
  <c r="C851" i="4"/>
  <c r="D851" i="4"/>
  <c r="G852" i="4"/>
  <c r="BE853" i="4" l="1"/>
  <c r="BG853" i="4" s="1"/>
  <c r="AQ853" i="4" s="1"/>
  <c r="C852" i="4"/>
  <c r="H852" i="4"/>
  <c r="D852" i="4" s="1"/>
  <c r="G853" i="4"/>
  <c r="BE854" i="4" l="1"/>
  <c r="BG854" i="4" s="1"/>
  <c r="AQ854" i="4" s="1"/>
  <c r="C853" i="4"/>
  <c r="G854" i="4"/>
  <c r="H853" i="4"/>
  <c r="D853" i="4" s="1"/>
  <c r="BE855" i="4" l="1"/>
  <c r="BG855" i="4" s="1"/>
  <c r="AQ855" i="4" s="1"/>
  <c r="G855" i="4"/>
  <c r="H854" i="4"/>
  <c r="D854" i="4" s="1"/>
  <c r="C854" i="4"/>
  <c r="BE856" i="4" l="1"/>
  <c r="BG856" i="4" s="1"/>
  <c r="AQ856" i="4" s="1"/>
  <c r="G856" i="4"/>
  <c r="H855" i="4"/>
  <c r="D855" i="4" s="1"/>
  <c r="C855" i="4"/>
  <c r="BE857" i="4" l="1"/>
  <c r="BG857" i="4" s="1"/>
  <c r="H856" i="4"/>
  <c r="G857" i="4"/>
  <c r="D856" i="4"/>
  <c r="C856" i="4"/>
  <c r="AQ857" i="4"/>
  <c r="BE858" i="4" l="1"/>
  <c r="BG858" i="4" s="1"/>
  <c r="AQ858" i="4" s="1"/>
  <c r="H857" i="4"/>
  <c r="C857" i="4"/>
  <c r="D857" i="4"/>
  <c r="G858" i="4"/>
  <c r="BE859" i="4" l="1"/>
  <c r="BG859" i="4" s="1"/>
  <c r="AQ859" i="4" s="1"/>
  <c r="C858" i="4"/>
  <c r="G859" i="4"/>
  <c r="H858" i="4"/>
  <c r="D858" i="4" s="1"/>
  <c r="BE860" i="4" l="1"/>
  <c r="BG860" i="4" s="1"/>
  <c r="AQ860" i="4" s="1"/>
  <c r="C859" i="4"/>
  <c r="G860" i="4"/>
  <c r="H859" i="4"/>
  <c r="D859" i="4" s="1"/>
  <c r="BE861" i="4" l="1"/>
  <c r="BG861" i="4" s="1"/>
  <c r="AQ861" i="4" s="1"/>
  <c r="H860" i="4"/>
  <c r="D860" i="4" s="1"/>
  <c r="G861" i="4"/>
  <c r="C860" i="4"/>
  <c r="BE862" i="4" l="1"/>
  <c r="BG862" i="4" s="1"/>
  <c r="AQ862" i="4" s="1"/>
  <c r="H861" i="4"/>
  <c r="D861" i="4" s="1"/>
  <c r="G862" i="4"/>
  <c r="C861" i="4"/>
  <c r="BE863" i="4" l="1"/>
  <c r="BG863" i="4" s="1"/>
  <c r="AQ863" i="4" s="1"/>
  <c r="G863" i="4"/>
  <c r="H862" i="4"/>
  <c r="D862" i="4" s="1"/>
  <c r="C862" i="4"/>
  <c r="BE864" i="4" l="1"/>
  <c r="BG864" i="4" s="1"/>
  <c r="AQ864" i="4" s="1"/>
  <c r="H863" i="4"/>
  <c r="D863" i="4" s="1"/>
  <c r="C863" i="4"/>
  <c r="G864" i="4"/>
  <c r="BE865" i="4" l="1"/>
  <c r="BG865" i="4" s="1"/>
  <c r="AQ865" i="4" s="1"/>
  <c r="C864" i="4"/>
  <c r="G865" i="4"/>
  <c r="H864" i="4"/>
  <c r="D864" i="4" s="1"/>
  <c r="BE866" i="4" l="1"/>
  <c r="BG866" i="4" s="1"/>
  <c r="AQ866" i="4" s="1"/>
  <c r="C865" i="4"/>
  <c r="H865" i="4"/>
  <c r="D865" i="4" s="1"/>
  <c r="G866" i="4"/>
  <c r="BE867" i="4" l="1"/>
  <c r="BG867" i="4" s="1"/>
  <c r="AQ867" i="4" s="1"/>
  <c r="G867" i="4"/>
  <c r="H866" i="4"/>
  <c r="D866" i="4" s="1"/>
  <c r="C866" i="4"/>
  <c r="BE868" i="4" l="1"/>
  <c r="BG868" i="4" s="1"/>
  <c r="AQ868" i="4" s="1"/>
  <c r="G868" i="4"/>
  <c r="H867" i="4"/>
  <c r="D867" i="4" s="1"/>
  <c r="C867" i="4"/>
  <c r="BE869" i="4" l="1"/>
  <c r="BG869" i="4" s="1"/>
  <c r="AQ869" i="4" s="1"/>
  <c r="G869" i="4"/>
  <c r="C868" i="4"/>
  <c r="H868" i="4"/>
  <c r="D868" i="4" s="1"/>
  <c r="BE870" i="4" l="1"/>
  <c r="BG870" i="4" s="1"/>
  <c r="AQ870" i="4" s="1"/>
  <c r="H869" i="4"/>
  <c r="G870" i="4"/>
  <c r="C869" i="4"/>
  <c r="D869" i="4"/>
  <c r="BE871" i="4" l="1"/>
  <c r="BG871" i="4" s="1"/>
  <c r="AQ871" i="4" s="1"/>
  <c r="C870" i="4"/>
  <c r="H870" i="4"/>
  <c r="D870" i="4" s="1"/>
  <c r="G871" i="4"/>
  <c r="BE872" i="4" l="1"/>
  <c r="BG872" i="4" s="1"/>
  <c r="C871" i="4"/>
  <c r="G872" i="4"/>
  <c r="H871" i="4"/>
  <c r="D871" i="4" s="1"/>
  <c r="AQ872" i="4"/>
  <c r="BE873" i="4" l="1"/>
  <c r="BG873" i="4" s="1"/>
  <c r="C872" i="4"/>
  <c r="G873" i="4"/>
  <c r="H872" i="4"/>
  <c r="D872" i="4" s="1"/>
  <c r="AQ873" i="4"/>
  <c r="BE874" i="4" l="1"/>
  <c r="BG874" i="4" s="1"/>
  <c r="AQ874" i="4" s="1"/>
  <c r="C873" i="4"/>
  <c r="G874" i="4"/>
  <c r="H873" i="4"/>
  <c r="D873" i="4" s="1"/>
  <c r="BE875" i="4" l="1"/>
  <c r="BG875" i="4" s="1"/>
  <c r="G875" i="4"/>
  <c r="H874" i="4"/>
  <c r="D874" i="4" s="1"/>
  <c r="C874" i="4"/>
  <c r="AQ875" i="4"/>
  <c r="BE876" i="4" l="1"/>
  <c r="BG876" i="4" s="1"/>
  <c r="H875" i="4"/>
  <c r="C875" i="4"/>
  <c r="D875" i="4"/>
  <c r="G876" i="4"/>
  <c r="AQ876" i="4"/>
  <c r="BE877" i="4" l="1"/>
  <c r="BG877" i="4" s="1"/>
  <c r="AQ877" i="4" s="1"/>
  <c r="C876" i="4"/>
  <c r="G877" i="4"/>
  <c r="H876" i="4"/>
  <c r="D876" i="4" s="1"/>
  <c r="BE878" i="4" l="1"/>
  <c r="BG878" i="4" s="1"/>
  <c r="AQ878" i="4" s="1"/>
  <c r="C877" i="4"/>
  <c r="G878" i="4"/>
  <c r="H877" i="4"/>
  <c r="D877" i="4" s="1"/>
  <c r="BE879" i="4" l="1"/>
  <c r="BG879" i="4" s="1"/>
  <c r="AQ879" i="4" s="1"/>
  <c r="G879" i="4"/>
  <c r="C878" i="4"/>
  <c r="H878" i="4"/>
  <c r="D878" i="4" s="1"/>
  <c r="BE880" i="4" l="1"/>
  <c r="BG880" i="4" s="1"/>
  <c r="AQ880" i="4" s="1"/>
  <c r="G880" i="4"/>
  <c r="C879" i="4"/>
  <c r="H879" i="4"/>
  <c r="D879" i="4" s="1"/>
  <c r="BE881" i="4" l="1"/>
  <c r="BG881" i="4" s="1"/>
  <c r="AQ881" i="4" s="1"/>
  <c r="G881" i="4"/>
  <c r="C880" i="4"/>
  <c r="H880" i="4"/>
  <c r="D880" i="4" s="1"/>
  <c r="BE882" i="4" l="1"/>
  <c r="BG882" i="4" s="1"/>
  <c r="AQ882" i="4" s="1"/>
  <c r="H881" i="4"/>
  <c r="G882" i="4"/>
  <c r="C881" i="4"/>
  <c r="D881" i="4"/>
  <c r="BE883" i="4" l="1"/>
  <c r="BG883" i="4" s="1"/>
  <c r="AQ883" i="4" s="1"/>
  <c r="C882" i="4"/>
  <c r="G883" i="4"/>
  <c r="H882" i="4"/>
  <c r="D882" i="4" s="1"/>
  <c r="BE884" i="4" l="1"/>
  <c r="BG884" i="4" s="1"/>
  <c r="AQ884" i="4" s="1"/>
  <c r="C883" i="4"/>
  <c r="G884" i="4"/>
  <c r="H883" i="4"/>
  <c r="D883" i="4" s="1"/>
  <c r="BE885" i="4" l="1"/>
  <c r="BG885" i="4" s="1"/>
  <c r="AQ885" i="4" s="1"/>
  <c r="H884" i="4"/>
  <c r="D884" i="4" s="1"/>
  <c r="G885" i="4"/>
  <c r="C884" i="4"/>
  <c r="BE886" i="4" l="1"/>
  <c r="BG886" i="4" s="1"/>
  <c r="C885" i="4"/>
  <c r="G886" i="4"/>
  <c r="H885" i="4"/>
  <c r="D885" i="4" s="1"/>
  <c r="AQ886" i="4"/>
  <c r="BE887" i="4" l="1"/>
  <c r="BG887" i="4" s="1"/>
  <c r="AQ887" i="4" s="1"/>
  <c r="G887" i="4"/>
  <c r="H886" i="4"/>
  <c r="D886" i="4" s="1"/>
  <c r="C886" i="4"/>
  <c r="BE888" i="4" l="1"/>
  <c r="BG888" i="4" s="1"/>
  <c r="AQ888" i="4" s="1"/>
  <c r="H887" i="4"/>
  <c r="D887" i="4" s="1"/>
  <c r="C887" i="4"/>
  <c r="G888" i="4"/>
  <c r="BE889" i="4" l="1"/>
  <c r="BG889" i="4" s="1"/>
  <c r="AQ889" i="4" s="1"/>
  <c r="C888" i="4"/>
  <c r="G889" i="4"/>
  <c r="H888" i="4"/>
  <c r="D888" i="4" s="1"/>
  <c r="BE890" i="4" l="1"/>
  <c r="BG890" i="4" s="1"/>
  <c r="H889" i="4"/>
  <c r="D889" i="4" s="1"/>
  <c r="C889" i="4"/>
  <c r="G890" i="4"/>
  <c r="AQ890" i="4"/>
  <c r="BE891" i="4" l="1"/>
  <c r="BG891" i="4" s="1"/>
  <c r="AQ891" i="4" s="1"/>
  <c r="G891" i="4"/>
  <c r="C890" i="4"/>
  <c r="H890" i="4"/>
  <c r="D890" i="4" s="1"/>
  <c r="BE892" i="4" l="1"/>
  <c r="BG892" i="4" s="1"/>
  <c r="AQ892" i="4" s="1"/>
  <c r="G892" i="4"/>
  <c r="H891" i="4"/>
  <c r="D891" i="4" s="1"/>
  <c r="C891" i="4"/>
  <c r="BE893" i="4" l="1"/>
  <c r="BG893" i="4" s="1"/>
  <c r="G893" i="4"/>
  <c r="H892" i="4"/>
  <c r="C892" i="4"/>
  <c r="D892" i="4"/>
  <c r="AQ893" i="4"/>
  <c r="BE894" i="4" l="1"/>
  <c r="BG894" i="4" s="1"/>
  <c r="H893" i="4"/>
  <c r="C893" i="4"/>
  <c r="D893" i="4"/>
  <c r="G894" i="4"/>
  <c r="AQ894" i="4"/>
  <c r="BE895" i="4" l="1"/>
  <c r="BG895" i="4" s="1"/>
  <c r="AQ895" i="4" s="1"/>
  <c r="C894" i="4"/>
  <c r="G895" i="4"/>
  <c r="H894" i="4"/>
  <c r="D894" i="4" s="1"/>
  <c r="BE896" i="4" l="1"/>
  <c r="BG896" i="4" s="1"/>
  <c r="AQ896" i="4" s="1"/>
  <c r="C895" i="4"/>
  <c r="G896" i="4"/>
  <c r="H895" i="4"/>
  <c r="D895" i="4" s="1"/>
  <c r="BE897" i="4" l="1"/>
  <c r="BG897" i="4" s="1"/>
  <c r="AQ897" i="4" s="1"/>
  <c r="H896" i="4"/>
  <c r="D896" i="4" s="1"/>
  <c r="G897" i="4"/>
  <c r="C896" i="4"/>
  <c r="BE898" i="4" l="1"/>
  <c r="BG898" i="4" s="1"/>
  <c r="G898" i="4"/>
  <c r="C897" i="4"/>
  <c r="H897" i="4"/>
  <c r="D897" i="4" s="1"/>
  <c r="AQ898" i="4"/>
  <c r="BE899" i="4" l="1"/>
  <c r="BG899" i="4" s="1"/>
  <c r="AQ899" i="4" s="1"/>
  <c r="G899" i="4"/>
  <c r="C898" i="4"/>
  <c r="H898" i="4"/>
  <c r="D898" i="4" s="1"/>
  <c r="BE900" i="4" l="1"/>
  <c r="BG900" i="4" s="1"/>
  <c r="H899" i="4"/>
  <c r="C899" i="4"/>
  <c r="D899" i="4"/>
  <c r="G900" i="4"/>
  <c r="AQ900" i="4"/>
  <c r="BE901" i="4" l="1"/>
  <c r="BG901" i="4" s="1"/>
  <c r="C900" i="4"/>
  <c r="G901" i="4"/>
  <c r="H900" i="4"/>
  <c r="D900" i="4" s="1"/>
  <c r="AQ901" i="4"/>
  <c r="BE902" i="4" l="1"/>
  <c r="BG902" i="4" s="1"/>
  <c r="AQ902" i="4" s="1"/>
  <c r="C901" i="4"/>
  <c r="G902" i="4"/>
  <c r="H901" i="4"/>
  <c r="D901" i="4" s="1"/>
  <c r="BE903" i="4" l="1"/>
  <c r="BG903" i="4" s="1"/>
  <c r="AQ903" i="4" s="1"/>
  <c r="G903" i="4"/>
  <c r="H902" i="4"/>
  <c r="D902" i="4" s="1"/>
  <c r="C902" i="4"/>
  <c r="BE904" i="4" l="1"/>
  <c r="BG904" i="4" s="1"/>
  <c r="C903" i="4"/>
  <c r="G904" i="4"/>
  <c r="H903" i="4"/>
  <c r="D903" i="4" s="1"/>
  <c r="AQ904" i="4"/>
  <c r="BE905" i="4" l="1"/>
  <c r="BG905" i="4" s="1"/>
  <c r="C904" i="4"/>
  <c r="H904" i="4"/>
  <c r="D904" i="4" s="1"/>
  <c r="G905" i="4"/>
  <c r="BE906" i="4" l="1"/>
  <c r="BG906" i="4" s="1"/>
  <c r="AQ906" i="4" s="1"/>
  <c r="H905" i="4"/>
  <c r="G906" i="4"/>
  <c r="C905" i="4"/>
  <c r="D905" i="4"/>
  <c r="BE907" i="4" l="1"/>
  <c r="BG907" i="4" s="1"/>
  <c r="AQ907" i="4" s="1"/>
  <c r="C906" i="4"/>
  <c r="H906" i="4"/>
  <c r="D906" i="4" s="1"/>
  <c r="G907" i="4"/>
  <c r="BE908" i="4" l="1"/>
  <c r="BG908" i="4" s="1"/>
  <c r="C907" i="4"/>
  <c r="H907" i="4"/>
  <c r="D907" i="4" s="1"/>
  <c r="G908" i="4"/>
  <c r="AQ908" i="4"/>
  <c r="BE909" i="4" l="1"/>
  <c r="BG909" i="4" s="1"/>
  <c r="AQ909" i="4" s="1"/>
  <c r="G909" i="4"/>
  <c r="H908" i="4"/>
  <c r="D908" i="4" s="1"/>
  <c r="C908" i="4"/>
  <c r="BE910" i="4" l="1"/>
  <c r="BG910" i="4" s="1"/>
  <c r="AQ910" i="4" s="1"/>
  <c r="C909" i="4"/>
  <c r="G910" i="4"/>
  <c r="H909" i="4"/>
  <c r="D909" i="4" s="1"/>
  <c r="BE911" i="4" l="1"/>
  <c r="BG911" i="4" s="1"/>
  <c r="AQ911" i="4" s="1"/>
  <c r="G911" i="4"/>
  <c r="C910" i="4"/>
  <c r="H910" i="4"/>
  <c r="D910" i="4" s="1"/>
  <c r="BE912" i="4" l="1"/>
  <c r="BG912" i="4" s="1"/>
  <c r="H911" i="4"/>
  <c r="C911" i="4"/>
  <c r="D911" i="4"/>
  <c r="G912" i="4"/>
  <c r="BE913" i="4" l="1"/>
  <c r="BG913" i="4" s="1"/>
  <c r="AQ913" i="4" s="1"/>
  <c r="C912" i="4"/>
  <c r="G913" i="4"/>
  <c r="H912" i="4"/>
  <c r="D912" i="4" s="1"/>
  <c r="BE914" i="4" l="1"/>
  <c r="BG914" i="4" s="1"/>
  <c r="C913" i="4"/>
  <c r="G914" i="4"/>
  <c r="H913" i="4"/>
  <c r="D913" i="4" s="1"/>
  <c r="BE915" i="4" l="1"/>
  <c r="BG915" i="4" s="1"/>
  <c r="G915" i="4"/>
  <c r="H914" i="4"/>
  <c r="D914" i="4" s="1"/>
  <c r="C914" i="4"/>
  <c r="AQ915" i="4"/>
  <c r="BE916" i="4" l="1"/>
  <c r="BG916" i="4" s="1"/>
  <c r="AQ916" i="4" s="1"/>
  <c r="H915" i="4"/>
  <c r="D915" i="4" s="1"/>
  <c r="G916" i="4"/>
  <c r="C915" i="4"/>
  <c r="BE917" i="4" l="1"/>
  <c r="BG917" i="4" s="1"/>
  <c r="AQ917" i="4" s="1"/>
  <c r="G917" i="4"/>
  <c r="H916" i="4"/>
  <c r="D916" i="4" s="1"/>
  <c r="C916" i="4"/>
  <c r="BE918" i="4" l="1"/>
  <c r="BG918" i="4" s="1"/>
  <c r="AQ918" i="4" s="1"/>
  <c r="H917" i="4"/>
  <c r="C917" i="4"/>
  <c r="D917" i="4"/>
  <c r="G918" i="4"/>
  <c r="BE919" i="4" l="1"/>
  <c r="BG919" i="4" s="1"/>
  <c r="AQ919" i="4" s="1"/>
  <c r="C918" i="4"/>
  <c r="G919" i="4"/>
  <c r="H918" i="4"/>
  <c r="D918" i="4" s="1"/>
  <c r="BE920" i="4" l="1"/>
  <c r="BG920" i="4" s="1"/>
  <c r="H919" i="4"/>
  <c r="D919" i="4" s="1"/>
  <c r="C919" i="4"/>
  <c r="G920" i="4"/>
  <c r="AQ920" i="4"/>
  <c r="BE921" i="4" l="1"/>
  <c r="BG921" i="4" s="1"/>
  <c r="AQ921" i="4" s="1"/>
  <c r="G921" i="4"/>
  <c r="C920" i="4"/>
  <c r="H920" i="4"/>
  <c r="D920" i="4" s="1"/>
  <c r="BE922" i="4" l="1"/>
  <c r="BG922" i="4" s="1"/>
  <c r="AQ922" i="4" s="1"/>
  <c r="G922" i="4"/>
  <c r="H921" i="4"/>
  <c r="D921" i="4" s="1"/>
  <c r="C921" i="4"/>
  <c r="BE923" i="4" l="1"/>
  <c r="BG923" i="4" s="1"/>
  <c r="G923" i="4"/>
  <c r="H922" i="4"/>
  <c r="D922" i="4" s="1"/>
  <c r="C922" i="4"/>
  <c r="AQ923" i="4"/>
  <c r="BE924" i="4" l="1"/>
  <c r="BG924" i="4" s="1"/>
  <c r="H923" i="4"/>
  <c r="C923" i="4"/>
  <c r="D923" i="4"/>
  <c r="G924" i="4"/>
  <c r="AQ924" i="4"/>
  <c r="BE925" i="4" l="1"/>
  <c r="BG925" i="4" s="1"/>
  <c r="AQ925" i="4" s="1"/>
  <c r="C924" i="4"/>
  <c r="G925" i="4"/>
  <c r="H924" i="4"/>
  <c r="D924" i="4" s="1"/>
  <c r="BE926" i="4" l="1"/>
  <c r="BG926" i="4" s="1"/>
  <c r="C925" i="4"/>
  <c r="G926" i="4"/>
  <c r="H925" i="4"/>
  <c r="D925" i="4" s="1"/>
  <c r="AQ926" i="4"/>
  <c r="BE927" i="4" l="1"/>
  <c r="BG927" i="4" s="1"/>
  <c r="AQ927" i="4" s="1"/>
  <c r="G927" i="4"/>
  <c r="H926" i="4"/>
  <c r="D926" i="4" s="1"/>
  <c r="C926" i="4"/>
  <c r="BE928" i="4" l="1"/>
  <c r="BG928" i="4" s="1"/>
  <c r="AQ928" i="4" s="1"/>
  <c r="C927" i="4"/>
  <c r="G928" i="4"/>
  <c r="H927" i="4"/>
  <c r="D927" i="4" s="1"/>
  <c r="BE929" i="4" l="1"/>
  <c r="BG929" i="4" s="1"/>
  <c r="AQ929" i="4" s="1"/>
  <c r="H928" i="4"/>
  <c r="G929" i="4"/>
  <c r="D928" i="4"/>
  <c r="C928" i="4"/>
  <c r="BE930" i="4" l="1"/>
  <c r="BG930" i="4" s="1"/>
  <c r="H929" i="4"/>
  <c r="C929" i="4"/>
  <c r="D929" i="4"/>
  <c r="G930" i="4"/>
  <c r="AQ930" i="4"/>
  <c r="BE931" i="4" l="1"/>
  <c r="BG931" i="4" s="1"/>
  <c r="C930" i="4"/>
  <c r="G931" i="4"/>
  <c r="H930" i="4"/>
  <c r="D930" i="4" s="1"/>
  <c r="BE932" i="4" l="1"/>
  <c r="BG932" i="4" s="1"/>
  <c r="C931" i="4"/>
  <c r="H931" i="4"/>
  <c r="D931" i="4" s="1"/>
  <c r="G932" i="4"/>
  <c r="BE933" i="4" l="1"/>
  <c r="BG933" i="4" s="1"/>
  <c r="H932" i="4"/>
  <c r="D932" i="4" s="1"/>
  <c r="G933" i="4"/>
  <c r="C932" i="4"/>
  <c r="BE934" i="4" l="1"/>
  <c r="BG934" i="4" s="1"/>
  <c r="C933" i="4"/>
  <c r="G934" i="4"/>
  <c r="H933" i="4"/>
  <c r="D933" i="4" s="1"/>
  <c r="BE935" i="4" l="1"/>
  <c r="BG935" i="4" s="1"/>
  <c r="G935" i="4"/>
  <c r="H934" i="4"/>
  <c r="D934" i="4" s="1"/>
  <c r="C934" i="4"/>
  <c r="BE936" i="4" l="1"/>
  <c r="BG936" i="4" s="1"/>
  <c r="C935" i="4"/>
  <c r="G936" i="4"/>
  <c r="H935" i="4"/>
  <c r="D935" i="4" s="1"/>
  <c r="BE937" i="4" l="1"/>
  <c r="BG937" i="4" s="1"/>
  <c r="G937" i="4"/>
  <c r="H936" i="4"/>
  <c r="D936" i="4" s="1"/>
  <c r="C936" i="4"/>
  <c r="BE938" i="4" l="1"/>
  <c r="BG938" i="4" s="1"/>
  <c r="G938" i="4"/>
  <c r="H937" i="4"/>
  <c r="D937" i="4" s="1"/>
  <c r="C937" i="4"/>
  <c r="BE939" i="4" l="1"/>
  <c r="BG939" i="4" s="1"/>
  <c r="G939" i="4"/>
  <c r="H938" i="4"/>
  <c r="D938" i="4" s="1"/>
  <c r="C938" i="4"/>
  <c r="BE940" i="4" l="1"/>
  <c r="BG940" i="4" s="1"/>
  <c r="G940" i="4"/>
  <c r="C939" i="4"/>
  <c r="H939" i="4"/>
  <c r="D939" i="4" s="1"/>
  <c r="BE941" i="4" l="1"/>
  <c r="BG941" i="4" s="1"/>
  <c r="G941" i="4"/>
  <c r="C940" i="4"/>
  <c r="H940" i="4"/>
  <c r="D940" i="4" s="1"/>
  <c r="BE942" i="4" l="1"/>
  <c r="BG942" i="4" s="1"/>
  <c r="C941" i="4"/>
  <c r="G942" i="4"/>
  <c r="H941" i="4"/>
  <c r="D941" i="4" s="1"/>
  <c r="BE943" i="4" l="1"/>
  <c r="BG943" i="4" s="1"/>
  <c r="C942" i="4"/>
  <c r="G943" i="4"/>
  <c r="H942" i="4"/>
  <c r="D942" i="4" s="1"/>
  <c r="AQ943" i="4"/>
  <c r="BE944" i="4" l="1"/>
  <c r="BG944" i="4" s="1"/>
  <c r="H943" i="4"/>
  <c r="D943" i="4" s="1"/>
  <c r="G944" i="4"/>
  <c r="C943" i="4"/>
  <c r="AQ944" i="4"/>
  <c r="BE945" i="4" l="1"/>
  <c r="BG945" i="4" s="1"/>
  <c r="AQ945" i="4" s="1"/>
  <c r="G945" i="4"/>
  <c r="C944" i="4"/>
  <c r="H944" i="4"/>
  <c r="D944" i="4" s="1"/>
  <c r="BE946" i="4" l="1"/>
  <c r="BG946" i="4" s="1"/>
  <c r="C945" i="4"/>
  <c r="G946" i="4"/>
  <c r="H945" i="4"/>
  <c r="D945" i="4" s="1"/>
  <c r="AQ946" i="4"/>
  <c r="BE947" i="4" l="1"/>
  <c r="BG947" i="4" s="1"/>
  <c r="AQ947" i="4" s="1"/>
  <c r="C946" i="4"/>
  <c r="G947" i="4"/>
  <c r="H946" i="4"/>
  <c r="D946" i="4" s="1"/>
  <c r="BE948" i="4" l="1"/>
  <c r="BG948" i="4" s="1"/>
  <c r="AQ948" i="4" s="1"/>
  <c r="G948" i="4"/>
  <c r="H947" i="4"/>
  <c r="C947" i="4"/>
  <c r="D947" i="4"/>
  <c r="BE949" i="4" l="1"/>
  <c r="BG949" i="4" s="1"/>
  <c r="AQ949" i="4" s="1"/>
  <c r="C948" i="4"/>
  <c r="H948" i="4"/>
  <c r="D948" i="4" s="1"/>
  <c r="G949" i="4"/>
  <c r="BE950" i="4" l="1"/>
  <c r="BG950" i="4" s="1"/>
  <c r="C949" i="4"/>
  <c r="G950" i="4"/>
  <c r="H949" i="4"/>
  <c r="D949" i="4" s="1"/>
  <c r="AQ950" i="4"/>
  <c r="BE951" i="4" l="1"/>
  <c r="BG951" i="4" s="1"/>
  <c r="G951" i="4"/>
  <c r="C950" i="4"/>
  <c r="H950" i="4"/>
  <c r="D950" i="4" s="1"/>
  <c r="AQ951" i="4"/>
  <c r="BE952" i="4" l="1"/>
  <c r="BG952" i="4" s="1"/>
  <c r="AQ952" i="4" s="1"/>
  <c r="H951" i="4"/>
  <c r="D951" i="4" s="1"/>
  <c r="G952" i="4"/>
  <c r="C951" i="4"/>
  <c r="BE953" i="4" l="1"/>
  <c r="BG953" i="4" s="1"/>
  <c r="C952" i="4"/>
  <c r="G953" i="4"/>
  <c r="H952" i="4"/>
  <c r="D952" i="4" s="1"/>
  <c r="AQ953" i="4"/>
  <c r="BE954" i="4" l="1"/>
  <c r="BG954" i="4" s="1"/>
  <c r="G954" i="4"/>
  <c r="H953" i="4"/>
  <c r="D953" i="4" s="1"/>
  <c r="C953" i="4"/>
  <c r="AQ954" i="4"/>
  <c r="BE955" i="4" l="1"/>
  <c r="BG955" i="4" s="1"/>
  <c r="G955" i="4"/>
  <c r="H954" i="4"/>
  <c r="D954" i="4" s="1"/>
  <c r="C954" i="4"/>
  <c r="AQ955" i="4"/>
  <c r="BE956" i="4" l="1"/>
  <c r="BG956" i="4" s="1"/>
  <c r="G956" i="4"/>
  <c r="H955" i="4"/>
  <c r="C955" i="4"/>
  <c r="D955" i="4"/>
  <c r="AQ956" i="4"/>
  <c r="BE957" i="4" l="1"/>
  <c r="BG957" i="4" s="1"/>
  <c r="G957" i="4"/>
  <c r="C956" i="4"/>
  <c r="H956" i="4"/>
  <c r="D956" i="4" s="1"/>
  <c r="AQ957" i="4"/>
  <c r="BE958" i="4" l="1"/>
  <c r="BG958" i="4" s="1"/>
  <c r="C957" i="4"/>
  <c r="G958" i="4"/>
  <c r="H957" i="4"/>
  <c r="D957" i="4" s="1"/>
  <c r="AQ958" i="4"/>
  <c r="BE959" i="4" l="1"/>
  <c r="BG959" i="4" s="1"/>
  <c r="G959" i="4"/>
  <c r="C958" i="4"/>
  <c r="H958" i="4"/>
  <c r="D958" i="4" s="1"/>
  <c r="AQ959" i="4"/>
  <c r="BE960" i="4" l="1"/>
  <c r="BG960" i="4" s="1"/>
  <c r="G960" i="4"/>
  <c r="C959" i="4"/>
  <c r="H959" i="4"/>
  <c r="D959" i="4" s="1"/>
  <c r="AQ960" i="4"/>
  <c r="BE961" i="4" l="1"/>
  <c r="BG961" i="4" s="1"/>
  <c r="C960" i="4"/>
  <c r="G961" i="4"/>
  <c r="H960" i="4"/>
  <c r="D960" i="4" s="1"/>
  <c r="AQ961" i="4"/>
  <c r="BE962" i="4" l="1"/>
  <c r="BG962" i="4" s="1"/>
  <c r="AQ962" i="4" s="1"/>
  <c r="C961" i="4"/>
  <c r="G962" i="4"/>
  <c r="H961" i="4"/>
  <c r="D961" i="4" s="1"/>
  <c r="BE963" i="4" l="1"/>
  <c r="BG963" i="4" s="1"/>
  <c r="C962" i="4"/>
  <c r="H962" i="4"/>
  <c r="D962" i="4" s="1"/>
  <c r="G963" i="4"/>
  <c r="AQ963" i="4"/>
  <c r="BE964" i="4" l="1"/>
  <c r="BG964" i="4" s="1"/>
  <c r="AQ964" i="4" s="1"/>
  <c r="G964" i="4"/>
  <c r="C963" i="4"/>
  <c r="H963" i="4"/>
  <c r="D963" i="4" s="1"/>
  <c r="BE965" i="4" l="1"/>
  <c r="BG965" i="4" s="1"/>
  <c r="AQ965" i="4" s="1"/>
  <c r="G965" i="4"/>
  <c r="H964" i="4"/>
  <c r="D964" i="4" s="1"/>
  <c r="C964" i="4"/>
  <c r="BE966" i="4" l="1"/>
  <c r="BG966" i="4" s="1"/>
  <c r="AQ966" i="4" s="1"/>
  <c r="G966" i="4"/>
  <c r="C965" i="4"/>
  <c r="H965" i="4"/>
  <c r="D965" i="4" s="1"/>
  <c r="BE967" i="4" l="1"/>
  <c r="BG967" i="4" s="1"/>
  <c r="AQ967" i="4" s="1"/>
  <c r="G967" i="4"/>
  <c r="C966" i="4"/>
  <c r="H966" i="4"/>
  <c r="D966" i="4" s="1"/>
  <c r="BE968" i="4" l="1"/>
  <c r="BG968" i="4" s="1"/>
  <c r="AQ968" i="4" s="1"/>
  <c r="C967" i="4"/>
  <c r="G968" i="4"/>
  <c r="H967" i="4"/>
  <c r="D967" i="4" s="1"/>
  <c r="BE969" i="4" l="1"/>
  <c r="BG969" i="4" s="1"/>
  <c r="AQ969" i="4" s="1"/>
  <c r="G969" i="4"/>
  <c r="H968" i="4"/>
  <c r="D968" i="4" s="1"/>
  <c r="C968" i="4"/>
  <c r="BE970" i="4" l="1"/>
  <c r="BG970" i="4" s="1"/>
  <c r="AQ970" i="4" s="1"/>
  <c r="G970" i="4"/>
  <c r="H969" i="4"/>
  <c r="D969" i="4" s="1"/>
  <c r="C969" i="4"/>
  <c r="BE971" i="4" l="1"/>
  <c r="BG971" i="4" s="1"/>
  <c r="G971" i="4"/>
  <c r="C970" i="4"/>
  <c r="H970" i="4"/>
  <c r="D970" i="4" s="1"/>
  <c r="AQ971" i="4"/>
  <c r="BE972" i="4" l="1"/>
  <c r="BG972" i="4" s="1"/>
  <c r="AQ972" i="4" s="1"/>
  <c r="C971" i="4"/>
  <c r="G972" i="4"/>
  <c r="H971" i="4"/>
  <c r="D971" i="4" s="1"/>
  <c r="BE973" i="4" l="1"/>
  <c r="BG973" i="4" s="1"/>
  <c r="AQ973" i="4" s="1"/>
  <c r="G973" i="4"/>
  <c r="H972" i="4"/>
  <c r="D972" i="4" s="1"/>
  <c r="C972" i="4"/>
  <c r="BE974" i="4" l="1"/>
  <c r="BG974" i="4" s="1"/>
  <c r="G974" i="4"/>
  <c r="H973" i="4"/>
  <c r="D973" i="4" s="1"/>
  <c r="C973" i="4"/>
  <c r="AQ974" i="4"/>
  <c r="BE975" i="4" l="1"/>
  <c r="BG975" i="4" s="1"/>
  <c r="AQ975" i="4" s="1"/>
  <c r="H974" i="4"/>
  <c r="D974" i="4" s="1"/>
  <c r="C974" i="4"/>
  <c r="G975" i="4"/>
  <c r="BE976" i="4" l="1"/>
  <c r="BG976" i="4" s="1"/>
  <c r="AQ976" i="4" s="1"/>
  <c r="H975" i="4"/>
  <c r="D975" i="4" s="1"/>
  <c r="G976" i="4"/>
  <c r="C975" i="4"/>
  <c r="BE977" i="4" l="1"/>
  <c r="BG977" i="4" s="1"/>
  <c r="AQ977" i="4" s="1"/>
  <c r="G977" i="4"/>
  <c r="C976" i="4"/>
  <c r="H976" i="4"/>
  <c r="D976" i="4" s="1"/>
  <c r="BE978" i="4" l="1"/>
  <c r="BG978" i="4" s="1"/>
  <c r="AQ978" i="4" s="1"/>
  <c r="H977" i="4"/>
  <c r="C977" i="4"/>
  <c r="D977" i="4"/>
  <c r="G978" i="4"/>
  <c r="BE979" i="4" l="1"/>
  <c r="BG979" i="4" s="1"/>
  <c r="AQ979" i="4" s="1"/>
  <c r="C978" i="4"/>
  <c r="G979" i="4"/>
  <c r="H978" i="4"/>
  <c r="D978" i="4" s="1"/>
  <c r="BE980" i="4" l="1"/>
  <c r="BG980" i="4" s="1"/>
  <c r="AQ980" i="4" s="1"/>
  <c r="G980" i="4"/>
  <c r="H979" i="4"/>
  <c r="D979" i="4" s="1"/>
  <c r="C979" i="4"/>
  <c r="BE981" i="4" l="1"/>
  <c r="BG981" i="4" s="1"/>
  <c r="AQ981" i="4" s="1"/>
  <c r="H980" i="4"/>
  <c r="D980" i="4" s="1"/>
  <c r="G981" i="4"/>
  <c r="C980" i="4"/>
  <c r="BE982" i="4" l="1"/>
  <c r="BG982" i="4" s="1"/>
  <c r="AQ982" i="4" s="1"/>
  <c r="C981" i="4"/>
  <c r="G982" i="4"/>
  <c r="H981" i="4"/>
  <c r="D981" i="4" s="1"/>
  <c r="BE983" i="4" l="1"/>
  <c r="BG983" i="4" s="1"/>
  <c r="AQ983" i="4" s="1"/>
  <c r="G983" i="4"/>
  <c r="H982" i="4"/>
  <c r="D982" i="4" s="1"/>
  <c r="C982" i="4"/>
  <c r="BE984" i="4" l="1"/>
  <c r="BG984" i="4" s="1"/>
  <c r="AQ984" i="4" s="1"/>
  <c r="H983" i="4"/>
  <c r="C983" i="4"/>
  <c r="D983" i="4"/>
  <c r="G984" i="4"/>
  <c r="BE985" i="4" l="1"/>
  <c r="BG985" i="4" s="1"/>
  <c r="AQ985" i="4" s="1"/>
  <c r="C984" i="4"/>
  <c r="G985" i="4"/>
  <c r="H984" i="4"/>
  <c r="D984" i="4" s="1"/>
  <c r="BE986" i="4" l="1"/>
  <c r="BG986" i="4" s="1"/>
  <c r="AQ986" i="4" s="1"/>
  <c r="H985" i="4"/>
  <c r="D985" i="4" s="1"/>
  <c r="G986" i="4"/>
  <c r="C985" i="4"/>
  <c r="BE987" i="4" l="1"/>
  <c r="BG987" i="4" s="1"/>
  <c r="AQ987" i="4" s="1"/>
  <c r="G987" i="4"/>
  <c r="C986" i="4"/>
  <c r="H986" i="4"/>
  <c r="D986" i="4" s="1"/>
  <c r="BE988" i="4" l="1"/>
  <c r="BG988" i="4" s="1"/>
  <c r="AQ988" i="4" s="1"/>
  <c r="G988" i="4"/>
  <c r="C987" i="4"/>
  <c r="H987" i="4"/>
  <c r="D987" i="4" s="1"/>
  <c r="BE989" i="4" l="1"/>
  <c r="BG989" i="4" s="1"/>
  <c r="AQ989" i="4" s="1"/>
  <c r="G989" i="4"/>
  <c r="C988" i="4"/>
  <c r="H988" i="4"/>
  <c r="D988" i="4" s="1"/>
  <c r="BE990" i="4" l="1"/>
  <c r="BG990" i="4" s="1"/>
  <c r="AQ990" i="4" s="1"/>
  <c r="H989" i="4"/>
  <c r="D989" i="4" s="1"/>
  <c r="G990" i="4"/>
  <c r="C989" i="4"/>
  <c r="BE991" i="4" l="1"/>
  <c r="BG991" i="4" s="1"/>
  <c r="AQ991" i="4" s="1"/>
  <c r="C990" i="4"/>
  <c r="G991" i="4"/>
  <c r="H990" i="4"/>
  <c r="D990" i="4" s="1"/>
  <c r="BE992" i="4" l="1"/>
  <c r="BG992" i="4" s="1"/>
  <c r="AQ992" i="4" s="1"/>
  <c r="H991" i="4"/>
  <c r="D991" i="4" s="1"/>
  <c r="G992" i="4"/>
  <c r="C991" i="4"/>
  <c r="BE993" i="4" l="1"/>
  <c r="BG993" i="4" s="1"/>
  <c r="AQ993" i="4" s="1"/>
  <c r="G993" i="4"/>
  <c r="H992" i="4"/>
  <c r="D992" i="4" s="1"/>
  <c r="C992" i="4"/>
  <c r="BE994" i="4" l="1"/>
  <c r="BG994" i="4" s="1"/>
  <c r="AQ994" i="4" s="1"/>
  <c r="G994" i="4"/>
  <c r="C993" i="4"/>
  <c r="H993" i="4"/>
  <c r="D993" i="4" s="1"/>
  <c r="BE995" i="4" l="1"/>
  <c r="BG995" i="4" s="1"/>
  <c r="AQ995" i="4" s="1"/>
  <c r="H994" i="4"/>
  <c r="C994" i="4"/>
  <c r="G995" i="4"/>
  <c r="D994" i="4"/>
  <c r="BE996" i="4" l="1"/>
  <c r="BG996" i="4" s="1"/>
  <c r="AQ996" i="4" s="1"/>
  <c r="H995" i="4"/>
  <c r="C995" i="4"/>
  <c r="D995" i="4"/>
  <c r="G996" i="4"/>
  <c r="BE997" i="4" l="1"/>
  <c r="BG997" i="4" s="1"/>
  <c r="AQ997" i="4" s="1"/>
  <c r="H996" i="4"/>
  <c r="D996" i="4" s="1"/>
  <c r="C996" i="4"/>
  <c r="G997" i="4"/>
  <c r="BE998" i="4" l="1"/>
  <c r="BG998" i="4" s="1"/>
  <c r="AQ998" i="4" s="1"/>
  <c r="C997" i="4"/>
  <c r="G998" i="4"/>
  <c r="H997" i="4"/>
  <c r="D997" i="4" s="1"/>
  <c r="BE999" i="4" l="1"/>
  <c r="BG999" i="4" s="1"/>
  <c r="AQ999" i="4" s="1"/>
  <c r="G999" i="4"/>
  <c r="C998" i="4"/>
  <c r="H998" i="4"/>
  <c r="D998" i="4" s="1"/>
  <c r="BE1000" i="4" l="1"/>
  <c r="BG1000" i="4" s="1"/>
  <c r="AQ1000" i="4" s="1"/>
  <c r="C999" i="4"/>
  <c r="G1000" i="4"/>
  <c r="H999" i="4"/>
  <c r="D999" i="4" s="1"/>
  <c r="BE1001" i="4" l="1"/>
  <c r="BG1001" i="4" s="1"/>
  <c r="AQ1001" i="4" s="1"/>
  <c r="C1000" i="4"/>
  <c r="H1000" i="4"/>
  <c r="G1001" i="4"/>
  <c r="D1000" i="4"/>
  <c r="BE1002" i="4" l="1"/>
  <c r="BG1002" i="4" s="1"/>
  <c r="AQ1002" i="4" s="1"/>
  <c r="H1001" i="4"/>
  <c r="C1001" i="4"/>
  <c r="D1001" i="4"/>
  <c r="G1002" i="4"/>
  <c r="BE1003" i="4" l="1"/>
  <c r="BG1003" i="4" s="1"/>
  <c r="AQ1003" i="4" s="1"/>
  <c r="C1002" i="4"/>
  <c r="G1003" i="4"/>
  <c r="H1002" i="4"/>
  <c r="D1002" i="4" s="1"/>
  <c r="BE1004" i="4" l="1"/>
  <c r="BG1004" i="4" s="1"/>
  <c r="AQ1004" i="4" s="1"/>
  <c r="G1004" i="4"/>
  <c r="C1003" i="4"/>
  <c r="H1003" i="4"/>
  <c r="D1003" i="4" s="1"/>
  <c r="BE1005" i="4" l="1"/>
  <c r="BG1005" i="4" s="1"/>
  <c r="AQ1005" i="4" s="1"/>
  <c r="H1004" i="4"/>
  <c r="D1004" i="4" s="1"/>
  <c r="G1005" i="4"/>
  <c r="C1004" i="4"/>
  <c r="BE1006" i="4" l="1"/>
  <c r="BG1006" i="4" s="1"/>
  <c r="AQ1006" i="4" s="1"/>
  <c r="C1005" i="4"/>
  <c r="G1006" i="4"/>
  <c r="H1005" i="4"/>
  <c r="D1005" i="4" s="1"/>
  <c r="BE1007" i="4" l="1"/>
  <c r="BG1007" i="4" s="1"/>
  <c r="AQ1007" i="4" s="1"/>
  <c r="H1006" i="4"/>
  <c r="D1006" i="4" s="1"/>
  <c r="G1007" i="4"/>
  <c r="C1006" i="4"/>
  <c r="BE1008" i="4" l="1"/>
  <c r="BG1008" i="4" s="1"/>
  <c r="AQ1008" i="4" s="1"/>
  <c r="C1007" i="4"/>
  <c r="H1007" i="4"/>
  <c r="D1007" i="4"/>
  <c r="G1008" i="4"/>
  <c r="BE1009" i="4" l="1"/>
  <c r="BG1009" i="4" s="1"/>
  <c r="AQ1009" i="4" s="1"/>
  <c r="C1008" i="4"/>
  <c r="G1009" i="4"/>
  <c r="H1008" i="4"/>
  <c r="D1008" i="4" s="1"/>
  <c r="BE1010" i="4" l="1"/>
  <c r="BG1010" i="4" s="1"/>
  <c r="AQ1010" i="4" s="1"/>
  <c r="C1009" i="4"/>
  <c r="G1010" i="4"/>
  <c r="H1009" i="4"/>
  <c r="D1009" i="4" s="1"/>
  <c r="BE1011" i="4" l="1"/>
  <c r="BG1011" i="4" s="1"/>
  <c r="AQ1011" i="4" s="1"/>
  <c r="H1010" i="4"/>
  <c r="D1010" i="4" s="1"/>
  <c r="G1011" i="4"/>
  <c r="C1010" i="4"/>
  <c r="BE1012" i="4" l="1"/>
  <c r="BG1012" i="4" s="1"/>
  <c r="AQ1012" i="4" s="1"/>
  <c r="C1011" i="4"/>
  <c r="H1011" i="4"/>
  <c r="D1011" i="4" s="1"/>
  <c r="G1012" i="4"/>
  <c r="BE1013" i="4" l="1"/>
  <c r="BG1013" i="4" s="1"/>
  <c r="AQ1013" i="4" s="1"/>
  <c r="G1013" i="4"/>
  <c r="C1012" i="4"/>
  <c r="H1012" i="4"/>
  <c r="D1012" i="4" s="1"/>
  <c r="BE1014" i="4" l="1"/>
  <c r="BG1014" i="4" s="1"/>
  <c r="AQ1014" i="4" s="1"/>
  <c r="H1013" i="4"/>
  <c r="C1013" i="4"/>
  <c r="D1013" i="4"/>
  <c r="G1014" i="4"/>
  <c r="BE1015" i="4" l="1"/>
  <c r="BG1015" i="4" s="1"/>
  <c r="AQ1015" i="4" s="1"/>
  <c r="C1014" i="4"/>
  <c r="H1014" i="4"/>
  <c r="D1014" i="4" s="1"/>
  <c r="G1015" i="4"/>
  <c r="BE1016" i="4" l="1"/>
  <c r="BG1016" i="4" s="1"/>
  <c r="AQ1016" i="4" s="1"/>
  <c r="G1016" i="4"/>
  <c r="H1015" i="4"/>
  <c r="D1015" i="4" s="1"/>
  <c r="C1015" i="4"/>
  <c r="BE1017" i="4" l="1"/>
  <c r="BG1017" i="4" s="1"/>
  <c r="AQ1017" i="4" s="1"/>
  <c r="G1017" i="4"/>
  <c r="C1016" i="4"/>
  <c r="H1016" i="4"/>
  <c r="D1016" i="4" s="1"/>
  <c r="BE1018" i="4" l="1"/>
  <c r="BG1018" i="4" s="1"/>
  <c r="AQ1018" i="4" s="1"/>
  <c r="H1017" i="4"/>
  <c r="D1017" i="4" s="1"/>
  <c r="G1018" i="4"/>
  <c r="C1017" i="4"/>
  <c r="BE1019" i="4" l="1"/>
  <c r="BG1019" i="4" s="1"/>
  <c r="AQ1019" i="4" s="1"/>
  <c r="G1019" i="4"/>
  <c r="H1018" i="4"/>
  <c r="D1018" i="4" s="1"/>
  <c r="C1018" i="4"/>
  <c r="BE1020" i="4" l="1"/>
  <c r="BG1020" i="4" s="1"/>
  <c r="AQ1020" i="4" s="1"/>
  <c r="H1019" i="4"/>
  <c r="C1019" i="4"/>
  <c r="D1019" i="4"/>
  <c r="G1020" i="4"/>
  <c r="BE1021" i="4" l="1"/>
  <c r="BG1021" i="4" s="1"/>
  <c r="AQ1021" i="4" s="1"/>
  <c r="C1020" i="4"/>
  <c r="G1021" i="4"/>
  <c r="H1020" i="4"/>
  <c r="D1020" i="4" s="1"/>
  <c r="BE1022" i="4" l="1"/>
  <c r="BG1022" i="4" s="1"/>
  <c r="AQ1022" i="4" s="1"/>
  <c r="G1022" i="4"/>
  <c r="H1021" i="4"/>
  <c r="D1021" i="4" s="1"/>
  <c r="C1021" i="4"/>
  <c r="BE1023" i="4" l="1"/>
  <c r="BG1023" i="4" s="1"/>
  <c r="AQ1023" i="4" s="1"/>
  <c r="G1023" i="4"/>
  <c r="H1022" i="4"/>
  <c r="D1022" i="4" s="1"/>
  <c r="C1022" i="4"/>
  <c r="BE1024" i="4" l="1"/>
  <c r="BG1024" i="4" s="1"/>
  <c r="AQ1024" i="4" s="1"/>
  <c r="C1023" i="4"/>
  <c r="G1024" i="4"/>
  <c r="H1023" i="4"/>
  <c r="D1023" i="4" s="1"/>
  <c r="BE1025" i="4" l="1"/>
  <c r="BG1025" i="4" s="1"/>
  <c r="AQ1025" i="4" s="1"/>
  <c r="G1025" i="4"/>
  <c r="C1024" i="4"/>
  <c r="H1024" i="4"/>
  <c r="D1024" i="4" s="1"/>
  <c r="BE1026" i="4" l="1"/>
  <c r="BG1026" i="4" s="1"/>
  <c r="AQ1026" i="4" s="1"/>
  <c r="H1025" i="4"/>
  <c r="C1025" i="4"/>
  <c r="D1025" i="4"/>
  <c r="G1026" i="4"/>
  <c r="BE1027" i="4" l="1"/>
  <c r="BG1027" i="4" s="1"/>
  <c r="AQ1027" i="4" s="1"/>
  <c r="C1026" i="4"/>
  <c r="G1027" i="4"/>
  <c r="H1026" i="4"/>
  <c r="D1026" i="4" s="1"/>
  <c r="BE1028" i="4" l="1"/>
  <c r="BG1028" i="4" s="1"/>
  <c r="AQ1028" i="4" s="1"/>
  <c r="C1027" i="4"/>
  <c r="G1028" i="4"/>
  <c r="H1027" i="4"/>
  <c r="D1027" i="4" s="1"/>
  <c r="BE1029" i="4" l="1"/>
  <c r="BG1029" i="4" s="1"/>
  <c r="AQ1029" i="4" s="1"/>
  <c r="H1028" i="4"/>
  <c r="D1028" i="4" s="1"/>
  <c r="G1029" i="4"/>
  <c r="C1028" i="4"/>
  <c r="BE1030" i="4" l="1"/>
  <c r="BG1030" i="4" s="1"/>
  <c r="AQ1030" i="4" s="1"/>
  <c r="C1029" i="4"/>
  <c r="G1030" i="4"/>
  <c r="H1029" i="4"/>
  <c r="D1029" i="4" s="1"/>
  <c r="BE1031" i="4" l="1"/>
  <c r="BG1031" i="4" s="1"/>
  <c r="AQ1031" i="4" s="1"/>
  <c r="G1031" i="4"/>
  <c r="H1030" i="4"/>
  <c r="D1030" i="4" s="1"/>
  <c r="C1030" i="4"/>
  <c r="BE1032" i="4" l="1"/>
  <c r="BG1032" i="4" s="1"/>
  <c r="AQ1032" i="4" s="1"/>
  <c r="H1031" i="4"/>
  <c r="D1031" i="4"/>
  <c r="G1032" i="4"/>
  <c r="C1031" i="4"/>
  <c r="BE1033" i="4" l="1"/>
  <c r="BG1033" i="4" s="1"/>
  <c r="AQ1033" i="4" s="1"/>
  <c r="C1032" i="4"/>
  <c r="H1032" i="4"/>
  <c r="D1032" i="4" s="1"/>
  <c r="G1033" i="4"/>
  <c r="BE1034" i="4" l="1"/>
  <c r="BG1034" i="4" s="1"/>
  <c r="AQ1034" i="4" s="1"/>
  <c r="G1034" i="4"/>
  <c r="C1033" i="4"/>
  <c r="H1033" i="4"/>
  <c r="D1033" i="4" s="1"/>
  <c r="BE1035" i="4" l="1"/>
  <c r="BG1035" i="4" s="1"/>
  <c r="AQ1035" i="4" s="1"/>
  <c r="H1034" i="4"/>
  <c r="D1034" i="4" s="1"/>
  <c r="G1035" i="4"/>
  <c r="C1034" i="4"/>
  <c r="BE1036" i="4" l="1"/>
  <c r="BG1036" i="4" s="1"/>
  <c r="AQ1036" i="4" s="1"/>
  <c r="G1036" i="4"/>
  <c r="C1035" i="4"/>
  <c r="H1035" i="4"/>
  <c r="D1035" i="4" s="1"/>
  <c r="BE1037" i="4" l="1"/>
  <c r="BG1037" i="4" s="1"/>
  <c r="AQ1037" i="4" s="1"/>
  <c r="G1037" i="4"/>
  <c r="C1036" i="4"/>
  <c r="H1036" i="4"/>
  <c r="D1036" i="4" s="1"/>
  <c r="BE1038" i="4" l="1"/>
  <c r="BG1038" i="4" s="1"/>
  <c r="AQ1038" i="4" s="1"/>
  <c r="H1037" i="4"/>
  <c r="C1037" i="4"/>
  <c r="D1037" i="4"/>
  <c r="G1038" i="4"/>
  <c r="BE1039" i="4" l="1"/>
  <c r="BG1039" i="4" s="1"/>
  <c r="AQ1039" i="4" s="1"/>
  <c r="C1038" i="4"/>
  <c r="G1039" i="4"/>
  <c r="H1038" i="4"/>
  <c r="D1038" i="4" s="1"/>
  <c r="BE1040" i="4" l="1"/>
  <c r="BG1040" i="4" s="1"/>
  <c r="AQ1040" i="4" s="1"/>
  <c r="H1039" i="4"/>
  <c r="D1039" i="4" s="1"/>
  <c r="G1040" i="4"/>
  <c r="C1039" i="4"/>
  <c r="BE1041" i="4" l="1"/>
  <c r="BG1041" i="4" s="1"/>
  <c r="AQ1041" i="4" s="1"/>
  <c r="G1041" i="4"/>
  <c r="H1040" i="4"/>
  <c r="D1040" i="4" s="1"/>
  <c r="C1040" i="4"/>
  <c r="BE1042" i="4" l="1"/>
  <c r="BG1042" i="4" s="1"/>
  <c r="AQ1042" i="4" s="1"/>
  <c r="G1042" i="4"/>
  <c r="C1041" i="4"/>
  <c r="H1041" i="4"/>
  <c r="D1041" i="4" s="1"/>
  <c r="BE1043" i="4" l="1"/>
  <c r="BG1043" i="4" s="1"/>
  <c r="AQ1043" i="4" s="1"/>
  <c r="G1043" i="4"/>
  <c r="H1042" i="4"/>
  <c r="D1042" i="4" s="1"/>
  <c r="C1042" i="4"/>
  <c r="BE1044" i="4" l="1"/>
  <c r="BG1044" i="4" s="1"/>
  <c r="AQ1044" i="4" s="1"/>
  <c r="H1043" i="4"/>
  <c r="C1043" i="4"/>
  <c r="D1043" i="4"/>
  <c r="G1044" i="4"/>
  <c r="BE1045" i="4" l="1"/>
  <c r="BG1045" i="4" s="1"/>
  <c r="AQ1045" i="4" s="1"/>
  <c r="H1044" i="4"/>
  <c r="D1044" i="4" s="1"/>
  <c r="C1044" i="4"/>
  <c r="G1045" i="4"/>
  <c r="BE1046" i="4" l="1"/>
  <c r="BG1046" i="4" s="1"/>
  <c r="AQ1046" i="4" s="1"/>
  <c r="G1046" i="4"/>
  <c r="C1045" i="4"/>
  <c r="H1045" i="4"/>
  <c r="D1045" i="4" s="1"/>
  <c r="BE1047" i="4" l="1"/>
  <c r="BG1047" i="4" s="1"/>
  <c r="AQ1047" i="4" s="1"/>
  <c r="G1047" i="4"/>
  <c r="H1046" i="4"/>
  <c r="D1046" i="4" s="1"/>
  <c r="C1046" i="4"/>
  <c r="BE1048" i="4" l="1"/>
  <c r="BG1048" i="4" s="1"/>
  <c r="AQ1048" i="4" s="1"/>
  <c r="G1048" i="4"/>
  <c r="C1047" i="4"/>
  <c r="H1047" i="4"/>
  <c r="D1047" i="4" s="1"/>
  <c r="BE1049" i="4" l="1"/>
  <c r="BG1049" i="4" s="1"/>
  <c r="AQ1049" i="4" s="1"/>
  <c r="G1049" i="4"/>
  <c r="C1048" i="4"/>
  <c r="H1048" i="4"/>
  <c r="D1048" i="4" s="1"/>
  <c r="BE1050" i="4" l="1"/>
  <c r="BG1050" i="4" s="1"/>
  <c r="AQ1050" i="4" s="1"/>
  <c r="H1049" i="4"/>
  <c r="C1049" i="4"/>
  <c r="D1049" i="4"/>
  <c r="G1050" i="4"/>
  <c r="BE1051" i="4" l="1"/>
  <c r="BG1051" i="4" s="1"/>
  <c r="AQ1051" i="4" s="1"/>
  <c r="C1050" i="4"/>
  <c r="G1051" i="4"/>
  <c r="H1050" i="4"/>
  <c r="D1050" i="4" s="1"/>
  <c r="BE1052" i="4" l="1"/>
  <c r="BG1052" i="4" s="1"/>
  <c r="AQ1052" i="4" s="1"/>
  <c r="G1052" i="4"/>
  <c r="C1051" i="4"/>
  <c r="H1051" i="4"/>
  <c r="D1051" i="4" s="1"/>
  <c r="BE1053" i="4" l="1"/>
  <c r="BG1053" i="4" s="1"/>
  <c r="AQ1053" i="4" s="1"/>
  <c r="G1053" i="4"/>
  <c r="H1052" i="4"/>
  <c r="D1052" i="4" s="1"/>
  <c r="C1052" i="4"/>
  <c r="BE1054" i="4" l="1"/>
  <c r="BG1054" i="4" s="1"/>
  <c r="AQ1054" i="4" s="1"/>
  <c r="H1053" i="4"/>
  <c r="D1053" i="4" s="1"/>
  <c r="G1054" i="4"/>
  <c r="C1053" i="4"/>
  <c r="BE1055" i="4" l="1"/>
  <c r="BG1055" i="4" s="1"/>
  <c r="AQ1055" i="4" s="1"/>
  <c r="G1055" i="4"/>
  <c r="H1054" i="4"/>
  <c r="D1054" i="4" s="1"/>
  <c r="C1054" i="4"/>
  <c r="BE1056" i="4" l="1"/>
  <c r="BG1056" i="4" s="1"/>
  <c r="AQ1056" i="4" s="1"/>
  <c r="H1055" i="4"/>
  <c r="C1055" i="4"/>
  <c r="D1055" i="4"/>
  <c r="G1056" i="4"/>
  <c r="BE1057" i="4" l="1"/>
  <c r="BG1057" i="4" s="1"/>
  <c r="AQ1057" i="4" s="1"/>
  <c r="C1056" i="4"/>
  <c r="H1056" i="4"/>
  <c r="D1056" i="4" s="1"/>
  <c r="G1057" i="4"/>
  <c r="BE1058" i="4" l="1"/>
  <c r="BG1058" i="4" s="1"/>
  <c r="AQ1058" i="4" s="1"/>
  <c r="G1058" i="4"/>
  <c r="H1057" i="4"/>
  <c r="D1057" i="4" s="1"/>
  <c r="C1057" i="4"/>
  <c r="BE1059" i="4" l="1"/>
  <c r="BG1059" i="4" s="1"/>
  <c r="AQ1059" i="4" s="1"/>
  <c r="G1059" i="4"/>
  <c r="H1058" i="4"/>
  <c r="D1058" i="4" s="1"/>
  <c r="C1058" i="4"/>
  <c r="BE1060" i="4" l="1"/>
  <c r="BG1060" i="4" s="1"/>
  <c r="AQ1060" i="4" s="1"/>
  <c r="C1059" i="4"/>
  <c r="G1060" i="4"/>
  <c r="H1059" i="4"/>
  <c r="D1059" i="4" s="1"/>
  <c r="BE1061" i="4" l="1"/>
  <c r="BG1061" i="4" s="1"/>
  <c r="AQ1061" i="4" s="1"/>
  <c r="G1061" i="4"/>
  <c r="C1060" i="4"/>
  <c r="H1060" i="4"/>
  <c r="D1060" i="4" s="1"/>
  <c r="BE1062" i="4" l="1"/>
  <c r="BG1062" i="4" s="1"/>
  <c r="AQ1062" i="4" s="1"/>
  <c r="H1061" i="4"/>
  <c r="C1061" i="4"/>
  <c r="D1061" i="4"/>
  <c r="G1062" i="4"/>
  <c r="BE1063" i="4" l="1"/>
  <c r="BG1063" i="4" s="1"/>
  <c r="AQ1063" i="4" s="1"/>
  <c r="C1062" i="4"/>
  <c r="H1062" i="4"/>
  <c r="D1062" i="4" s="1"/>
  <c r="G1063" i="4"/>
  <c r="BE1064" i="4" l="1"/>
  <c r="BG1064" i="4" s="1"/>
  <c r="AQ1064" i="4" s="1"/>
  <c r="G1064" i="4"/>
  <c r="C1063" i="4"/>
  <c r="H1063" i="4"/>
  <c r="D1063" i="4" s="1"/>
  <c r="BE1065" i="4" l="1"/>
  <c r="BG1065" i="4" s="1"/>
  <c r="AQ1065" i="4" s="1"/>
  <c r="G1065" i="4"/>
  <c r="C1064" i="4"/>
  <c r="H1064" i="4"/>
  <c r="D1064" i="4" s="1"/>
  <c r="BE1066" i="4" l="1"/>
  <c r="BG1066" i="4" s="1"/>
  <c r="AQ1066" i="4" s="1"/>
  <c r="C1065" i="4"/>
  <c r="G1066" i="4"/>
  <c r="H1065" i="4"/>
  <c r="D1065" i="4" s="1"/>
  <c r="BE1067" i="4" l="1"/>
  <c r="BG1067" i="4" s="1"/>
  <c r="AQ1067" i="4" s="1"/>
  <c r="G1067" i="4"/>
  <c r="C1066" i="4"/>
  <c r="H1066" i="4"/>
  <c r="D1066" i="4" s="1"/>
  <c r="BE1068" i="4" l="1"/>
  <c r="BG1068" i="4" s="1"/>
  <c r="AQ1068" i="4" s="1"/>
  <c r="H1067" i="4"/>
  <c r="C1067" i="4"/>
  <c r="D1067" i="4"/>
  <c r="G1068" i="4"/>
  <c r="BE1069" i="4" l="1"/>
  <c r="BG1069" i="4" s="1"/>
  <c r="AQ1069" i="4" s="1"/>
  <c r="C1068" i="4"/>
  <c r="G1069" i="4"/>
  <c r="H1068" i="4"/>
  <c r="D1068" i="4" s="1"/>
  <c r="BE1070" i="4" l="1"/>
  <c r="BG1070" i="4" s="1"/>
  <c r="AQ1070" i="4" s="1"/>
  <c r="G1070" i="4"/>
  <c r="H1069" i="4"/>
  <c r="D1069" i="4" s="1"/>
  <c r="C1069" i="4"/>
  <c r="BE1071" i="4" l="1"/>
  <c r="BG1071" i="4" s="1"/>
  <c r="AQ1071" i="4" s="1"/>
  <c r="G1071" i="4"/>
  <c r="H1070" i="4"/>
  <c r="D1070" i="4" s="1"/>
  <c r="C1070" i="4"/>
  <c r="BE1072" i="4" l="1"/>
  <c r="BG1072" i="4" s="1"/>
  <c r="AQ1072" i="4" s="1"/>
  <c r="H1071" i="4"/>
  <c r="D1071" i="4" s="1"/>
  <c r="C1071" i="4"/>
  <c r="G1072" i="4"/>
  <c r="BE1073" i="4" l="1"/>
  <c r="BG1073" i="4" s="1"/>
  <c r="AQ1073" i="4" s="1"/>
  <c r="G1073" i="4"/>
  <c r="C1072" i="4"/>
  <c r="H1072" i="4"/>
  <c r="D1072" i="4" s="1"/>
  <c r="BE1074" i="4" l="1"/>
  <c r="BG1074" i="4" s="1"/>
  <c r="AQ1074" i="4" s="1"/>
  <c r="H1073" i="4"/>
  <c r="C1073" i="4"/>
  <c r="D1073" i="4"/>
  <c r="G1074" i="4"/>
  <c r="BE1075" i="4" l="1"/>
  <c r="BG1075" i="4" s="1"/>
  <c r="AQ1075" i="4" s="1"/>
  <c r="C1074" i="4"/>
  <c r="G1075" i="4"/>
  <c r="H1074" i="4"/>
  <c r="D1074" i="4" s="1"/>
  <c r="BE1076" i="4" l="1"/>
  <c r="BG1076" i="4" s="1"/>
  <c r="AQ1076" i="4" s="1"/>
  <c r="H1075" i="4"/>
  <c r="D1075" i="4" s="1"/>
  <c r="G1076" i="4"/>
  <c r="C1075" i="4"/>
  <c r="BE1077" i="4" l="1"/>
  <c r="BG1077" i="4" s="1"/>
  <c r="AQ1077" i="4" s="1"/>
  <c r="H1076" i="4"/>
  <c r="D1076" i="4" s="1"/>
  <c r="G1077" i="4"/>
  <c r="C1076" i="4"/>
  <c r="BE1078" i="4" l="1"/>
  <c r="BG1078" i="4" s="1"/>
  <c r="AQ1078" i="4" s="1"/>
  <c r="G1078" i="4"/>
  <c r="H1077" i="4"/>
  <c r="D1077" i="4" s="1"/>
  <c r="C1077" i="4"/>
  <c r="BE1079" i="4" l="1"/>
  <c r="BG1079" i="4" s="1"/>
  <c r="AQ1079" i="4" s="1"/>
  <c r="H1078" i="4"/>
  <c r="D1078" i="4" s="1"/>
  <c r="G1079" i="4"/>
  <c r="C1078" i="4"/>
  <c r="BE1080" i="4" l="1"/>
  <c r="BG1080" i="4" s="1"/>
  <c r="AQ1080" i="4" s="1"/>
  <c r="H1079" i="4"/>
  <c r="C1079" i="4"/>
  <c r="D1079" i="4"/>
  <c r="G1080" i="4"/>
  <c r="BE1081" i="4" l="1"/>
  <c r="BG1081" i="4" s="1"/>
  <c r="AQ1081" i="4" s="1"/>
  <c r="C1080" i="4"/>
  <c r="G1081" i="4"/>
  <c r="H1080" i="4"/>
  <c r="D1080" i="4" s="1"/>
  <c r="BE1082" i="4" l="1"/>
  <c r="BG1082" i="4" s="1"/>
  <c r="AQ1082" i="4" s="1"/>
  <c r="H1081" i="4"/>
  <c r="D1081" i="4" s="1"/>
  <c r="G1082" i="4"/>
  <c r="C1081" i="4"/>
  <c r="BE1083" i="4" l="1"/>
  <c r="BG1083" i="4" s="1"/>
  <c r="AQ1083" i="4" s="1"/>
  <c r="H1082" i="4"/>
  <c r="D1082" i="4" s="1"/>
  <c r="G1083" i="4"/>
  <c r="C1082" i="4"/>
  <c r="BE1084" i="4" l="1"/>
  <c r="BG1084" i="4" s="1"/>
  <c r="AQ1084" i="4" s="1"/>
  <c r="C1083" i="4"/>
  <c r="G1084" i="4"/>
  <c r="H1083" i="4"/>
  <c r="D1083" i="4" s="1"/>
  <c r="BE1085" i="4" l="1"/>
  <c r="BG1085" i="4" s="1"/>
  <c r="AQ1085" i="4" s="1"/>
  <c r="G1085" i="4"/>
  <c r="C1084" i="4"/>
  <c r="H1084" i="4"/>
  <c r="D1084" i="4" s="1"/>
  <c r="BE1086" i="4" l="1"/>
  <c r="BG1086" i="4" s="1"/>
  <c r="AQ1086" i="4" s="1"/>
  <c r="H1085" i="4"/>
  <c r="C1085" i="4"/>
  <c r="D1085" i="4"/>
  <c r="G1086" i="4"/>
  <c r="BE1087" i="4" l="1"/>
  <c r="BG1087" i="4" s="1"/>
  <c r="AQ1087" i="4" s="1"/>
  <c r="H1086" i="4"/>
  <c r="D1086" i="4" s="1"/>
  <c r="C1086" i="4"/>
  <c r="G1087" i="4"/>
  <c r="BE1088" i="4" l="1"/>
  <c r="BG1088" i="4" s="1"/>
  <c r="AQ1088" i="4" s="1"/>
  <c r="G1088" i="4"/>
  <c r="H1087" i="4"/>
  <c r="D1087" i="4" s="1"/>
  <c r="C1087" i="4"/>
  <c r="BE1089" i="4" l="1"/>
  <c r="BG1089" i="4" s="1"/>
  <c r="AQ1089" i="4" s="1"/>
  <c r="H1088" i="4"/>
  <c r="D1088" i="4" s="1"/>
  <c r="G1089" i="4"/>
  <c r="C1088" i="4"/>
  <c r="BE1090" i="4" l="1"/>
  <c r="BG1090" i="4" s="1"/>
  <c r="AQ1090" i="4" s="1"/>
  <c r="H1089" i="4"/>
  <c r="D1089" i="4" s="1"/>
  <c r="G1090" i="4"/>
  <c r="C1089" i="4"/>
  <c r="BE1091" i="4" l="1"/>
  <c r="BG1091" i="4" s="1"/>
  <c r="AQ1091" i="4" s="1"/>
  <c r="G1091" i="4"/>
  <c r="C1090" i="4"/>
  <c r="H1090" i="4"/>
  <c r="D1090" i="4" s="1"/>
  <c r="BE1092" i="4" l="1"/>
  <c r="BG1092" i="4" s="1"/>
  <c r="AQ1092" i="4" s="1"/>
  <c r="H1091" i="4"/>
  <c r="D1091" i="4" s="1"/>
  <c r="G1092" i="4"/>
  <c r="C1091" i="4"/>
  <c r="BE1093" i="4" l="1"/>
  <c r="BG1093" i="4" s="1"/>
  <c r="AQ1093" i="4" s="1"/>
  <c r="H1092" i="4"/>
  <c r="D1092" i="4" s="1"/>
  <c r="C1092" i="4"/>
  <c r="G1093" i="4"/>
  <c r="BE1094" i="4" l="1"/>
  <c r="BG1094" i="4" s="1"/>
  <c r="AQ1094" i="4" s="1"/>
  <c r="H1093" i="4"/>
  <c r="D1093" i="4" s="1"/>
  <c r="G1094" i="4"/>
  <c r="C1093" i="4"/>
  <c r="BE1095" i="4" l="1"/>
  <c r="BG1095" i="4" s="1"/>
  <c r="AQ1095" i="4" s="1"/>
  <c r="G1095" i="4"/>
  <c r="H1094" i="4"/>
  <c r="D1094" i="4" s="1"/>
  <c r="C1094" i="4"/>
  <c r="BE1096" i="4" l="1"/>
  <c r="BG1096" i="4" s="1"/>
  <c r="AQ1096" i="4" s="1"/>
  <c r="H1095" i="4"/>
  <c r="D1095" i="4" s="1"/>
  <c r="G1096" i="4"/>
  <c r="C1095" i="4"/>
  <c r="BE1097" i="4" l="1"/>
  <c r="BG1097" i="4" s="1"/>
  <c r="AQ1097" i="4" s="1"/>
  <c r="G1097" i="4"/>
  <c r="H1096" i="4"/>
  <c r="D1096" i="4" s="1"/>
  <c r="C1096" i="4"/>
  <c r="BE1098" i="4" l="1"/>
  <c r="BG1098" i="4" s="1"/>
  <c r="AQ1098" i="4" s="1"/>
  <c r="H1097" i="4"/>
  <c r="C1097" i="4"/>
  <c r="D1097" i="4"/>
  <c r="G1098" i="4"/>
  <c r="BE1099" i="4" l="1"/>
  <c r="BG1099" i="4" s="1"/>
  <c r="AQ1099" i="4" s="1"/>
  <c r="H1098" i="4"/>
  <c r="D1098" i="4" s="1"/>
  <c r="C1098" i="4"/>
  <c r="G1099" i="4"/>
  <c r="BE1100" i="4" l="1"/>
  <c r="BG1100" i="4" s="1"/>
  <c r="AQ1100" i="4" s="1"/>
  <c r="C1099" i="4"/>
  <c r="G1100" i="4"/>
  <c r="H1099" i="4"/>
  <c r="D1099" i="4" s="1"/>
  <c r="BE1101" i="4" l="1"/>
  <c r="BG1101" i="4" s="1"/>
  <c r="AQ1101" i="4" s="1"/>
  <c r="G1101" i="4"/>
  <c r="H1100" i="4"/>
  <c r="D1100" i="4" s="1"/>
  <c r="C1100" i="4"/>
  <c r="BE1102" i="4" l="1"/>
  <c r="BG1102" i="4" s="1"/>
  <c r="AQ1102" i="4" s="1"/>
  <c r="G1102" i="4"/>
  <c r="C1101" i="4"/>
  <c r="H1101" i="4"/>
  <c r="D1101" i="4" s="1"/>
  <c r="BE1103" i="4" l="1"/>
  <c r="BG1103" i="4" s="1"/>
  <c r="AQ1103" i="4" s="1"/>
  <c r="G1103" i="4"/>
  <c r="C1102" i="4"/>
  <c r="H1102" i="4"/>
  <c r="D1102" i="4" s="1"/>
  <c r="BE1104" i="4" l="1"/>
  <c r="BG1104" i="4" s="1"/>
  <c r="AQ1104" i="4" s="1"/>
  <c r="H1103" i="4"/>
  <c r="C1103" i="4"/>
  <c r="D1103" i="4"/>
  <c r="G1104" i="4"/>
  <c r="BE1105" i="4" l="1"/>
  <c r="BG1105" i="4" s="1"/>
  <c r="AQ1105" i="4" s="1"/>
  <c r="H1104" i="4"/>
  <c r="D1104" i="4" s="1"/>
  <c r="C1104" i="4"/>
  <c r="G1105" i="4"/>
  <c r="BE1106" i="4" l="1"/>
  <c r="BG1106" i="4" s="1"/>
  <c r="AQ1106" i="4" s="1"/>
  <c r="C1105" i="4"/>
  <c r="G1106" i="4"/>
  <c r="H1105" i="4"/>
  <c r="D1105" i="4" s="1"/>
  <c r="BE1107" i="4" l="1"/>
  <c r="BG1107" i="4" s="1"/>
  <c r="AQ1107" i="4" s="1"/>
  <c r="G1107" i="4"/>
  <c r="H1106" i="4"/>
  <c r="D1106" i="4" s="1"/>
  <c r="C1106" i="4"/>
  <c r="BE1108" i="4" l="1"/>
  <c r="BG1108" i="4" s="1"/>
  <c r="AQ1108" i="4" s="1"/>
  <c r="G1108" i="4"/>
  <c r="H1107" i="4"/>
  <c r="D1107" i="4" s="1"/>
  <c r="C1107" i="4"/>
  <c r="BE1109" i="4" l="1"/>
  <c r="BG1109" i="4" s="1"/>
  <c r="AQ1109" i="4" s="1"/>
  <c r="G1109" i="4"/>
  <c r="C1108" i="4"/>
  <c r="H1108" i="4"/>
  <c r="D1108" i="4"/>
  <c r="BE1110" i="4" l="1"/>
  <c r="BG1110" i="4" s="1"/>
  <c r="AQ1110" i="4" s="1"/>
  <c r="G1110" i="4"/>
  <c r="H1109" i="4"/>
  <c r="D1109" i="4" s="1"/>
  <c r="C1109" i="4"/>
  <c r="BE1111" i="4" l="1"/>
  <c r="BG1111" i="4" s="1"/>
  <c r="AQ1111" i="4" s="1"/>
  <c r="C1110" i="4"/>
  <c r="H1110" i="4"/>
  <c r="D1110" i="4" s="1"/>
  <c r="G1111" i="4"/>
  <c r="BE1112" i="4" l="1"/>
  <c r="BG1112" i="4" s="1"/>
  <c r="AQ1112" i="4" s="1"/>
  <c r="G1112" i="4"/>
  <c r="C1111" i="4"/>
  <c r="H1111" i="4"/>
  <c r="D1111" i="4" s="1"/>
  <c r="BE1113" i="4" l="1"/>
  <c r="BG1113" i="4" s="1"/>
  <c r="AQ1113" i="4" s="1"/>
  <c r="G1113" i="4"/>
  <c r="H1112" i="4"/>
  <c r="D1112" i="4" s="1"/>
  <c r="C1112" i="4"/>
  <c r="BE1114" i="4" l="1"/>
  <c r="BG1114" i="4" s="1"/>
  <c r="AQ1114" i="4" s="1"/>
  <c r="H1113" i="4"/>
  <c r="D1113" i="4" s="1"/>
  <c r="G1114" i="4"/>
  <c r="C1113" i="4"/>
  <c r="BE1115" i="4" l="1"/>
  <c r="BG1115" i="4" s="1"/>
  <c r="AQ1115" i="4" s="1"/>
  <c r="H1114" i="4"/>
  <c r="G1115" i="4"/>
  <c r="D1114" i="4"/>
  <c r="C1114" i="4"/>
  <c r="BE1116" i="4" l="1"/>
  <c r="BG1116" i="4" s="1"/>
  <c r="AQ1116" i="4" s="1"/>
  <c r="H1115" i="4"/>
  <c r="C1115" i="4"/>
  <c r="D1115" i="4"/>
  <c r="G1116" i="4"/>
  <c r="BE1117" i="4" l="1"/>
  <c r="BG1117" i="4" s="1"/>
  <c r="AQ1117" i="4" s="1"/>
  <c r="G1117" i="4"/>
  <c r="C1116" i="4"/>
  <c r="H1116" i="4"/>
  <c r="D1116" i="4" s="1"/>
  <c r="BE1118" i="4" l="1"/>
  <c r="BG1118" i="4" s="1"/>
  <c r="AQ1118" i="4" s="1"/>
  <c r="G1118" i="4"/>
  <c r="C1117" i="4"/>
  <c r="H1117" i="4"/>
  <c r="D1117" i="4" s="1"/>
  <c r="BE1119" i="4" l="1"/>
  <c r="BG1119" i="4" s="1"/>
  <c r="AQ1119" i="4" s="1"/>
  <c r="H1118" i="4"/>
  <c r="D1118" i="4" s="1"/>
  <c r="G1119" i="4"/>
  <c r="C1118" i="4"/>
  <c r="BE1120" i="4" l="1"/>
  <c r="BG1120" i="4" s="1"/>
  <c r="AQ1120" i="4" s="1"/>
  <c r="G1120" i="4"/>
  <c r="H1119" i="4"/>
  <c r="D1119" i="4" s="1"/>
  <c r="C1119" i="4"/>
  <c r="BE1121" i="4" l="1"/>
  <c r="BG1121" i="4" s="1"/>
  <c r="AQ1121" i="4" s="1"/>
  <c r="G1121" i="4"/>
  <c r="C1120" i="4"/>
  <c r="H1120" i="4"/>
  <c r="D1120" i="4" s="1"/>
  <c r="BE1122" i="4" l="1"/>
  <c r="BG1122" i="4" s="1"/>
  <c r="AQ1122" i="4" s="1"/>
  <c r="H1121" i="4"/>
  <c r="D1121" i="4"/>
  <c r="G1122" i="4"/>
  <c r="C1121" i="4"/>
  <c r="BE1123" i="4" l="1"/>
  <c r="BG1123" i="4" s="1"/>
  <c r="AQ1123" i="4" s="1"/>
  <c r="G1123" i="4"/>
  <c r="C1122" i="4"/>
  <c r="H1122" i="4"/>
  <c r="D1122" i="4" s="1"/>
  <c r="BE1124" i="4" l="1"/>
  <c r="BG1124" i="4" s="1"/>
  <c r="AQ1124" i="4" s="1"/>
  <c r="G1124" i="4"/>
  <c r="C1123" i="4"/>
  <c r="H1123" i="4"/>
  <c r="D1123" i="4" s="1"/>
  <c r="BE1125" i="4" l="1"/>
  <c r="BG1125" i="4" s="1"/>
  <c r="AQ1125" i="4" s="1"/>
  <c r="C1124" i="4"/>
  <c r="G1125" i="4"/>
  <c r="H1124" i="4"/>
  <c r="D1124" i="4" s="1"/>
  <c r="BE1126" i="4" l="1"/>
  <c r="BG1126" i="4" s="1"/>
  <c r="AQ1126" i="4" s="1"/>
  <c r="C1125" i="4"/>
  <c r="G1126" i="4"/>
  <c r="H1125" i="4"/>
  <c r="D1125" i="4" s="1"/>
  <c r="BE1127" i="4" l="1"/>
  <c r="BG1127" i="4" s="1"/>
  <c r="AQ1127" i="4" s="1"/>
  <c r="H1126" i="4"/>
  <c r="G1127" i="4"/>
  <c r="C1126" i="4"/>
  <c r="D1126" i="4"/>
  <c r="BE1128" i="4" l="1"/>
  <c r="BG1128" i="4" s="1"/>
  <c r="AQ1128" i="4" s="1"/>
  <c r="H1127" i="4"/>
  <c r="C1127" i="4"/>
  <c r="D1127" i="4"/>
  <c r="G1128" i="4"/>
  <c r="BE1129" i="4" l="1"/>
  <c r="BG1129" i="4" s="1"/>
  <c r="AQ1129" i="4" s="1"/>
  <c r="G1129" i="4"/>
  <c r="C1128" i="4"/>
  <c r="H1128" i="4"/>
  <c r="D1128" i="4" s="1"/>
  <c r="BE1130" i="4" l="1"/>
  <c r="BG1130" i="4" s="1"/>
  <c r="AQ1130" i="4" s="1"/>
  <c r="G1130" i="4"/>
  <c r="H1129" i="4"/>
  <c r="D1129" i="4" s="1"/>
  <c r="C1129" i="4"/>
  <c r="BE1131" i="4" l="1"/>
  <c r="BG1131" i="4" s="1"/>
  <c r="AQ1131" i="4" s="1"/>
  <c r="G1131" i="4"/>
  <c r="H1130" i="4"/>
  <c r="D1130" i="4" s="1"/>
  <c r="C1130" i="4"/>
  <c r="BE1132" i="4" l="1"/>
  <c r="BG1132" i="4" s="1"/>
  <c r="AQ1132" i="4" s="1"/>
  <c r="H1131" i="4"/>
  <c r="D1131" i="4" s="1"/>
  <c r="G1132" i="4"/>
  <c r="C1131" i="4"/>
  <c r="BE1133" i="4" l="1"/>
  <c r="BG1133" i="4" s="1"/>
  <c r="AQ1133" i="4" s="1"/>
  <c r="G1133" i="4"/>
  <c r="C1132" i="4"/>
  <c r="H1132" i="4"/>
  <c r="D1132" i="4" s="1"/>
  <c r="BE1134" i="4" l="1"/>
  <c r="BG1134" i="4" s="1"/>
  <c r="AQ1134" i="4" s="1"/>
  <c r="H1133" i="4"/>
  <c r="C1133" i="4"/>
  <c r="G1134" i="4"/>
  <c r="D1133" i="4"/>
  <c r="BE1135" i="4" l="1"/>
  <c r="BG1135" i="4" s="1"/>
  <c r="AQ1135" i="4" s="1"/>
  <c r="G1135" i="4"/>
  <c r="H1134" i="4"/>
  <c r="D1134" i="4" s="1"/>
  <c r="C1134" i="4"/>
  <c r="BE1136" i="4" l="1"/>
  <c r="BG1136" i="4" s="1"/>
  <c r="AQ1136" i="4" s="1"/>
  <c r="H1135" i="4"/>
  <c r="D1135" i="4" s="1"/>
  <c r="G1136" i="4"/>
  <c r="C1135" i="4"/>
  <c r="BE1137" i="4" l="1"/>
  <c r="BG1137" i="4" s="1"/>
  <c r="AQ1137" i="4" s="1"/>
  <c r="G1137" i="4"/>
  <c r="H1136" i="4"/>
  <c r="D1136" i="4" s="1"/>
  <c r="C1136" i="4"/>
  <c r="BE1138" i="4" l="1"/>
  <c r="BG1138" i="4" s="1"/>
  <c r="AQ1138" i="4" s="1"/>
  <c r="C1137" i="4"/>
  <c r="G1138" i="4"/>
  <c r="H1137" i="4"/>
  <c r="D1137" i="4" s="1"/>
  <c r="BE1139" i="4" l="1"/>
  <c r="BG1139" i="4" s="1"/>
  <c r="AQ1139" i="4" s="1"/>
  <c r="G1139" i="4"/>
  <c r="H1138" i="4"/>
  <c r="D1138" i="4" s="1"/>
  <c r="C1138" i="4"/>
  <c r="BE1140" i="4" l="1"/>
  <c r="BG1140" i="4" s="1"/>
  <c r="AQ1140" i="4" s="1"/>
  <c r="H1139" i="4"/>
  <c r="C1139" i="4"/>
  <c r="G1140" i="4"/>
  <c r="D1139" i="4"/>
  <c r="BE1141" i="4" l="1"/>
  <c r="BG1141" i="4" s="1"/>
  <c r="AQ1141" i="4" s="1"/>
  <c r="G1141" i="4"/>
  <c r="C1140" i="4"/>
  <c r="H1140" i="4"/>
  <c r="D1140" i="4" s="1"/>
  <c r="BE1142" i="4" l="1"/>
  <c r="BG1142" i="4" s="1"/>
  <c r="AQ1142" i="4" s="1"/>
  <c r="G1142" i="4"/>
  <c r="C1141" i="4"/>
  <c r="H1141" i="4"/>
  <c r="D1141" i="4" s="1"/>
  <c r="BE1143" i="4" l="1"/>
  <c r="BG1143" i="4" s="1"/>
  <c r="AQ1143" i="4" s="1"/>
  <c r="H1142" i="4"/>
  <c r="D1142" i="4" s="1"/>
  <c r="G1143" i="4"/>
  <c r="C1142" i="4"/>
  <c r="BE1144" i="4" l="1"/>
  <c r="BG1144" i="4" s="1"/>
  <c r="AQ1144" i="4" s="1"/>
  <c r="H1143" i="4"/>
  <c r="D1143" i="4" s="1"/>
  <c r="G1144" i="4"/>
  <c r="C1143" i="4"/>
  <c r="BE1145" i="4" l="1"/>
  <c r="BG1145" i="4" s="1"/>
  <c r="AQ1145" i="4" s="1"/>
  <c r="G1145" i="4"/>
  <c r="H1144" i="4"/>
  <c r="D1144" i="4" s="1"/>
  <c r="C1144" i="4"/>
  <c r="BE1146" i="4" l="1"/>
  <c r="BG1146" i="4" s="1"/>
  <c r="AQ1146" i="4" s="1"/>
  <c r="H1145" i="4"/>
  <c r="C1145" i="4"/>
  <c r="G1146" i="4"/>
  <c r="D1145" i="4"/>
  <c r="BE1147" i="4" l="1"/>
  <c r="BG1147" i="4" s="1"/>
  <c r="AQ1147" i="4" s="1"/>
  <c r="G1147" i="4"/>
  <c r="C1146" i="4"/>
  <c r="H1146" i="4"/>
  <c r="D1146" i="4" s="1"/>
  <c r="BE1148" i="4" l="1"/>
  <c r="BG1148" i="4" s="1"/>
  <c r="AQ1148" i="4" s="1"/>
  <c r="H1147" i="4"/>
  <c r="D1147" i="4" s="1"/>
  <c r="G1148" i="4"/>
  <c r="C1147" i="4"/>
  <c r="BE1149" i="4" l="1"/>
  <c r="BG1149" i="4" s="1"/>
  <c r="AQ1149" i="4" s="1"/>
  <c r="G1149" i="4"/>
  <c r="H1148" i="4"/>
  <c r="D1148" i="4" s="1"/>
  <c r="C1148" i="4"/>
  <c r="BE1150" i="4" l="1"/>
  <c r="BG1150" i="4" s="1"/>
  <c r="AQ1150" i="4" s="1"/>
  <c r="H1149" i="4"/>
  <c r="D1149" i="4" s="1"/>
  <c r="G1150" i="4"/>
  <c r="C1149" i="4"/>
  <c r="BE1151" i="4" l="1"/>
  <c r="BG1151" i="4" s="1"/>
  <c r="AQ1151" i="4" s="1"/>
  <c r="G1151" i="4"/>
  <c r="C1150" i="4"/>
  <c r="H1150" i="4"/>
  <c r="D1150" i="4" s="1"/>
  <c r="BE1152" i="4" l="1"/>
  <c r="BG1152" i="4" s="1"/>
  <c r="AQ1152" i="4" s="1"/>
  <c r="H1151" i="4"/>
  <c r="G1152" i="4"/>
  <c r="C1151" i="4"/>
  <c r="D1151" i="4"/>
  <c r="BE1153" i="4" l="1"/>
  <c r="BG1153" i="4" s="1"/>
  <c r="AQ1153" i="4" s="1"/>
  <c r="H1152" i="4"/>
  <c r="D1152" i="4" s="1"/>
  <c r="G1153" i="4"/>
  <c r="C1152" i="4"/>
  <c r="BE1154" i="4" l="1"/>
  <c r="BG1154" i="4" s="1"/>
  <c r="AQ1154" i="4" s="1"/>
  <c r="C1153" i="4"/>
  <c r="G1154" i="4"/>
  <c r="H1153" i="4"/>
  <c r="D1153" i="4" s="1"/>
  <c r="BE1155" i="4" l="1"/>
  <c r="BG1155" i="4" s="1"/>
  <c r="AQ1155" i="4" s="1"/>
  <c r="G1155" i="4"/>
  <c r="C1154" i="4"/>
  <c r="H1154" i="4"/>
  <c r="D1154" i="4" s="1"/>
  <c r="BE1156" i="4" l="1"/>
  <c r="BG1156" i="4" s="1"/>
  <c r="AQ1156" i="4" s="1"/>
  <c r="G1156" i="4"/>
  <c r="H1155" i="4"/>
  <c r="D1155" i="4" s="1"/>
  <c r="C1155" i="4"/>
  <c r="BE1157" i="4" l="1"/>
  <c r="BG1157" i="4" s="1"/>
  <c r="AQ1157" i="4" s="1"/>
  <c r="G1157" i="4"/>
  <c r="C1156" i="4"/>
  <c r="H1156" i="4"/>
  <c r="D1156" i="4" s="1"/>
  <c r="BE1158" i="4" l="1"/>
  <c r="BG1158" i="4" s="1"/>
  <c r="AQ1158" i="4" s="1"/>
  <c r="H1157" i="4"/>
  <c r="D1157" i="4" s="1"/>
  <c r="C1157" i="4"/>
  <c r="G1158" i="4"/>
  <c r="BE1159" i="4" l="1"/>
  <c r="BG1159" i="4" s="1"/>
  <c r="AQ1159" i="4" s="1"/>
  <c r="H1158" i="4"/>
  <c r="D1158" i="4" s="1"/>
  <c r="C1158" i="4"/>
  <c r="G1159" i="4"/>
  <c r="BE1160" i="4" l="1"/>
  <c r="BG1160" i="4" s="1"/>
  <c r="AQ1160" i="4" s="1"/>
  <c r="G1160" i="4"/>
  <c r="C1159" i="4"/>
  <c r="H1159" i="4"/>
  <c r="D1159" i="4" s="1"/>
  <c r="BE1161" i="4" l="1"/>
  <c r="BG1161" i="4" s="1"/>
  <c r="AQ1161" i="4" s="1"/>
  <c r="H1160" i="4"/>
  <c r="D1160" i="4" s="1"/>
  <c r="C1160" i="4"/>
  <c r="G1161" i="4"/>
  <c r="BE1162" i="4" l="1"/>
  <c r="BG1162" i="4" s="1"/>
  <c r="AQ1162" i="4" s="1"/>
  <c r="H1161" i="4"/>
  <c r="D1161" i="4" s="1"/>
  <c r="C1161" i="4"/>
  <c r="G1162" i="4"/>
  <c r="BE1163" i="4" l="1"/>
  <c r="BG1163" i="4" s="1"/>
  <c r="AQ1163" i="4" s="1"/>
  <c r="G1163" i="4"/>
  <c r="C1162" i="4"/>
  <c r="H1162" i="4"/>
  <c r="D1162" i="4" s="1"/>
  <c r="BE1164" i="4" l="1"/>
  <c r="BG1164" i="4" s="1"/>
  <c r="AQ1164" i="4" s="1"/>
  <c r="C1163" i="4"/>
  <c r="G1164" i="4"/>
  <c r="H1163" i="4"/>
  <c r="D1163" i="4" s="1"/>
  <c r="BE1165" i="4" l="1"/>
  <c r="BG1165" i="4" s="1"/>
  <c r="AQ1165" i="4" s="1"/>
  <c r="H1164" i="4"/>
  <c r="D1164" i="4" s="1"/>
  <c r="C1164" i="4"/>
  <c r="G1165" i="4"/>
  <c r="BE1166" i="4" l="1"/>
  <c r="BG1166" i="4" s="1"/>
  <c r="AQ1166" i="4" s="1"/>
  <c r="G1166" i="4"/>
  <c r="C1165" i="4"/>
  <c r="H1165" i="4"/>
  <c r="D1165" i="4" s="1"/>
  <c r="BE1167" i="4" l="1"/>
  <c r="BG1167" i="4" s="1"/>
  <c r="AQ1167" i="4" s="1"/>
  <c r="H1166" i="4"/>
  <c r="D1166" i="4" s="1"/>
  <c r="G1167" i="4"/>
  <c r="C1166" i="4"/>
  <c r="BE1168" i="4" l="1"/>
  <c r="BG1168" i="4" s="1"/>
  <c r="AQ1168" i="4" s="1"/>
  <c r="H1167" i="4"/>
  <c r="D1167" i="4" s="1"/>
  <c r="G1168" i="4"/>
  <c r="C1167" i="4"/>
  <c r="BE1169" i="4" l="1"/>
  <c r="BG1169" i="4" s="1"/>
  <c r="AQ1169" i="4" s="1"/>
  <c r="C1168" i="4"/>
  <c r="G1169" i="4"/>
  <c r="H1168" i="4"/>
  <c r="D1168" i="4" s="1"/>
  <c r="BE1170" i="4" l="1"/>
  <c r="BG1170" i="4" s="1"/>
  <c r="AQ1170" i="4" s="1"/>
  <c r="H1169" i="4"/>
  <c r="D1169" i="4" s="1"/>
  <c r="G1170" i="4"/>
  <c r="C1169" i="4"/>
  <c r="BE1171" i="4" l="1"/>
  <c r="BG1171" i="4" s="1"/>
  <c r="AQ1171" i="4" s="1"/>
  <c r="C1170" i="4"/>
  <c r="H1170" i="4"/>
  <c r="D1170" i="4" s="1"/>
  <c r="G1171" i="4"/>
  <c r="BE1172" i="4" l="1"/>
  <c r="BG1172" i="4" s="1"/>
  <c r="AQ1172" i="4" s="1"/>
  <c r="C1171" i="4"/>
  <c r="G1172" i="4"/>
  <c r="H1171" i="4"/>
  <c r="D1171" i="4" s="1"/>
  <c r="BE1173" i="4" l="1"/>
  <c r="BG1173" i="4" s="1"/>
  <c r="AQ1173" i="4" s="1"/>
  <c r="G1173" i="4"/>
  <c r="C1172" i="4"/>
  <c r="H1172" i="4"/>
  <c r="D1172" i="4" s="1"/>
  <c r="BE1174" i="4" l="1"/>
  <c r="BG1174" i="4" s="1"/>
  <c r="AQ1174" i="4" s="1"/>
  <c r="H1173" i="4"/>
  <c r="D1173" i="4" s="1"/>
  <c r="G1174" i="4"/>
  <c r="C1173" i="4"/>
  <c r="BE1175" i="4" l="1"/>
  <c r="BG1175" i="4" s="1"/>
  <c r="AQ1175" i="4" s="1"/>
  <c r="H1174" i="4"/>
  <c r="G1175" i="4"/>
  <c r="C1174" i="4"/>
  <c r="D1174" i="4"/>
  <c r="BE1176" i="4" l="1"/>
  <c r="BG1176" i="4" s="1"/>
  <c r="AQ1176" i="4" s="1"/>
  <c r="G1176" i="4"/>
  <c r="H1175" i="4"/>
  <c r="D1175" i="4" s="1"/>
  <c r="C1175" i="4"/>
  <c r="BE1177" i="4" l="1"/>
  <c r="BG1177" i="4" s="1"/>
  <c r="AQ1177" i="4" s="1"/>
  <c r="G1177" i="4"/>
  <c r="C1176" i="4"/>
  <c r="H1176" i="4"/>
  <c r="D1176" i="4" s="1"/>
  <c r="BE1178" i="4" l="1"/>
  <c r="BG1178" i="4" s="1"/>
  <c r="AQ1178" i="4" s="1"/>
  <c r="H1177" i="4"/>
  <c r="D1177" i="4" s="1"/>
  <c r="C1177" i="4"/>
  <c r="G1178" i="4"/>
  <c r="BE1179" i="4" l="1"/>
  <c r="BG1179" i="4" s="1"/>
  <c r="AQ1179" i="4" s="1"/>
  <c r="H1178" i="4"/>
  <c r="C1178" i="4"/>
  <c r="D1178" i="4"/>
  <c r="G1179" i="4"/>
  <c r="BE1180" i="4" l="1"/>
  <c r="BG1180" i="4" s="1"/>
  <c r="AQ1180" i="4" s="1"/>
  <c r="C1179" i="4"/>
  <c r="G1180" i="4"/>
  <c r="H1179" i="4"/>
  <c r="D1179" i="4" s="1"/>
  <c r="BE1181" i="4" l="1"/>
  <c r="BG1181" i="4" s="1"/>
  <c r="AQ1181" i="4" s="1"/>
  <c r="G1181" i="4"/>
  <c r="C1180" i="4"/>
  <c r="H1180" i="4"/>
  <c r="D1180" i="4" s="1"/>
  <c r="BE1182" i="4" l="1"/>
  <c r="BG1182" i="4" s="1"/>
  <c r="AQ1182" i="4" s="1"/>
  <c r="C1181" i="4"/>
  <c r="G1182" i="4"/>
  <c r="H1181" i="4"/>
  <c r="D1181" i="4" s="1"/>
  <c r="BE1183" i="4" l="1"/>
  <c r="BG1183" i="4" s="1"/>
  <c r="AQ1183" i="4" s="1"/>
  <c r="C1182" i="4"/>
  <c r="G1183" i="4"/>
  <c r="H1182" i="4"/>
  <c r="D1182" i="4" s="1"/>
  <c r="BE1184" i="4" l="1"/>
  <c r="BG1184" i="4" s="1"/>
  <c r="AQ1184" i="4" s="1"/>
  <c r="G1184" i="4"/>
  <c r="C1183" i="4"/>
  <c r="H1183" i="4"/>
  <c r="D1183" i="4" s="1"/>
  <c r="BE1185" i="4" l="1"/>
  <c r="BG1185" i="4" s="1"/>
  <c r="AQ1185" i="4" s="1"/>
  <c r="H1184" i="4"/>
  <c r="D1184" i="4" s="1"/>
  <c r="G1185" i="4"/>
  <c r="C1184" i="4"/>
  <c r="BE1186" i="4" l="1"/>
  <c r="BG1186" i="4" s="1"/>
  <c r="AQ1186" i="4" s="1"/>
  <c r="C1185" i="4"/>
  <c r="H1185" i="4"/>
  <c r="D1185" i="4" s="1"/>
  <c r="G1186" i="4"/>
  <c r="BE1187" i="4" l="1"/>
  <c r="BG1187" i="4" s="1"/>
  <c r="AQ1187" i="4" s="1"/>
  <c r="C1186" i="4"/>
  <c r="G1187" i="4"/>
  <c r="H1186" i="4"/>
  <c r="D1186" i="4" s="1"/>
  <c r="BE1188" i="4" l="1"/>
  <c r="BG1188" i="4" s="1"/>
  <c r="AQ1188" i="4" s="1"/>
  <c r="H1187" i="4"/>
  <c r="D1187" i="4" s="1"/>
  <c r="G1188" i="4"/>
  <c r="C1187" i="4"/>
  <c r="BE1189" i="4" l="1"/>
  <c r="BG1189" i="4" s="1"/>
  <c r="AQ1189" i="4" s="1"/>
  <c r="H1188" i="4"/>
  <c r="D1188" i="4" s="1"/>
  <c r="G1189" i="4"/>
  <c r="C1188" i="4"/>
  <c r="BE1190" i="4" l="1"/>
  <c r="BG1190" i="4" s="1"/>
  <c r="AQ1190" i="4" s="1"/>
  <c r="C1189" i="4"/>
  <c r="G1190" i="4"/>
  <c r="H1189" i="4"/>
  <c r="D1189" i="4" s="1"/>
  <c r="BE1191" i="4" l="1"/>
  <c r="BG1191" i="4" s="1"/>
  <c r="AQ1191" i="4" s="1"/>
  <c r="G1191" i="4"/>
  <c r="C1190" i="4"/>
  <c r="H1190" i="4"/>
  <c r="D1190" i="4" s="1"/>
  <c r="BE1192" i="4" l="1"/>
  <c r="BG1192" i="4" s="1"/>
  <c r="AQ1192" i="4" s="1"/>
  <c r="H1191" i="4"/>
  <c r="D1191" i="4" s="1"/>
  <c r="G1192" i="4"/>
  <c r="C1191" i="4"/>
  <c r="BE1193" i="4" l="1"/>
  <c r="BG1193" i="4" s="1"/>
  <c r="AQ1193" i="4" s="1"/>
  <c r="H1192" i="4"/>
  <c r="C1192" i="4"/>
  <c r="G1193" i="4"/>
  <c r="D1192" i="4"/>
  <c r="BE1194" i="4" l="1"/>
  <c r="BG1194" i="4" s="1"/>
  <c r="AQ1194" i="4" s="1"/>
  <c r="G1194" i="4"/>
  <c r="H1193" i="4"/>
  <c r="D1193" i="4" s="1"/>
  <c r="C1193" i="4"/>
  <c r="BE1195" i="4" l="1"/>
  <c r="BG1195" i="4" s="1"/>
  <c r="AQ1195" i="4" s="1"/>
  <c r="G1195" i="4"/>
  <c r="H1194" i="4"/>
  <c r="D1194" i="4" s="1"/>
  <c r="C1194" i="4"/>
  <c r="BE1196" i="4" l="1"/>
  <c r="BG1196" i="4" s="1"/>
  <c r="AQ1196" i="4" s="1"/>
  <c r="G1196" i="4"/>
  <c r="C1195" i="4"/>
  <c r="H1195" i="4"/>
  <c r="D1195" i="4" s="1"/>
  <c r="BE1197" i="4" l="1"/>
  <c r="BG1197" i="4" s="1"/>
  <c r="AQ1197" i="4" s="1"/>
  <c r="H1196" i="4"/>
  <c r="C1196" i="4"/>
  <c r="D1196" i="4"/>
  <c r="G1197" i="4"/>
  <c r="BE1198" i="4" l="1"/>
  <c r="BG1198" i="4" s="1"/>
  <c r="AQ1198" i="4" s="1"/>
  <c r="C1197" i="4"/>
  <c r="G1198" i="4"/>
  <c r="H1197" i="4"/>
  <c r="D1197" i="4" s="1"/>
  <c r="BE1199" i="4" l="1"/>
  <c r="BG1199" i="4" s="1"/>
  <c r="AQ1199" i="4" s="1"/>
  <c r="G1199" i="4"/>
  <c r="H1198" i="4"/>
  <c r="D1198" i="4" s="1"/>
  <c r="C1198" i="4"/>
  <c r="BE1200" i="4" l="1"/>
  <c r="BG1200" i="4" s="1"/>
  <c r="AQ1200" i="4" s="1"/>
  <c r="G1200" i="4"/>
  <c r="C1199" i="4"/>
  <c r="H1199" i="4"/>
  <c r="D1199" i="4" s="1"/>
  <c r="BE1201" i="4" l="1"/>
  <c r="BG1201" i="4" s="1"/>
  <c r="AQ1201" i="4" s="1"/>
  <c r="H1200" i="4"/>
  <c r="D1200" i="4" s="1"/>
  <c r="C1200" i="4"/>
  <c r="G1201" i="4"/>
  <c r="BE1202" i="4" l="1"/>
  <c r="BG1202" i="4" s="1"/>
  <c r="AQ1202" i="4" s="1"/>
  <c r="G1202" i="4"/>
  <c r="H1201" i="4"/>
  <c r="D1201" i="4" s="1"/>
  <c r="C1201" i="4"/>
  <c r="BE1203" i="4" l="1"/>
  <c r="BG1203" i="4" s="1"/>
  <c r="AQ1203" i="4" s="1"/>
  <c r="H1202" i="4"/>
  <c r="D1202" i="4" s="1"/>
  <c r="G1203" i="4"/>
  <c r="C1202" i="4"/>
  <c r="BE1204" i="4" l="1"/>
  <c r="BG1204" i="4" s="1"/>
  <c r="AQ1204" i="4" s="1"/>
  <c r="C1203" i="4"/>
  <c r="H1203" i="4"/>
  <c r="D1203" i="4" s="1"/>
  <c r="G1204" i="4"/>
  <c r="BE1205" i="4" l="1"/>
  <c r="BG1205" i="4" s="1"/>
  <c r="AQ1205" i="4" s="1"/>
  <c r="C1204" i="4"/>
  <c r="G1205" i="4"/>
  <c r="H1204" i="4"/>
  <c r="D1204" i="4" s="1"/>
  <c r="BE1206" i="4" l="1"/>
  <c r="BG1206" i="4" s="1"/>
  <c r="AQ1206" i="4" s="1"/>
  <c r="G1206" i="4"/>
  <c r="H1205" i="4"/>
  <c r="D1205" i="4" s="1"/>
  <c r="C1205" i="4"/>
  <c r="BE1207" i="4" l="1"/>
  <c r="BG1207" i="4" s="1"/>
  <c r="AQ1207" i="4" s="1"/>
  <c r="G1207" i="4"/>
  <c r="C1206" i="4"/>
  <c r="H1206" i="4"/>
  <c r="D1206" i="4" s="1"/>
  <c r="BE1208" i="4" l="1"/>
  <c r="BG1208" i="4" s="1"/>
  <c r="AQ1208" i="4" s="1"/>
  <c r="G1208" i="4"/>
  <c r="H1207" i="4"/>
  <c r="D1207" i="4" s="1"/>
  <c r="C1207" i="4"/>
  <c r="BE1209" i="4" l="1"/>
  <c r="BG1209" i="4" s="1"/>
  <c r="AQ1209" i="4" s="1"/>
  <c r="H1208" i="4"/>
  <c r="D1208" i="4" s="1"/>
  <c r="C1208" i="4"/>
  <c r="G1209" i="4"/>
  <c r="BE1210" i="4" l="1"/>
  <c r="BG1210" i="4" s="1"/>
  <c r="AQ1210" i="4" s="1"/>
  <c r="G1210" i="4"/>
  <c r="C1209" i="4"/>
  <c r="H1209" i="4"/>
  <c r="D1209" i="4" s="1"/>
  <c r="BE1211" i="4" l="1"/>
  <c r="BG1211" i="4" s="1"/>
  <c r="AQ1211" i="4" s="1"/>
  <c r="G1211" i="4"/>
  <c r="C1210" i="4"/>
  <c r="H1210" i="4"/>
  <c r="D1210" i="4" s="1"/>
  <c r="BE1212" i="4" l="1"/>
  <c r="BG1212" i="4" s="1"/>
  <c r="AQ1212" i="4" s="1"/>
  <c r="G1212" i="4"/>
  <c r="C1211" i="4"/>
  <c r="H1211" i="4"/>
  <c r="D1211" i="4" s="1"/>
  <c r="BE1213" i="4" l="1"/>
  <c r="BG1213" i="4" s="1"/>
  <c r="AQ1213" i="4" s="1"/>
  <c r="G1213" i="4"/>
  <c r="H1212" i="4"/>
  <c r="D1212" i="4" s="1"/>
  <c r="C1212" i="4"/>
  <c r="BE1214" i="4" l="1"/>
  <c r="BG1214" i="4" s="1"/>
  <c r="AQ1214" i="4" s="1"/>
  <c r="G1214" i="4"/>
  <c r="C1213" i="4"/>
  <c r="H1213" i="4"/>
  <c r="D1213" i="4" s="1"/>
  <c r="BE1215" i="4" l="1"/>
  <c r="BG1215" i="4" s="1"/>
  <c r="AQ1215" i="4" s="1"/>
  <c r="H1214" i="4"/>
  <c r="D1214" i="4" s="1"/>
  <c r="G1215" i="4"/>
  <c r="C1214" i="4"/>
  <c r="BE1216" i="4" l="1"/>
  <c r="BG1216" i="4" s="1"/>
  <c r="AQ1216" i="4" s="1"/>
  <c r="G1216" i="4"/>
  <c r="H1215" i="4"/>
  <c r="D1215" i="4" s="1"/>
  <c r="C1215" i="4"/>
  <c r="BE1217" i="4" l="1"/>
  <c r="BG1217" i="4" s="1"/>
  <c r="AQ1217" i="4" s="1"/>
  <c r="G1217" i="4"/>
  <c r="H1216" i="4"/>
  <c r="D1216" i="4" s="1"/>
  <c r="C1216" i="4"/>
  <c r="BE1218" i="4" l="1"/>
  <c r="BG1218" i="4" s="1"/>
  <c r="AQ1218" i="4" s="1"/>
  <c r="G1218" i="4"/>
  <c r="C1217" i="4"/>
  <c r="H1217" i="4"/>
  <c r="D1217" i="4" s="1"/>
  <c r="BE1219" i="4" l="1"/>
  <c r="BG1219" i="4" s="1"/>
  <c r="AQ1219" i="4" s="1"/>
  <c r="G1219" i="4"/>
  <c r="C1218" i="4"/>
  <c r="H1218" i="4"/>
  <c r="D1218" i="4" s="1"/>
  <c r="BE1220" i="4" l="1"/>
  <c r="BG1220" i="4" s="1"/>
  <c r="AQ1220" i="4" s="1"/>
  <c r="G1220" i="4"/>
  <c r="C1219" i="4"/>
  <c r="H1219" i="4"/>
  <c r="D1219" i="4" s="1"/>
  <c r="BE1221" i="4" l="1"/>
  <c r="BG1221" i="4" s="1"/>
  <c r="AQ1221" i="4" s="1"/>
  <c r="H1220" i="4"/>
  <c r="D1220" i="4" s="1"/>
  <c r="G1221" i="4"/>
  <c r="C1220" i="4"/>
  <c r="BE1222" i="4" l="1"/>
  <c r="BG1222" i="4" s="1"/>
  <c r="AQ1222" i="4" s="1"/>
  <c r="C1221" i="4"/>
  <c r="G1222" i="4"/>
  <c r="H1221" i="4"/>
  <c r="D1221" i="4" s="1"/>
  <c r="BE1223" i="4" l="1"/>
  <c r="BG1223" i="4" s="1"/>
  <c r="AQ1223" i="4" s="1"/>
  <c r="H1222" i="4"/>
  <c r="D1222" i="4" s="1"/>
  <c r="C1222" i="4"/>
  <c r="G1223" i="4"/>
  <c r="BE1224" i="4" l="1"/>
  <c r="BG1224" i="4" s="1"/>
  <c r="AQ1224" i="4" s="1"/>
  <c r="G1224" i="4"/>
  <c r="C1223" i="4"/>
  <c r="H1223" i="4"/>
  <c r="D1223" i="4" s="1"/>
  <c r="BE1225" i="4" l="1"/>
  <c r="BG1225" i="4" s="1"/>
  <c r="AQ1225" i="4" s="1"/>
  <c r="C1224" i="4"/>
  <c r="G1225" i="4"/>
  <c r="H1224" i="4"/>
  <c r="D1224" i="4" s="1"/>
  <c r="BE1226" i="4" l="1"/>
  <c r="BG1226" i="4" s="1"/>
  <c r="AQ1226" i="4" s="1"/>
  <c r="G1226" i="4"/>
  <c r="C1225" i="4"/>
  <c r="H1225" i="4"/>
  <c r="D1225" i="4" s="1"/>
  <c r="BE1227" i="4" l="1"/>
  <c r="BG1227" i="4" s="1"/>
  <c r="AQ1227" i="4" s="1"/>
  <c r="H1226" i="4"/>
  <c r="C1226" i="4"/>
  <c r="D1226" i="4"/>
  <c r="G1227" i="4"/>
  <c r="BE1228" i="4" l="1"/>
  <c r="BG1228" i="4" s="1"/>
  <c r="AQ1228" i="4" s="1"/>
  <c r="G1228" i="4"/>
  <c r="H1227" i="4"/>
  <c r="D1227" i="4" s="1"/>
  <c r="C1227" i="4"/>
  <c r="BE1229" i="4" l="1"/>
  <c r="BG1229" i="4" s="1"/>
  <c r="AQ1229" i="4" s="1"/>
  <c r="G1229" i="4"/>
  <c r="H1228" i="4"/>
  <c r="D1228" i="4" s="1"/>
  <c r="C1228" i="4"/>
  <c r="BE1230" i="4" l="1"/>
  <c r="BG1230" i="4" s="1"/>
  <c r="AQ1230" i="4" s="1"/>
  <c r="G1230" i="4"/>
  <c r="H1229" i="4"/>
  <c r="D1229" i="4" s="1"/>
  <c r="C1229" i="4"/>
  <c r="BE1231" i="4" l="1"/>
  <c r="BG1231" i="4" s="1"/>
  <c r="AQ1231" i="4" s="1"/>
  <c r="G1231" i="4"/>
  <c r="C1230" i="4"/>
  <c r="H1230" i="4"/>
  <c r="D1230" i="4" s="1"/>
  <c r="BE1232" i="4" l="1"/>
  <c r="BG1232" i="4" s="1"/>
  <c r="AQ1232" i="4" s="1"/>
  <c r="G1232" i="4"/>
  <c r="C1231" i="4"/>
  <c r="H1231" i="4"/>
  <c r="D1231" i="4" s="1"/>
  <c r="BE1233" i="4" l="1"/>
  <c r="BG1233" i="4" s="1"/>
  <c r="AQ1233" i="4" s="1"/>
  <c r="H1232" i="4"/>
  <c r="D1232" i="4" s="1"/>
  <c r="C1232" i="4"/>
  <c r="G1233" i="4"/>
  <c r="BE1234" i="4" l="1"/>
  <c r="BG1234" i="4" s="1"/>
  <c r="AQ1234" i="4" s="1"/>
  <c r="G1234" i="4"/>
  <c r="H1233" i="4"/>
  <c r="D1233" i="4" s="1"/>
  <c r="C1233" i="4"/>
  <c r="BE1235" i="4" l="1"/>
  <c r="BG1235" i="4" s="1"/>
  <c r="AQ1235" i="4" s="1"/>
  <c r="G1235" i="4"/>
  <c r="C1234" i="4"/>
  <c r="H1234" i="4"/>
  <c r="D1234" i="4" s="1"/>
  <c r="BE1236" i="4" l="1"/>
  <c r="BG1236" i="4" s="1"/>
  <c r="AQ1236" i="4" s="1"/>
  <c r="C1235" i="4"/>
  <c r="G1236" i="4"/>
  <c r="H1235" i="4"/>
  <c r="D1235" i="4" s="1"/>
  <c r="BE1237" i="4" l="1"/>
  <c r="BG1237" i="4" s="1"/>
  <c r="AQ1237" i="4" s="1"/>
  <c r="C1236" i="4"/>
  <c r="G1237" i="4"/>
  <c r="H1236" i="4"/>
  <c r="D1236" i="4" s="1"/>
  <c r="BE1238" i="4" l="1"/>
  <c r="BG1238" i="4" s="1"/>
  <c r="AQ1238" i="4" s="1"/>
  <c r="G1238" i="4"/>
  <c r="C1237" i="4"/>
  <c r="H1237" i="4"/>
  <c r="D1237" i="4" s="1"/>
  <c r="BE1239" i="4" l="1"/>
  <c r="BG1239" i="4" s="1"/>
  <c r="AQ1239" i="4" s="1"/>
  <c r="H1238" i="4"/>
  <c r="C1238" i="4"/>
  <c r="D1238" i="4"/>
  <c r="G1239" i="4"/>
  <c r="BE1240" i="4" l="1"/>
  <c r="BG1240" i="4" s="1"/>
  <c r="AQ1240" i="4" s="1"/>
  <c r="C1239" i="4"/>
  <c r="G1240" i="4"/>
  <c r="H1239" i="4"/>
  <c r="D1239" i="4" s="1"/>
  <c r="BE1241" i="4" l="1"/>
  <c r="BG1241" i="4" s="1"/>
  <c r="AQ1241" i="4" s="1"/>
  <c r="H1240" i="4"/>
  <c r="D1240" i="4" s="1"/>
  <c r="G1241" i="4"/>
  <c r="C1240" i="4"/>
  <c r="BE1242" i="4" l="1"/>
  <c r="BG1242" i="4" s="1"/>
  <c r="AQ1242" i="4" s="1"/>
  <c r="G1242" i="4"/>
  <c r="C1241" i="4"/>
  <c r="H1241" i="4"/>
  <c r="D1241" i="4" s="1"/>
  <c r="BE1243" i="4" l="1"/>
  <c r="BG1243" i="4" s="1"/>
  <c r="AQ1243" i="4" s="1"/>
  <c r="H1242" i="4"/>
  <c r="D1242" i="4" s="1"/>
  <c r="G1243" i="4"/>
  <c r="C1242" i="4"/>
  <c r="BE1244" i="4" l="1"/>
  <c r="BG1244" i="4" s="1"/>
  <c r="AQ1244" i="4" s="1"/>
  <c r="G1244" i="4"/>
  <c r="H1243" i="4"/>
  <c r="D1243" i="4" s="1"/>
  <c r="C1243" i="4"/>
  <c r="BE1245" i="4" l="1"/>
  <c r="BG1245" i="4" s="1"/>
  <c r="AQ1245" i="4" s="1"/>
  <c r="H1244" i="4"/>
  <c r="D1244" i="4" s="1"/>
  <c r="G1245" i="4"/>
  <c r="C1244" i="4"/>
  <c r="BE1246" i="4" l="1"/>
  <c r="BG1246" i="4" s="1"/>
  <c r="AQ1246" i="4" s="1"/>
  <c r="G1246" i="4"/>
  <c r="C1245" i="4"/>
  <c r="H1245" i="4"/>
  <c r="D1245" i="4" s="1"/>
  <c r="BE1247" i="4" l="1"/>
  <c r="BG1247" i="4" s="1"/>
  <c r="AQ1247" i="4" s="1"/>
  <c r="H1246" i="4"/>
  <c r="D1246" i="4" s="1"/>
  <c r="G1247" i="4"/>
  <c r="C1246" i="4"/>
  <c r="BE1248" i="4" l="1"/>
  <c r="BG1248" i="4" s="1"/>
  <c r="AQ1248" i="4" s="1"/>
  <c r="H1247" i="4"/>
  <c r="D1247" i="4" s="1"/>
  <c r="G1248" i="4"/>
  <c r="C1247" i="4"/>
  <c r="BE1249" i="4" l="1"/>
  <c r="BG1249" i="4" s="1"/>
  <c r="AQ1249" i="4" s="1"/>
  <c r="H1248" i="4"/>
  <c r="D1248" i="4" s="1"/>
  <c r="G1249" i="4"/>
  <c r="C1248" i="4"/>
  <c r="BE1250" i="4" l="1"/>
  <c r="BG1250" i="4" s="1"/>
  <c r="AQ1250" i="4" s="1"/>
  <c r="G1250" i="4"/>
  <c r="C1249" i="4"/>
  <c r="H1249" i="4"/>
  <c r="D1249" i="4" s="1"/>
  <c r="BE1251" i="4" l="1"/>
  <c r="BG1251" i="4" s="1"/>
  <c r="AQ1251" i="4" s="1"/>
  <c r="G1251" i="4"/>
  <c r="H1250" i="4"/>
  <c r="D1250" i="4" s="1"/>
  <c r="C1250" i="4"/>
  <c r="BE1252" i="4" l="1"/>
  <c r="BG1252" i="4" s="1"/>
  <c r="AQ1252" i="4" s="1"/>
  <c r="C1251" i="4"/>
  <c r="G1252" i="4"/>
  <c r="H1251" i="4"/>
  <c r="D1251" i="4" s="1"/>
  <c r="BE1253" i="4" l="1"/>
  <c r="BG1253" i="4" s="1"/>
  <c r="AQ1253" i="4" s="1"/>
  <c r="C1252" i="4"/>
  <c r="G1253" i="4"/>
  <c r="H1252" i="4"/>
  <c r="D1252" i="4" s="1"/>
  <c r="BE1254" i="4" l="1"/>
  <c r="BG1254" i="4" s="1"/>
  <c r="AQ1254" i="4" s="1"/>
  <c r="C1253" i="4"/>
  <c r="G1254" i="4"/>
  <c r="H1253" i="4"/>
  <c r="D1253" i="4" s="1"/>
  <c r="BE1255" i="4" l="1"/>
  <c r="BG1255" i="4" s="1"/>
  <c r="AQ1255" i="4" s="1"/>
  <c r="G1255" i="4"/>
  <c r="C1254" i="4"/>
  <c r="H1254" i="4"/>
  <c r="D1254" i="4" s="1"/>
  <c r="BE1256" i="4" l="1"/>
  <c r="BG1256" i="4" s="1"/>
  <c r="AQ1256" i="4" s="1"/>
  <c r="G1256" i="4"/>
  <c r="H1255" i="4"/>
  <c r="D1255" i="4" s="1"/>
  <c r="C1255" i="4"/>
  <c r="BE1257" i="4" l="1"/>
  <c r="BG1257" i="4" s="1"/>
  <c r="AQ1257" i="4" s="1"/>
  <c r="H1256" i="4"/>
  <c r="C1256" i="4"/>
  <c r="D1256" i="4"/>
  <c r="G1257" i="4"/>
  <c r="BE1258" i="4" l="1"/>
  <c r="BG1258" i="4" s="1"/>
  <c r="AQ1258" i="4" s="1"/>
  <c r="G1258" i="4"/>
  <c r="C1257" i="4"/>
  <c r="H1257" i="4"/>
  <c r="D1257" i="4" s="1"/>
  <c r="BE1259" i="4" l="1"/>
  <c r="BG1259" i="4" s="1"/>
  <c r="AQ1259" i="4" s="1"/>
  <c r="G1259" i="4"/>
  <c r="C1258" i="4"/>
  <c r="H1258" i="4"/>
  <c r="D1258" i="4" s="1"/>
  <c r="BE1260" i="4" l="1"/>
  <c r="BG1260" i="4" s="1"/>
  <c r="AQ1260" i="4" s="1"/>
  <c r="G1260" i="4"/>
  <c r="C1259" i="4"/>
  <c r="H1259" i="4"/>
  <c r="D1259" i="4" s="1"/>
  <c r="BE1261" i="4" l="1"/>
  <c r="BG1261" i="4" s="1"/>
  <c r="AQ1261" i="4" s="1"/>
  <c r="C1260" i="4"/>
  <c r="G1261" i="4"/>
  <c r="H1260" i="4"/>
  <c r="D1260" i="4" s="1"/>
  <c r="BE1262" i="4" l="1"/>
  <c r="BG1262" i="4" s="1"/>
  <c r="AQ1262" i="4" s="1"/>
  <c r="G1262" i="4"/>
  <c r="H1261" i="4"/>
  <c r="D1261" i="4" s="1"/>
  <c r="C1261" i="4"/>
  <c r="BE1263" i="4" l="1"/>
  <c r="BG1263" i="4" s="1"/>
  <c r="AQ1263" i="4" s="1"/>
  <c r="H1262" i="4"/>
  <c r="C1262" i="4"/>
  <c r="D1262" i="4"/>
  <c r="G1263" i="4"/>
  <c r="BE1264" i="4" l="1"/>
  <c r="BG1264" i="4" s="1"/>
  <c r="AQ1264" i="4" s="1"/>
  <c r="H1263" i="4"/>
  <c r="D1263" i="4" s="1"/>
  <c r="G1264" i="4"/>
  <c r="C1263" i="4"/>
  <c r="BE1265" i="4" l="1"/>
  <c r="BG1265" i="4" s="1"/>
  <c r="AQ1265" i="4" s="1"/>
  <c r="C1264" i="4"/>
  <c r="H1264" i="4"/>
  <c r="D1264" i="4" s="1"/>
  <c r="G1265" i="4"/>
  <c r="BE1266" i="4" l="1"/>
  <c r="BG1266" i="4" s="1"/>
  <c r="AQ1266" i="4" s="1"/>
  <c r="G1266" i="4"/>
  <c r="H1265" i="4"/>
  <c r="D1265" i="4" s="1"/>
  <c r="C1265" i="4"/>
  <c r="BE1267" i="4" l="1"/>
  <c r="BG1267" i="4" s="1"/>
  <c r="AQ1267" i="4" s="1"/>
  <c r="C1266" i="4"/>
  <c r="H1266" i="4"/>
  <c r="G1267" i="4"/>
  <c r="D1266" i="4"/>
  <c r="BE1268" i="4" l="1"/>
  <c r="BG1268" i="4" s="1"/>
  <c r="AQ1268" i="4" s="1"/>
  <c r="G1268" i="4"/>
  <c r="H1267" i="4"/>
  <c r="D1267" i="4" s="1"/>
  <c r="C1267" i="4"/>
  <c r="BE1269" i="4" l="1"/>
  <c r="BG1269" i="4" s="1"/>
  <c r="AQ1269" i="4" s="1"/>
  <c r="H1268" i="4"/>
  <c r="D1268" i="4" s="1"/>
  <c r="C1268" i="4"/>
  <c r="G1269" i="4"/>
  <c r="BE1270" i="4" l="1"/>
  <c r="BG1270" i="4" s="1"/>
  <c r="AQ1270" i="4" s="1"/>
  <c r="H1269" i="4"/>
  <c r="D1269" i="4" s="1"/>
  <c r="G1270" i="4"/>
  <c r="C1269" i="4"/>
  <c r="BE1271" i="4" l="1"/>
  <c r="BG1271" i="4" s="1"/>
  <c r="AQ1271" i="4" s="1"/>
  <c r="C1270" i="4"/>
  <c r="G1271" i="4"/>
  <c r="H1270" i="4"/>
  <c r="D1270" i="4" s="1"/>
  <c r="BE1272" i="4" l="1"/>
  <c r="BG1272" i="4" s="1"/>
  <c r="AQ1272" i="4" s="1"/>
  <c r="H1271" i="4"/>
  <c r="D1271" i="4" s="1"/>
  <c r="C1271" i="4"/>
  <c r="G1272" i="4"/>
  <c r="BE1273" i="4" l="1"/>
  <c r="BG1273" i="4" s="1"/>
  <c r="AQ1273" i="4" s="1"/>
  <c r="C1272" i="4"/>
  <c r="G1273" i="4"/>
  <c r="H1272" i="4"/>
  <c r="D1272" i="4" s="1"/>
  <c r="BE1274" i="4" l="1"/>
  <c r="BG1274" i="4" s="1"/>
  <c r="AQ1274" i="4" s="1"/>
  <c r="G1274" i="4"/>
  <c r="H1273" i="4"/>
  <c r="D1273" i="4" s="1"/>
  <c r="C1273" i="4"/>
  <c r="BE1275" i="4" l="1"/>
  <c r="BG1275" i="4" s="1"/>
  <c r="AQ1275" i="4" s="1"/>
  <c r="C1274" i="4"/>
  <c r="G1275" i="4"/>
  <c r="H1274" i="4"/>
  <c r="D1274" i="4" s="1"/>
  <c r="BE1276" i="4" l="1"/>
  <c r="BG1276" i="4" s="1"/>
  <c r="AQ1276" i="4" s="1"/>
  <c r="C1275" i="4"/>
  <c r="G1276" i="4"/>
  <c r="H1275" i="4"/>
  <c r="D1275" i="4" s="1"/>
  <c r="BE1277" i="4" l="1"/>
  <c r="BG1277" i="4" s="1"/>
  <c r="AQ1277" i="4" s="1"/>
  <c r="G1277" i="4"/>
  <c r="H1276" i="4"/>
  <c r="D1276" i="4" s="1"/>
  <c r="C1276" i="4"/>
  <c r="BE1278" i="4" l="1"/>
  <c r="BG1278" i="4" s="1"/>
  <c r="AQ1278" i="4" s="1"/>
  <c r="G1278" i="4"/>
  <c r="C1277" i="4"/>
  <c r="H1277" i="4"/>
  <c r="D1277" i="4" s="1"/>
  <c r="BE1279" i="4" l="1"/>
  <c r="BG1279" i="4" s="1"/>
  <c r="AQ1279" i="4" s="1"/>
  <c r="C1278" i="4"/>
  <c r="H1278" i="4"/>
  <c r="D1278" i="4" s="1"/>
  <c r="G1279" i="4"/>
  <c r="BE1280" i="4" l="1"/>
  <c r="BG1280" i="4" s="1"/>
  <c r="AQ1280" i="4" s="1"/>
  <c r="G1280" i="4"/>
  <c r="H1279" i="4"/>
  <c r="D1279" i="4" s="1"/>
  <c r="C1279" i="4"/>
  <c r="BE1281" i="4" l="1"/>
  <c r="BG1281" i="4" s="1"/>
  <c r="AQ1281" i="4" s="1"/>
  <c r="H1280" i="4"/>
  <c r="C1280" i="4"/>
  <c r="G1281" i="4"/>
  <c r="D1280" i="4"/>
  <c r="BE1282" i="4" l="1"/>
  <c r="BG1282" i="4" s="1"/>
  <c r="AQ1282" i="4" s="1"/>
  <c r="G1282" i="4"/>
  <c r="C1281" i="4"/>
  <c r="H1281" i="4"/>
  <c r="D1281" i="4" s="1"/>
  <c r="BE1283" i="4" l="1"/>
  <c r="BG1283" i="4" s="1"/>
  <c r="AQ1283" i="4" s="1"/>
  <c r="C1282" i="4"/>
  <c r="H1282" i="4"/>
  <c r="D1282" i="4" s="1"/>
  <c r="G1283" i="4"/>
  <c r="BE1284" i="4" l="1"/>
  <c r="BG1284" i="4" s="1"/>
  <c r="AQ1284" i="4" s="1"/>
  <c r="G1284" i="4"/>
  <c r="C1283" i="4"/>
  <c r="H1283" i="4"/>
  <c r="D1283" i="4" s="1"/>
  <c r="BE1285" i="4" l="1"/>
  <c r="BG1285" i="4" s="1"/>
  <c r="AQ1285" i="4" s="1"/>
  <c r="G1285" i="4"/>
  <c r="C1284" i="4"/>
  <c r="H1284" i="4"/>
  <c r="D1284" i="4" s="1"/>
  <c r="BE1286" i="4" l="1"/>
  <c r="BG1286" i="4" s="1"/>
  <c r="AQ1286" i="4" s="1"/>
  <c r="G1286" i="4"/>
  <c r="H1285" i="4"/>
  <c r="D1285" i="4" s="1"/>
  <c r="C1285" i="4"/>
  <c r="BE1287" i="4" l="1"/>
  <c r="BG1287" i="4" s="1"/>
  <c r="AQ1287" i="4" s="1"/>
  <c r="H1286" i="4"/>
  <c r="C1286" i="4"/>
  <c r="G1287" i="4"/>
  <c r="D1286" i="4"/>
  <c r="BE1288" i="4" l="1"/>
  <c r="BG1288" i="4" s="1"/>
  <c r="AQ1288" i="4" s="1"/>
  <c r="G1288" i="4"/>
  <c r="H1287" i="4"/>
  <c r="D1287" i="4" s="1"/>
  <c r="C1287" i="4"/>
  <c r="BE1289" i="4" l="1"/>
  <c r="BG1289" i="4" s="1"/>
  <c r="AQ1289" i="4" s="1"/>
  <c r="G1289" i="4"/>
  <c r="H1288" i="4"/>
  <c r="D1288" i="4" s="1"/>
  <c r="C1288" i="4"/>
  <c r="BE1290" i="4" l="1"/>
  <c r="BG1290" i="4" s="1"/>
  <c r="AQ1290" i="4" s="1"/>
  <c r="G1290" i="4"/>
  <c r="H1289" i="4"/>
  <c r="D1289" i="4" s="1"/>
  <c r="C1289" i="4"/>
  <c r="BE1291" i="4" l="1"/>
  <c r="BG1291" i="4" s="1"/>
  <c r="AQ1291" i="4" s="1"/>
  <c r="H1290" i="4"/>
  <c r="D1290" i="4" s="1"/>
  <c r="G1291" i="4"/>
  <c r="C1290" i="4"/>
  <c r="BE1292" i="4" l="1"/>
  <c r="BG1292" i="4" s="1"/>
  <c r="AQ1292" i="4" s="1"/>
  <c r="G1292" i="4"/>
  <c r="C1291" i="4"/>
  <c r="H1291" i="4"/>
  <c r="D1291" i="4" s="1"/>
  <c r="BE1293" i="4" l="1"/>
  <c r="BG1293" i="4" s="1"/>
  <c r="AQ1293" i="4" s="1"/>
  <c r="H1292" i="4"/>
  <c r="C1292" i="4"/>
  <c r="G1293" i="4"/>
  <c r="D1292" i="4"/>
  <c r="BE1294" i="4" l="1"/>
  <c r="BG1294" i="4" s="1"/>
  <c r="AQ1294" i="4" s="1"/>
  <c r="G1294" i="4"/>
  <c r="H1293" i="4"/>
  <c r="D1293" i="4" s="1"/>
  <c r="C1293" i="4"/>
  <c r="BE1295" i="4" l="1"/>
  <c r="BG1295" i="4" s="1"/>
  <c r="AQ1295" i="4" s="1"/>
  <c r="G1295" i="4"/>
  <c r="H1294" i="4"/>
  <c r="D1294" i="4" s="1"/>
  <c r="C1294" i="4"/>
  <c r="BE1296" i="4" l="1"/>
  <c r="BG1296" i="4" s="1"/>
  <c r="AQ1296" i="4" s="1"/>
  <c r="H1295" i="4"/>
  <c r="D1295" i="4" s="1"/>
  <c r="G1296" i="4"/>
  <c r="C1295" i="4"/>
  <c r="BE1297" i="4" l="1"/>
  <c r="BG1297" i="4" s="1"/>
  <c r="AQ1297" i="4" s="1"/>
  <c r="H1296" i="4"/>
  <c r="D1296" i="4" s="1"/>
  <c r="G1297" i="4"/>
  <c r="C1296" i="4"/>
  <c r="BE1298" i="4" l="1"/>
  <c r="BG1298" i="4" s="1"/>
  <c r="AQ1298" i="4" s="1"/>
  <c r="G1298" i="4"/>
  <c r="C1297" i="4"/>
  <c r="H1297" i="4"/>
  <c r="D1297" i="4" s="1"/>
  <c r="BE1299" i="4" l="1"/>
  <c r="BG1299" i="4" s="1"/>
  <c r="AQ1299" i="4" s="1"/>
  <c r="H1298" i="4"/>
  <c r="D1298" i="4" s="1"/>
  <c r="C1298" i="4"/>
  <c r="G1299" i="4"/>
  <c r="BE1300" i="4" l="1"/>
  <c r="BG1300" i="4" s="1"/>
  <c r="AQ1300" i="4" s="1"/>
  <c r="C1299" i="4"/>
  <c r="G1300" i="4"/>
  <c r="H1299" i="4"/>
  <c r="D1299" i="4" s="1"/>
  <c r="BE1301" i="4" l="1"/>
  <c r="BG1301" i="4" s="1"/>
  <c r="AQ1301" i="4" s="1"/>
  <c r="C1300" i="4"/>
  <c r="G1301" i="4"/>
  <c r="H1300" i="4"/>
  <c r="D1300" i="4" s="1"/>
  <c r="BE1302" i="4" l="1"/>
  <c r="BG1302" i="4" s="1"/>
  <c r="AQ1302" i="4" s="1"/>
  <c r="G1302" i="4"/>
  <c r="H1301" i="4"/>
  <c r="D1301" i="4" s="1"/>
  <c r="C1301" i="4"/>
  <c r="BE1303" i="4" l="1"/>
  <c r="BG1303" i="4" s="1"/>
  <c r="AQ1303" i="4" s="1"/>
  <c r="G1303" i="4"/>
  <c r="H1302" i="4"/>
  <c r="D1302" i="4" s="1"/>
  <c r="C1302" i="4"/>
  <c r="BE1304" i="4" l="1"/>
  <c r="BG1304" i="4" s="1"/>
  <c r="AQ1304" i="4" s="1"/>
  <c r="G1304" i="4"/>
  <c r="C1303" i="4"/>
  <c r="H1303" i="4"/>
  <c r="D1303" i="4" s="1"/>
  <c r="BE1305" i="4" l="1"/>
  <c r="BG1305" i="4" s="1"/>
  <c r="AQ1305" i="4" s="1"/>
  <c r="H1304" i="4"/>
  <c r="C1304" i="4"/>
  <c r="G1305" i="4"/>
  <c r="D1304" i="4"/>
  <c r="BE1306" i="4" l="1"/>
  <c r="BG1306" i="4" s="1"/>
  <c r="AQ1306" i="4" s="1"/>
  <c r="G1306" i="4"/>
  <c r="H1305" i="4"/>
  <c r="D1305" i="4" s="1"/>
  <c r="C1305" i="4"/>
  <c r="BE1307" i="4" l="1"/>
  <c r="BG1307" i="4" s="1"/>
  <c r="AQ1307" i="4" s="1"/>
  <c r="G1307" i="4"/>
  <c r="C1306" i="4"/>
  <c r="H1306" i="4"/>
  <c r="D1306" i="4" s="1"/>
  <c r="BE1308" i="4" l="1"/>
  <c r="BG1308" i="4" s="1"/>
  <c r="AQ1308" i="4" s="1"/>
  <c r="G1308" i="4"/>
  <c r="H1307" i="4"/>
  <c r="D1307" i="4" s="1"/>
  <c r="C1307" i="4"/>
  <c r="BE1309" i="4" l="1"/>
  <c r="BG1309" i="4" s="1"/>
  <c r="AQ1309" i="4" s="1"/>
  <c r="C1308" i="4"/>
  <c r="G1309" i="4"/>
  <c r="H1308" i="4"/>
  <c r="D1308" i="4" s="1"/>
  <c r="BE1310" i="4" l="1"/>
  <c r="BG1310" i="4" s="1"/>
  <c r="AQ1310" i="4" s="1"/>
  <c r="G1310" i="4"/>
  <c r="H1309" i="4"/>
  <c r="D1309" i="4" s="1"/>
  <c r="C1309" i="4"/>
  <c r="BE1311" i="4" l="1"/>
  <c r="BG1311" i="4" s="1"/>
  <c r="AQ1311" i="4" s="1"/>
  <c r="H1310" i="4"/>
  <c r="C1310" i="4"/>
  <c r="G1311" i="4"/>
  <c r="D1310" i="4"/>
  <c r="BE1312" i="4" l="1"/>
  <c r="BG1312" i="4" s="1"/>
  <c r="AQ1312" i="4" s="1"/>
  <c r="G1312" i="4"/>
  <c r="C1311" i="4"/>
  <c r="H1311" i="4"/>
  <c r="D1311" i="4" s="1"/>
  <c r="BE1313" i="4" l="1"/>
  <c r="BG1313" i="4" s="1"/>
  <c r="AQ1313" i="4" s="1"/>
  <c r="G1313" i="4"/>
  <c r="H1312" i="4"/>
  <c r="D1312" i="4" s="1"/>
  <c r="C1312" i="4"/>
  <c r="BE1314" i="4" l="1"/>
  <c r="BG1314" i="4" s="1"/>
  <c r="AQ1314" i="4" s="1"/>
  <c r="G1314" i="4"/>
  <c r="C1313" i="4"/>
  <c r="H1313" i="4"/>
  <c r="D1313" i="4" s="1"/>
  <c r="BE1315" i="4" l="1"/>
  <c r="BG1315" i="4" s="1"/>
  <c r="AQ1315" i="4" s="1"/>
  <c r="G1315" i="4"/>
  <c r="C1314" i="4"/>
  <c r="H1314" i="4"/>
  <c r="D1314" i="4" s="1"/>
  <c r="BE1316" i="4" l="1"/>
  <c r="BG1316" i="4" s="1"/>
  <c r="AQ1316" i="4" s="1"/>
  <c r="C1315" i="4"/>
  <c r="G1316" i="4"/>
  <c r="H1315" i="4"/>
  <c r="D1315" i="4" s="1"/>
  <c r="BE1317" i="4" l="1"/>
  <c r="BG1317" i="4" s="1"/>
  <c r="AQ1317" i="4" s="1"/>
  <c r="H1316" i="4"/>
  <c r="C1316" i="4"/>
  <c r="G1317" i="4"/>
  <c r="D1316" i="4"/>
  <c r="BE1318" i="4" l="1"/>
  <c r="BG1318" i="4" s="1"/>
  <c r="AQ1318" i="4" s="1"/>
  <c r="G1318" i="4"/>
  <c r="C1317" i="4"/>
  <c r="H1317" i="4"/>
  <c r="D1317" i="4" s="1"/>
  <c r="BE1319" i="4" l="1"/>
  <c r="BG1319" i="4" s="1"/>
  <c r="AQ1319" i="4" s="1"/>
  <c r="G1319" i="4"/>
  <c r="H1318" i="4"/>
  <c r="D1318" i="4" s="1"/>
  <c r="C1318" i="4"/>
  <c r="BE1320" i="4" l="1"/>
  <c r="BG1320" i="4" s="1"/>
  <c r="AQ1320" i="4" s="1"/>
  <c r="G1320" i="4"/>
  <c r="C1319" i="4"/>
  <c r="H1319" i="4"/>
  <c r="D1319" i="4" s="1"/>
  <c r="BE1321" i="4" l="1"/>
  <c r="BG1321" i="4" s="1"/>
  <c r="AQ1321" i="4" s="1"/>
  <c r="C1320" i="4"/>
  <c r="G1321" i="4"/>
  <c r="H1320" i="4"/>
  <c r="D1320" i="4" s="1"/>
  <c r="BE1322" i="4" l="1"/>
  <c r="BG1322" i="4" s="1"/>
  <c r="AQ1322" i="4" s="1"/>
  <c r="G1322" i="4"/>
  <c r="C1321" i="4"/>
  <c r="H1321" i="4"/>
  <c r="D1321" i="4" s="1"/>
  <c r="BE1323" i="4" l="1"/>
  <c r="BG1323" i="4" s="1"/>
  <c r="AQ1323" i="4" s="1"/>
  <c r="H1322" i="4"/>
  <c r="D1322" i="4" s="1"/>
  <c r="C1322" i="4"/>
  <c r="G1323" i="4"/>
  <c r="BE1324" i="4" l="1"/>
  <c r="BG1324" i="4" s="1"/>
  <c r="AQ1324" i="4" s="1"/>
  <c r="G1324" i="4"/>
  <c r="C1323" i="4"/>
  <c r="H1323" i="4"/>
  <c r="D1323" i="4" s="1"/>
  <c r="BE1325" i="4" l="1"/>
  <c r="BG1325" i="4" s="1"/>
  <c r="AQ1325" i="4" s="1"/>
  <c r="G1325" i="4"/>
  <c r="H1324" i="4"/>
  <c r="D1324" i="4" s="1"/>
  <c r="C1324" i="4"/>
  <c r="BE1326" i="4" l="1"/>
  <c r="BG1326" i="4" s="1"/>
  <c r="AQ1326" i="4" s="1"/>
  <c r="C1325" i="4"/>
  <c r="G1326" i="4"/>
  <c r="H1325" i="4"/>
  <c r="D1325" i="4" s="1"/>
  <c r="BE1327" i="4" l="1"/>
  <c r="BG1327" i="4" s="1"/>
  <c r="AQ1327" i="4" s="1"/>
  <c r="C1326" i="4"/>
  <c r="G1327" i="4"/>
  <c r="H1326" i="4"/>
  <c r="D1326" i="4" s="1"/>
  <c r="BE1328" i="4" l="1"/>
  <c r="BG1328" i="4" s="1"/>
  <c r="AQ1328" i="4" s="1"/>
  <c r="G1328" i="4"/>
  <c r="C1327" i="4"/>
  <c r="H1327" i="4"/>
  <c r="D1327" i="4" s="1"/>
  <c r="BE1329" i="4" l="1"/>
  <c r="BG1329" i="4" s="1"/>
  <c r="AQ1329" i="4" s="1"/>
  <c r="H1328" i="4"/>
  <c r="D1328" i="4" s="1"/>
  <c r="C1328" i="4"/>
  <c r="G1329" i="4"/>
  <c r="BE1330" i="4" l="1"/>
  <c r="BG1330" i="4" s="1"/>
  <c r="AQ1330" i="4" s="1"/>
  <c r="G1330" i="4"/>
  <c r="C1329" i="4"/>
  <c r="H1329" i="4"/>
  <c r="D1329" i="4" s="1"/>
  <c r="BE1331" i="4" l="1"/>
  <c r="BG1331" i="4" s="1"/>
  <c r="AQ1331" i="4" s="1"/>
  <c r="H1330" i="4"/>
  <c r="D1330" i="4" s="1"/>
  <c r="G1331" i="4"/>
  <c r="C1330" i="4"/>
  <c r="BE1332" i="4" l="1"/>
  <c r="BG1332" i="4" s="1"/>
  <c r="AQ1332" i="4" s="1"/>
  <c r="G1332" i="4"/>
  <c r="H1331" i="4"/>
  <c r="D1331" i="4" s="1"/>
  <c r="C1331" i="4"/>
  <c r="BE1333" i="4" l="1"/>
  <c r="BG1333" i="4" s="1"/>
  <c r="AQ1333" i="4" s="1"/>
  <c r="H1332" i="4"/>
  <c r="D1332" i="4" s="1"/>
  <c r="G1333" i="4"/>
  <c r="C1332" i="4"/>
  <c r="BE1334" i="4" l="1"/>
  <c r="BG1334" i="4" s="1"/>
  <c r="AQ1334" i="4" s="1"/>
  <c r="G1334" i="4"/>
  <c r="C1333" i="4"/>
  <c r="H1333" i="4"/>
  <c r="D1333" i="4" s="1"/>
  <c r="BY3" i="10"/>
  <c r="CA3" i="10"/>
  <c r="BE1335" i="4" l="1"/>
  <c r="BG1335" i="4" s="1"/>
  <c r="AQ1335" i="4" s="1"/>
  <c r="G1335" i="4"/>
  <c r="H1334" i="4"/>
  <c r="D1334" i="4" s="1"/>
  <c r="C1334" i="4"/>
  <c r="BZ3" i="10"/>
  <c r="BY4" i="10"/>
  <c r="CA4" i="10"/>
  <c r="BE1336" i="4" l="1"/>
  <c r="BG1336" i="4" s="1"/>
  <c r="AQ1336" i="4" s="1"/>
  <c r="C1335" i="4"/>
  <c r="G1336" i="4"/>
  <c r="H1335" i="4"/>
  <c r="D1335" i="4" s="1"/>
  <c r="BY5" i="10"/>
  <c r="BZ4" i="10"/>
  <c r="BE1337" i="4" l="1"/>
  <c r="BG1337" i="4" s="1"/>
  <c r="AQ1337" i="4" s="1"/>
  <c r="G1337" i="4"/>
  <c r="H1336" i="4"/>
  <c r="D1336" i="4" s="1"/>
  <c r="C1336" i="4"/>
  <c r="CA5" i="10"/>
  <c r="BZ5" i="10"/>
  <c r="BE1338" i="4" l="1"/>
  <c r="BG1338" i="4" s="1"/>
  <c r="AQ1338" i="4" s="1"/>
  <c r="H1337" i="4"/>
  <c r="C1337" i="4"/>
  <c r="D1337" i="4"/>
  <c r="G1338" i="4"/>
  <c r="BE1339" i="4" l="1"/>
  <c r="BG1339" i="4" s="1"/>
  <c r="AQ1339" i="4" s="1"/>
  <c r="G1339" i="4"/>
  <c r="C1338" i="4"/>
  <c r="H1338" i="4"/>
  <c r="D1338" i="4" s="1"/>
  <c r="BY6" i="10"/>
  <c r="BE1340" i="4" l="1"/>
  <c r="BG1340" i="4" s="1"/>
  <c r="AQ1340" i="4" s="1"/>
  <c r="G1340" i="4"/>
  <c r="H1339" i="4"/>
  <c r="C1339" i="4"/>
  <c r="D1339" i="4"/>
  <c r="BZ6" i="10"/>
  <c r="CA6" i="10"/>
  <c r="BY7" i="10"/>
  <c r="BE1341" i="4" l="1"/>
  <c r="BG1341" i="4" s="1"/>
  <c r="AQ1341" i="4" s="1"/>
  <c r="H1340" i="4"/>
  <c r="D1340" i="4" s="1"/>
  <c r="C1340" i="4"/>
  <c r="G1341" i="4"/>
  <c r="CA7" i="10"/>
  <c r="BZ7" i="10"/>
  <c r="BE1342" i="4" l="1"/>
  <c r="BG1342" i="4" s="1"/>
  <c r="AQ1342" i="4" s="1"/>
  <c r="C1341" i="4"/>
  <c r="H1341" i="4"/>
  <c r="D1341" i="4" s="1"/>
  <c r="G1342" i="4"/>
  <c r="BE1343" i="4" l="1"/>
  <c r="BG1343" i="4" s="1"/>
  <c r="AQ1343" i="4" s="1"/>
  <c r="C1342" i="4"/>
  <c r="G1343" i="4"/>
  <c r="H1342" i="4"/>
  <c r="D1342" i="4" s="1"/>
  <c r="BE1344" i="4" l="1"/>
  <c r="BG1344" i="4" s="1"/>
  <c r="AQ1344" i="4" s="1"/>
  <c r="C1343" i="4"/>
  <c r="H1343" i="4"/>
  <c r="D1343" i="4" s="1"/>
  <c r="G1344" i="4"/>
  <c r="BY8" i="10"/>
  <c r="BE1345" i="4" l="1"/>
  <c r="BG1345" i="4" s="1"/>
  <c r="AQ1345" i="4" s="1"/>
  <c r="C1344" i="4"/>
  <c r="H1344" i="4"/>
  <c r="D1344" i="4" s="1"/>
  <c r="G1345" i="4"/>
  <c r="BY9" i="10"/>
  <c r="BZ8" i="10"/>
  <c r="CA8" i="10"/>
  <c r="BE1346" i="4" l="1"/>
  <c r="BG1346" i="4" s="1"/>
  <c r="AQ1346" i="4" s="1"/>
  <c r="C1345" i="4"/>
  <c r="G1346" i="4"/>
  <c r="H1345" i="4"/>
  <c r="D1345" i="4" s="1"/>
  <c r="BZ9" i="10"/>
  <c r="CA9" i="10"/>
  <c r="BE1347" i="4" l="1"/>
  <c r="BG1347" i="4" s="1"/>
  <c r="AQ1347" i="4" s="1"/>
  <c r="H1346" i="4"/>
  <c r="D1346" i="4" s="1"/>
  <c r="G1347" i="4"/>
  <c r="C1346" i="4"/>
  <c r="BE1348" i="4" l="1"/>
  <c r="BG1348" i="4" s="1"/>
  <c r="AQ1348" i="4" s="1"/>
  <c r="C1347" i="4"/>
  <c r="H1347" i="4"/>
  <c r="D1347" i="4" s="1"/>
  <c r="G1348" i="4"/>
  <c r="BE1349" i="4" l="1"/>
  <c r="BG1349" i="4" s="1"/>
  <c r="AQ1349" i="4" s="1"/>
  <c r="H1348" i="4"/>
  <c r="D1348" i="4" s="1"/>
  <c r="C1348" i="4"/>
  <c r="G1349" i="4"/>
  <c r="BE1350" i="4" l="1"/>
  <c r="BG1350" i="4" s="1"/>
  <c r="AQ1350" i="4" s="1"/>
  <c r="G1350" i="4"/>
  <c r="C1349" i="4"/>
  <c r="H1349" i="4"/>
  <c r="D1349" i="4" s="1"/>
  <c r="BE1351" i="4" l="1"/>
  <c r="BG1351" i="4" s="1"/>
  <c r="AQ1351" i="4" s="1"/>
  <c r="C1350" i="4"/>
  <c r="G1351" i="4"/>
  <c r="H1350" i="4"/>
  <c r="D1350" i="4" s="1"/>
  <c r="BE1352" i="4" l="1"/>
  <c r="BG1352" i="4" s="1"/>
  <c r="AQ1352" i="4" s="1"/>
  <c r="H1351" i="4"/>
  <c r="C1351" i="4"/>
  <c r="G1352" i="4"/>
  <c r="D1351" i="4"/>
  <c r="BE1353" i="4" l="1"/>
  <c r="BG1353" i="4" s="1"/>
  <c r="AQ1353" i="4" s="1"/>
  <c r="H1352" i="4"/>
  <c r="D1352" i="4" s="1"/>
  <c r="C1352" i="4"/>
  <c r="G1353" i="4"/>
  <c r="BE1354" i="4" l="1"/>
  <c r="BG1354" i="4" s="1"/>
  <c r="AQ1354" i="4" s="1"/>
  <c r="H1353" i="4"/>
  <c r="D1353" i="4" s="1"/>
  <c r="G1354" i="4"/>
  <c r="C1353" i="4"/>
  <c r="BE1355" i="4" l="1"/>
  <c r="BG1355" i="4" s="1"/>
  <c r="AQ1355" i="4" s="1"/>
  <c r="H1354" i="4"/>
  <c r="D1354" i="4" s="1"/>
  <c r="G1355" i="4"/>
  <c r="C1354" i="4"/>
  <c r="BE1356" i="4" l="1"/>
  <c r="BG1356" i="4" s="1"/>
  <c r="AQ1356" i="4" s="1"/>
  <c r="H1355" i="4"/>
  <c r="D1355" i="4" s="1"/>
  <c r="G1356" i="4"/>
  <c r="C1355" i="4"/>
  <c r="BE1357" i="4" l="1"/>
  <c r="BG1357" i="4" s="1"/>
  <c r="AQ1357" i="4" s="1"/>
  <c r="G1357" i="4"/>
  <c r="C1356" i="4"/>
  <c r="H1356" i="4"/>
  <c r="D1356" i="4" s="1"/>
  <c r="BE1358" i="4" l="1"/>
  <c r="BG1358" i="4" s="1"/>
  <c r="AQ1358" i="4" s="1"/>
  <c r="G1358" i="4"/>
  <c r="C1357" i="4"/>
  <c r="H1357" i="4"/>
  <c r="D1357" i="4" s="1"/>
  <c r="BE1359" i="4" l="1"/>
  <c r="BG1359" i="4" s="1"/>
  <c r="AQ1359" i="4" s="1"/>
  <c r="G1359" i="4"/>
  <c r="H1358" i="4"/>
  <c r="C1358" i="4"/>
  <c r="D1358" i="4"/>
  <c r="BE1360" i="4" l="1"/>
  <c r="BG1360" i="4" s="1"/>
  <c r="AQ1360" i="4" s="1"/>
  <c r="H1359" i="4"/>
  <c r="D1359" i="4" s="1"/>
  <c r="C1359" i="4"/>
  <c r="G1360" i="4"/>
  <c r="BE1361" i="4" l="1"/>
  <c r="BG1361" i="4" s="1"/>
  <c r="AQ1361" i="4" s="1"/>
  <c r="C1360" i="4"/>
  <c r="H1360" i="4"/>
  <c r="D1360" i="4" s="1"/>
  <c r="G1361" i="4"/>
  <c r="BE1362" i="4" l="1"/>
  <c r="BG1362" i="4" s="1"/>
  <c r="AQ1362" i="4" s="1"/>
  <c r="G1362" i="4"/>
  <c r="C1361" i="4"/>
  <c r="H1361" i="4"/>
  <c r="D1361" i="4" s="1"/>
  <c r="BE1363" i="4" l="1"/>
  <c r="BG1363" i="4" s="1"/>
  <c r="AQ1363" i="4" s="1"/>
  <c r="G1363" i="4"/>
  <c r="C1362" i="4"/>
  <c r="H1362" i="4"/>
  <c r="D1362" i="4" s="1"/>
  <c r="BE1364" i="4" l="1"/>
  <c r="BG1364" i="4" s="1"/>
  <c r="AQ1364" i="4" s="1"/>
  <c r="G1364" i="4"/>
  <c r="H1363" i="4"/>
  <c r="D1363" i="4" s="1"/>
  <c r="C1363" i="4"/>
  <c r="BE1365" i="4" l="1"/>
  <c r="BG1365" i="4" s="1"/>
  <c r="AQ1365" i="4" s="1"/>
  <c r="H1364" i="4"/>
  <c r="D1364" i="4" s="1"/>
  <c r="G1365" i="4"/>
  <c r="C1364" i="4"/>
  <c r="BE1366" i="4" l="1"/>
  <c r="BG1366" i="4" s="1"/>
  <c r="AQ1366" i="4" s="1"/>
  <c r="G1366" i="4"/>
  <c r="H1365" i="4"/>
  <c r="D1365" i="4" s="1"/>
  <c r="C1365" i="4"/>
  <c r="BE1367" i="4" l="1"/>
  <c r="BG1367" i="4" s="1"/>
  <c r="AQ1367" i="4" s="1"/>
  <c r="C1366" i="4"/>
  <c r="G1367" i="4"/>
  <c r="H1366" i="4"/>
  <c r="D1366" i="4" s="1"/>
  <c r="BE1368" i="4" l="1"/>
  <c r="BG1368" i="4" s="1"/>
  <c r="AQ1368" i="4" s="1"/>
  <c r="C1367" i="4"/>
  <c r="G1368" i="4"/>
  <c r="H1367" i="4"/>
  <c r="D1367" i="4" s="1"/>
  <c r="BE1369" i="4" l="1"/>
  <c r="BG1369" i="4" s="1"/>
  <c r="AQ1369" i="4" s="1"/>
  <c r="G1369" i="4"/>
  <c r="H1368" i="4"/>
  <c r="D1368" i="4" s="1"/>
  <c r="C1368" i="4"/>
  <c r="BE1370" i="4" l="1"/>
  <c r="BG1370" i="4" s="1"/>
  <c r="AQ1370" i="4" s="1"/>
  <c r="G1370" i="4"/>
  <c r="H1369" i="4"/>
  <c r="D1369" i="4" s="1"/>
  <c r="C1369" i="4"/>
  <c r="BE1371" i="4" l="1"/>
  <c r="BG1371" i="4" s="1"/>
  <c r="AQ1371" i="4" s="1"/>
  <c r="H1370" i="4"/>
  <c r="D1370" i="4" s="1"/>
  <c r="G1371" i="4"/>
  <c r="C1370" i="4"/>
  <c r="BE1372" i="4" l="1"/>
  <c r="BG1372" i="4" s="1"/>
  <c r="AQ1372" i="4" s="1"/>
  <c r="H1371" i="4"/>
  <c r="D1371" i="4" s="1"/>
  <c r="C1371" i="4"/>
  <c r="G1372" i="4"/>
  <c r="BE1373" i="4" l="1"/>
  <c r="BG1373" i="4" s="1"/>
  <c r="AQ1373" i="4" s="1"/>
  <c r="C1372" i="4"/>
  <c r="H1372" i="4"/>
  <c r="D1372" i="4" s="1"/>
  <c r="G1373" i="4"/>
  <c r="BE1374" i="4" l="1"/>
  <c r="BG1374" i="4" s="1"/>
  <c r="AQ1374" i="4" s="1"/>
  <c r="G1374" i="4"/>
  <c r="C1373" i="4"/>
  <c r="H1373" i="4"/>
  <c r="D1373" i="4" s="1"/>
  <c r="BE1375" i="4" l="1"/>
  <c r="BG1375" i="4" s="1"/>
  <c r="AQ1375" i="4" s="1"/>
  <c r="C1374" i="4"/>
  <c r="H1374" i="4"/>
  <c r="D1374" i="4" s="1"/>
  <c r="G1375" i="4"/>
  <c r="BE1376" i="4" l="1"/>
  <c r="BG1376" i="4" s="1"/>
  <c r="AQ1376" i="4" s="1"/>
  <c r="G1376" i="4"/>
  <c r="H1375" i="4"/>
  <c r="D1375" i="4" s="1"/>
  <c r="C1375" i="4"/>
  <c r="BE1377" i="4" l="1"/>
  <c r="BG1377" i="4" s="1"/>
  <c r="AQ1377" i="4" s="1"/>
  <c r="G1377" i="4"/>
  <c r="H1376" i="4"/>
  <c r="C1376" i="4"/>
  <c r="D1376" i="4"/>
  <c r="BE1378" i="4" l="1"/>
  <c r="BG1378" i="4" s="1"/>
  <c r="AQ1378" i="4" s="1"/>
  <c r="G1378" i="4"/>
  <c r="H1377" i="4"/>
  <c r="C1377" i="4"/>
  <c r="D1377" i="4"/>
  <c r="BE1379" i="4" l="1"/>
  <c r="BG1379" i="4" s="1"/>
  <c r="AQ1379" i="4" s="1"/>
  <c r="H1378" i="4"/>
  <c r="D1378" i="4"/>
  <c r="C1378" i="4"/>
  <c r="G1379" i="4"/>
  <c r="BE1380" i="4" l="1"/>
  <c r="BG1380" i="4" s="1"/>
  <c r="AQ1380" i="4" s="1"/>
  <c r="G1380" i="4"/>
  <c r="C1379" i="4"/>
  <c r="H1379" i="4"/>
  <c r="D1379" i="4" s="1"/>
  <c r="BE1381" i="4" l="1"/>
  <c r="BG1381" i="4" s="1"/>
  <c r="AQ1381" i="4" s="1"/>
  <c r="H1380" i="4"/>
  <c r="D1380" i="4" s="1"/>
  <c r="G1381" i="4"/>
  <c r="C1380" i="4"/>
  <c r="BE1382" i="4" l="1"/>
  <c r="BG1382" i="4" s="1"/>
  <c r="AQ1382" i="4" s="1"/>
  <c r="G1382" i="4"/>
  <c r="H1381" i="4"/>
  <c r="D1381" i="4" s="1"/>
  <c r="C1381" i="4"/>
  <c r="BE1383" i="4" l="1"/>
  <c r="BG1383" i="4" s="1"/>
  <c r="AQ1383" i="4" s="1"/>
  <c r="H1382" i="4"/>
  <c r="D1382" i="4" s="1"/>
  <c r="C1382" i="4"/>
  <c r="G1383" i="4"/>
  <c r="BE1384" i="4" l="1"/>
  <c r="BG1384" i="4" s="1"/>
  <c r="AQ1384" i="4" s="1"/>
  <c r="H1383" i="4"/>
  <c r="G1384" i="4"/>
  <c r="C1383" i="4"/>
  <c r="D1383" i="4"/>
  <c r="BE1385" i="4" l="1"/>
  <c r="BG1385" i="4" s="1"/>
  <c r="AQ1385" i="4" s="1"/>
  <c r="H1384" i="4"/>
  <c r="G1385" i="4"/>
  <c r="D1384" i="4"/>
  <c r="C1384" i="4"/>
  <c r="BE1386" i="4" l="1"/>
  <c r="BG1386" i="4" s="1"/>
  <c r="AQ1386" i="4" s="1"/>
  <c r="G1386" i="4"/>
  <c r="H1385" i="4"/>
  <c r="D1385" i="4" s="1"/>
  <c r="C1385" i="4"/>
  <c r="BE1387" i="4" l="1"/>
  <c r="BG1387" i="4" s="1"/>
  <c r="AQ1387" i="4" s="1"/>
  <c r="C1386" i="4"/>
  <c r="G1387" i="4"/>
  <c r="H1386" i="4"/>
  <c r="D1386" i="4" s="1"/>
  <c r="BE1388" i="4" l="1"/>
  <c r="BG1388" i="4" s="1"/>
  <c r="AQ1388" i="4" s="1"/>
  <c r="C1387" i="4"/>
  <c r="G1388" i="4"/>
  <c r="H1387" i="4"/>
  <c r="D1387" i="4" s="1"/>
  <c r="BE1389" i="4" l="1"/>
  <c r="BG1389" i="4" s="1"/>
  <c r="AQ1389" i="4" s="1"/>
  <c r="G1389" i="4"/>
  <c r="H1388" i="4"/>
  <c r="D1388" i="4" s="1"/>
  <c r="C1388" i="4"/>
  <c r="BE1390" i="4" l="1"/>
  <c r="BG1390" i="4" s="1"/>
  <c r="AQ1390" i="4" s="1"/>
  <c r="H1389" i="4"/>
  <c r="C1389" i="4"/>
  <c r="D1389" i="4"/>
  <c r="G1390" i="4"/>
  <c r="BE1391" i="4" l="1"/>
  <c r="BG1391" i="4" s="1"/>
  <c r="AQ1391" i="4" s="1"/>
  <c r="H1390" i="4"/>
  <c r="D1390" i="4" s="1"/>
  <c r="C1390" i="4"/>
  <c r="G1391" i="4"/>
  <c r="BE1392" i="4" l="1"/>
  <c r="BG1392" i="4" s="1"/>
  <c r="AQ1392" i="4" s="1"/>
  <c r="C1391" i="4"/>
  <c r="H1391" i="4"/>
  <c r="D1391" i="4" s="1"/>
  <c r="G1392" i="4"/>
  <c r="BE1393" i="4" l="1"/>
  <c r="BG1393" i="4" s="1"/>
  <c r="AQ1393" i="4" s="1"/>
  <c r="G1393" i="4"/>
  <c r="C1392" i="4"/>
  <c r="H1392" i="4"/>
  <c r="D1392" i="4" s="1"/>
  <c r="BE1394" i="4" l="1"/>
  <c r="BG1394" i="4" s="1"/>
  <c r="AQ1394" i="4" s="1"/>
  <c r="G1394" i="4"/>
  <c r="H1393" i="4"/>
  <c r="D1393" i="4" s="1"/>
  <c r="C1393" i="4"/>
  <c r="BE1395" i="4" l="1"/>
  <c r="BG1395" i="4" s="1"/>
  <c r="AQ1395" i="4" s="1"/>
  <c r="C1394" i="4"/>
  <c r="G1395" i="4"/>
  <c r="H1394" i="4"/>
  <c r="D1394" i="4" s="1"/>
  <c r="BE1396" i="4" l="1"/>
  <c r="BG1396" i="4" s="1"/>
  <c r="AQ1396" i="4" s="1"/>
  <c r="H1395" i="4"/>
  <c r="D1395" i="4" s="1"/>
  <c r="G1396" i="4"/>
  <c r="C1395" i="4"/>
  <c r="BE1397" i="4" l="1"/>
  <c r="BG1397" i="4" s="1"/>
  <c r="AQ1397" i="4" s="1"/>
  <c r="H1396" i="4"/>
  <c r="C1396" i="4"/>
  <c r="D1396" i="4"/>
  <c r="G1397" i="4"/>
  <c r="BE1398" i="4" l="1"/>
  <c r="BG1398" i="4" s="1"/>
  <c r="AQ1398" i="4" s="1"/>
  <c r="C1397" i="4"/>
  <c r="H1397" i="4"/>
  <c r="D1397" i="4" s="1"/>
  <c r="G1398" i="4"/>
  <c r="BE1399" i="4" l="1"/>
  <c r="BG1399" i="4" s="1"/>
  <c r="AQ1399" i="4" s="1"/>
  <c r="G1399" i="4"/>
  <c r="C1398" i="4"/>
  <c r="H1398" i="4"/>
  <c r="D1398" i="4" s="1"/>
  <c r="BE1400" i="4" l="1"/>
  <c r="BG1400" i="4" s="1"/>
  <c r="AQ1400" i="4" s="1"/>
  <c r="H1399" i="4"/>
  <c r="D1399" i="4" s="1"/>
  <c r="C1399" i="4"/>
  <c r="G1400" i="4"/>
  <c r="BE1401" i="4" l="1"/>
  <c r="BG1401" i="4" s="1"/>
  <c r="AQ1401" i="4" s="1"/>
  <c r="G1401" i="4"/>
  <c r="H1400" i="4"/>
  <c r="D1400" i="4" s="1"/>
  <c r="C1400" i="4"/>
  <c r="BE1402" i="4" l="1"/>
  <c r="BG1402" i="4" s="1"/>
  <c r="AQ1402" i="4" s="1"/>
  <c r="H1401" i="4"/>
  <c r="C1401" i="4"/>
  <c r="D1401" i="4"/>
  <c r="G1402" i="4"/>
  <c r="BE1403" i="4" l="1"/>
  <c r="BG1403" i="4" s="1"/>
  <c r="AQ1403" i="4" s="1"/>
  <c r="G1403" i="4"/>
  <c r="H1402" i="4"/>
  <c r="D1402" i="4"/>
  <c r="C1402" i="4"/>
  <c r="BE1404" i="4" l="1"/>
  <c r="BG1404" i="4" s="1"/>
  <c r="AQ1404" i="4" s="1"/>
  <c r="H1403" i="4"/>
  <c r="D1403" i="4" s="1"/>
  <c r="C1403" i="4"/>
  <c r="G1404" i="4"/>
  <c r="BE1405" i="4" l="1"/>
  <c r="BG1405" i="4" s="1"/>
  <c r="AQ1405" i="4" s="1"/>
  <c r="H1404" i="4"/>
  <c r="D1404" i="4" s="1"/>
  <c r="C1404" i="4"/>
  <c r="G1405" i="4"/>
  <c r="BE1406" i="4" l="1"/>
  <c r="BG1406" i="4" s="1"/>
  <c r="AQ1406" i="4" s="1"/>
  <c r="C1405" i="4"/>
  <c r="G1406" i="4"/>
  <c r="H1405" i="4"/>
  <c r="D1405" i="4" s="1"/>
  <c r="BE1407" i="4" l="1"/>
  <c r="BG1407" i="4" s="1"/>
  <c r="AQ1407" i="4" s="1"/>
  <c r="G1407" i="4"/>
  <c r="H1406" i="4"/>
  <c r="D1406" i="4" s="1"/>
  <c r="C1406" i="4"/>
  <c r="BY10" i="10"/>
  <c r="BE1408" i="4" l="1"/>
  <c r="BG1408" i="4" s="1"/>
  <c r="AQ1408" i="4" s="1"/>
  <c r="G1408" i="4"/>
  <c r="H1407" i="4"/>
  <c r="D1407" i="4" s="1"/>
  <c r="C1407" i="4"/>
  <c r="CA10" i="10"/>
  <c r="BY11" i="10"/>
  <c r="BZ10" i="10"/>
  <c r="BE1409" i="4" l="1"/>
  <c r="BG1409" i="4" s="1"/>
  <c r="AQ1409" i="4" s="1"/>
  <c r="H1408" i="4"/>
  <c r="C1408" i="4"/>
  <c r="D1408" i="4"/>
  <c r="G1409" i="4"/>
  <c r="CA11" i="10"/>
  <c r="BY12" i="10"/>
  <c r="BZ11" i="10"/>
  <c r="BE1410" i="4" l="1"/>
  <c r="BG1410" i="4" s="1"/>
  <c r="AQ1410" i="4" s="1"/>
  <c r="G1410" i="4"/>
  <c r="C1409" i="4"/>
  <c r="H1409" i="4"/>
  <c r="D1409" i="4" s="1"/>
  <c r="CA12" i="10"/>
  <c r="BY13" i="10"/>
  <c r="BZ12" i="10"/>
  <c r="BE1411" i="4" l="1"/>
  <c r="BG1411" i="4" s="1"/>
  <c r="AQ1411" i="4" s="1"/>
  <c r="G1411" i="4"/>
  <c r="H1410" i="4"/>
  <c r="D1410" i="4" s="1"/>
  <c r="C1410" i="4"/>
  <c r="CA13" i="10"/>
  <c r="BY14" i="10"/>
  <c r="BZ13" i="10"/>
  <c r="BE1412" i="4" l="1"/>
  <c r="BG1412" i="4" s="1"/>
  <c r="AQ1412" i="4" s="1"/>
  <c r="G1412" i="4"/>
  <c r="H1411" i="4"/>
  <c r="D1411" i="4" s="1"/>
  <c r="C1411" i="4"/>
  <c r="CA14" i="10"/>
  <c r="BZ14" i="10"/>
  <c r="BY15" i="10"/>
  <c r="BE1413" i="4" l="1"/>
  <c r="BG1413" i="4" s="1"/>
  <c r="AQ1413" i="4" s="1"/>
  <c r="H1412" i="4"/>
  <c r="C1412" i="4"/>
  <c r="G1413" i="4"/>
  <c r="D1412" i="4"/>
  <c r="CA15" i="10"/>
  <c r="BY16" i="10"/>
  <c r="BZ15" i="10"/>
  <c r="C1413" i="4" l="1"/>
  <c r="H1413" i="4"/>
  <c r="D1413" i="4" s="1"/>
  <c r="BY17" i="10"/>
  <c r="CA16" i="10"/>
  <c r="BZ16" i="10"/>
  <c r="CA17" i="10" l="1"/>
  <c r="BZ17" i="10"/>
  <c r="BY18" i="10"/>
  <c r="BZ18" i="10" l="1"/>
  <c r="BY19" i="10"/>
  <c r="CA18" i="10"/>
  <c r="BZ19" i="10" l="1"/>
  <c r="BY20" i="10"/>
  <c r="CA19" i="10"/>
  <c r="CA20" i="10" l="1"/>
  <c r="BZ20" i="10"/>
  <c r="BY21" i="10"/>
  <c r="CA21" i="10" l="1"/>
  <c r="BZ21" i="10"/>
  <c r="BY22" i="10"/>
  <c r="BZ22" i="10" l="1"/>
  <c r="CA22" i="10"/>
  <c r="BY23" i="10"/>
  <c r="CA23" i="10" l="1"/>
  <c r="BY24" i="10"/>
  <c r="BZ23" i="10"/>
  <c r="BZ24" i="10" l="1"/>
  <c r="CA24" i="10"/>
  <c r="BY25" i="10"/>
  <c r="CA25" i="10" l="1"/>
  <c r="BY26" i="10"/>
  <c r="BZ25" i="10"/>
  <c r="CA26" i="10" l="1"/>
  <c r="BZ26" i="10"/>
  <c r="BY27" i="10"/>
  <c r="CA27" i="10" l="1"/>
  <c r="BZ27" i="10"/>
  <c r="BY28" i="10"/>
  <c r="CA28" i="10" l="1"/>
  <c r="BY29" i="10"/>
  <c r="BZ28" i="10"/>
  <c r="CA29" i="10" l="1"/>
  <c r="BY30" i="10"/>
  <c r="BZ29" i="10"/>
  <c r="BY31" i="10" l="1"/>
  <c r="CA30" i="10"/>
  <c r="BZ30" i="10"/>
  <c r="CA31" i="10" l="1"/>
  <c r="BY32" i="10"/>
  <c r="BZ31" i="10"/>
  <c r="CA32" i="10" l="1"/>
  <c r="BZ32" i="10"/>
  <c r="BY33" i="10"/>
  <c r="CA33" i="10" l="1"/>
  <c r="BZ33" i="10"/>
  <c r="BY34" i="10"/>
  <c r="BY35" i="10" l="1"/>
  <c r="BZ34" i="10"/>
  <c r="BS5" i="10" s="1"/>
  <c r="CA34" i="10"/>
  <c r="BI3" i="10" l="1"/>
  <c r="H6" i="10" s="1"/>
  <c r="BT5" i="10"/>
  <c r="BZ35" i="10"/>
  <c r="BY36" i="10"/>
  <c r="CA35" i="10"/>
  <c r="CR4" i="10" l="1"/>
  <c r="CI4" i="10"/>
  <c r="CQ3" i="10"/>
  <c r="BM151" i="10"/>
  <c r="CR150" i="10"/>
  <c r="BQ154" i="10"/>
  <c r="BZ36" i="10"/>
  <c r="BY37" i="10"/>
  <c r="CA36" i="10"/>
  <c r="CA37" i="10" l="1"/>
  <c r="BZ37" i="10"/>
  <c r="BY38" i="10"/>
  <c r="CL4" i="10"/>
  <c r="CP2" i="10" s="1"/>
  <c r="CM4" i="10"/>
  <c r="CN4" i="10"/>
  <c r="CK4" i="10"/>
  <c r="CI5" i="10" s="1"/>
  <c r="CK5" i="10" l="1"/>
  <c r="CI6" i="10"/>
  <c r="CL5" i="10"/>
  <c r="CN5" i="10"/>
  <c r="CM5" i="10"/>
  <c r="BY39" i="10"/>
  <c r="BZ38" i="10"/>
  <c r="CA38" i="10"/>
  <c r="CL6" i="10" l="1"/>
  <c r="CN6" i="10"/>
  <c r="CI7" i="10"/>
  <c r="CM6" i="10"/>
  <c r="CK6" i="10"/>
  <c r="BY40" i="10"/>
  <c r="CA39" i="10"/>
  <c r="BZ39" i="10"/>
  <c r="CK7" i="10" l="1"/>
  <c r="CI8" i="10"/>
  <c r="CL7" i="10"/>
  <c r="CM7" i="10"/>
  <c r="CN7" i="10"/>
  <c r="BY41" i="10"/>
  <c r="CA40" i="10"/>
  <c r="BZ40" i="10"/>
  <c r="BY42" i="10" l="1"/>
  <c r="BZ41" i="10"/>
  <c r="CA41" i="10"/>
  <c r="CN8" i="10"/>
  <c r="CM8" i="10"/>
  <c r="CK8" i="10"/>
  <c r="CI9" i="10"/>
  <c r="CL8" i="10"/>
  <c r="CL9" i="10" l="1"/>
  <c r="CI10" i="10"/>
  <c r="CN9" i="10"/>
  <c r="CM9" i="10"/>
  <c r="CK9" i="10"/>
  <c r="CA42" i="10"/>
  <c r="BZ42" i="10"/>
  <c r="BY43" i="10"/>
  <c r="CA43" i="10" l="1"/>
  <c r="BZ43" i="10"/>
  <c r="BY44" i="10"/>
  <c r="CM10" i="10"/>
  <c r="CI11" i="10"/>
  <c r="CL10" i="10"/>
  <c r="CN10" i="10"/>
  <c r="CK10" i="10"/>
  <c r="CL11" i="10" l="1"/>
  <c r="CM11" i="10"/>
  <c r="CI12" i="10"/>
  <c r="CN11" i="10"/>
  <c r="CK11" i="10"/>
  <c r="CA44" i="10"/>
  <c r="BY45" i="10"/>
  <c r="BZ44" i="10"/>
  <c r="CM12" i="10" l="1"/>
  <c r="CN12" i="10"/>
  <c r="CL12" i="10"/>
  <c r="CI13" i="10"/>
  <c r="CK12" i="10"/>
  <c r="BY46" i="10"/>
  <c r="CA45" i="10"/>
  <c r="BZ45" i="10"/>
  <c r="CA46" i="10" l="1"/>
  <c r="BY47" i="10"/>
  <c r="BZ46" i="10"/>
  <c r="CI14" i="10"/>
  <c r="CM13" i="10"/>
  <c r="CL13" i="10"/>
  <c r="CN13" i="10"/>
  <c r="CK13" i="10"/>
  <c r="CK14" i="10" l="1"/>
  <c r="CL14" i="10"/>
  <c r="CM14" i="10"/>
  <c r="CI15" i="10"/>
  <c r="CN14" i="10"/>
  <c r="CA47" i="10"/>
  <c r="BY48" i="10"/>
  <c r="BZ47" i="10"/>
  <c r="CK15" i="10" l="1"/>
  <c r="CN15" i="10"/>
  <c r="CI16" i="10"/>
  <c r="CL15" i="10"/>
  <c r="CM15" i="10"/>
  <c r="BZ48" i="10"/>
  <c r="CA48" i="10"/>
  <c r="BY49" i="10"/>
  <c r="BY50" i="10" l="1"/>
  <c r="BZ49" i="10"/>
  <c r="CA49" i="10"/>
  <c r="CN16" i="10"/>
  <c r="CM16" i="10"/>
  <c r="CL16" i="10"/>
  <c r="CK16" i="10"/>
  <c r="CI17" i="10"/>
  <c r="CM17" i="10" l="1"/>
  <c r="CL17" i="10"/>
  <c r="CI18" i="10"/>
  <c r="CN17" i="10"/>
  <c r="CK17" i="10"/>
  <c r="BY51" i="10"/>
  <c r="CA50" i="10"/>
  <c r="BZ50" i="10"/>
  <c r="BZ51" i="10" l="1"/>
  <c r="CA51" i="10"/>
  <c r="BY52" i="10"/>
  <c r="CN18" i="10"/>
  <c r="CL18" i="10"/>
  <c r="CM18" i="10"/>
  <c r="CI19" i="10"/>
  <c r="CK18" i="10"/>
  <c r="BZ52" i="10" l="1"/>
  <c r="BY53" i="10"/>
  <c r="CA52" i="10"/>
  <c r="CM19" i="10"/>
  <c r="BT6" i="10" s="1"/>
  <c r="CN19" i="10"/>
  <c r="CI20" i="10"/>
  <c r="CL19" i="10"/>
  <c r="CK19" i="10"/>
  <c r="CA53" i="10" l="1"/>
  <c r="BY54" i="10"/>
  <c r="BZ53" i="10"/>
  <c r="CI21" i="10"/>
  <c r="CK20" i="10"/>
  <c r="CL20" i="10"/>
  <c r="CM20" i="10"/>
  <c r="CN20" i="10"/>
  <c r="BS8" i="10"/>
  <c r="BS7" i="10"/>
  <c r="BS6" i="10"/>
  <c r="BL3" i="10" l="1"/>
  <c r="H7" i="10"/>
  <c r="BJ3" i="10"/>
  <c r="BT7" i="10"/>
  <c r="BM3" i="10"/>
  <c r="BT17" i="10"/>
  <c r="BH13" i="10"/>
  <c r="CN21" i="10"/>
  <c r="CI22" i="10"/>
  <c r="CL21" i="10"/>
  <c r="CM21" i="10"/>
  <c r="CK21" i="10"/>
  <c r="BZ54" i="10"/>
  <c r="CA54" i="10"/>
  <c r="BY55" i="10"/>
  <c r="DA187" i="10" l="1"/>
  <c r="DD187" i="10"/>
  <c r="K10" i="10"/>
  <c r="BV4" i="10"/>
  <c r="BV8" i="10"/>
  <c r="BV14" i="10"/>
  <c r="CZ187" i="10"/>
  <c r="AG10" i="10" s="1"/>
  <c r="BV6" i="10"/>
  <c r="BH120" i="10" s="1"/>
  <c r="BT15" i="10"/>
  <c r="BT16" i="10" s="1"/>
  <c r="BY164" i="10"/>
  <c r="BZ164" i="10" s="1"/>
  <c r="BV164" i="10" s="1"/>
  <c r="BW164" i="10" s="1"/>
  <c r="BT14" i="10"/>
  <c r="BT26" i="10" s="1"/>
  <c r="BV5" i="10"/>
  <c r="BV2" i="10" s="1"/>
  <c r="CL188" i="10"/>
  <c r="CM188" i="10" s="1"/>
  <c r="CI188" i="10" s="1"/>
  <c r="CJ188" i="10" s="1"/>
  <c r="CL164" i="10" s="1"/>
  <c r="CM164" i="10" s="1"/>
  <c r="CI164" i="10" s="1"/>
  <c r="CJ164" i="10" s="1"/>
  <c r="BY188" i="10"/>
  <c r="BZ188" i="10" s="1"/>
  <c r="BV188" i="10" s="1"/>
  <c r="BW188" i="10" s="1"/>
  <c r="BT12" i="10"/>
  <c r="BT23" i="10" s="1"/>
  <c r="BV12" i="10"/>
  <c r="BT13" i="10"/>
  <c r="BJ263" i="10"/>
  <c r="DC187" i="10"/>
  <c r="BV7" i="10"/>
  <c r="CN22" i="10"/>
  <c r="CK22" i="10"/>
  <c r="CI23" i="10"/>
  <c r="CM22" i="10"/>
  <c r="CL22" i="10"/>
  <c r="T6" i="10"/>
  <c r="BK164" i="10"/>
  <c r="BL164" i="10" s="1"/>
  <c r="BI164" i="10"/>
  <c r="BJ164" i="10" s="1"/>
  <c r="BH164" i="10"/>
  <c r="BY56" i="10"/>
  <c r="CA55" i="10"/>
  <c r="BZ55" i="10"/>
  <c r="BH16" i="10"/>
  <c r="AP6" i="10"/>
  <c r="BH14" i="10"/>
  <c r="BH112" i="10" l="1"/>
  <c r="BH116" i="10" s="1"/>
  <c r="AY29" i="10"/>
  <c r="AK18" i="10" s="1"/>
  <c r="BK126" i="10" s="1"/>
  <c r="AY25" i="10"/>
  <c r="AK16" i="10" s="1"/>
  <c r="BU21" i="10"/>
  <c r="A24" i="10"/>
  <c r="AY27" i="10"/>
  <c r="AK17" i="10" s="1"/>
  <c r="AG17" i="10" s="1"/>
  <c r="BI123" i="10"/>
  <c r="BF31" i="10"/>
  <c r="BH123" i="10"/>
  <c r="BZ56" i="10"/>
  <c r="BY57" i="10"/>
  <c r="CA56" i="10"/>
  <c r="CI24" i="10"/>
  <c r="CN23" i="10"/>
  <c r="CM23" i="10"/>
  <c r="CK23" i="10"/>
  <c r="CL23" i="10"/>
  <c r="BT24" i="10"/>
  <c r="BT25" i="10"/>
  <c r="BJ15" i="10"/>
  <c r="BN14" i="10" s="1"/>
  <c r="H8" i="10"/>
  <c r="BT22" i="10"/>
  <c r="BW12" i="10"/>
  <c r="BH132" i="10" s="1"/>
  <c r="AG18" i="10" l="1"/>
  <c r="BF110" i="10" s="1"/>
  <c r="BK140" i="10"/>
  <c r="BL140" i="10" s="1"/>
  <c r="BL126" i="10"/>
  <c r="BM126" i="10" s="1"/>
  <c r="BJ39" i="10"/>
  <c r="BI39" i="10" s="1"/>
  <c r="BG21" i="10" s="1"/>
  <c r="BG12" i="10" s="1"/>
  <c r="AC23" i="10"/>
  <c r="AG16" i="10"/>
  <c r="AJ23" i="10"/>
  <c r="BI116" i="10"/>
  <c r="BT21" i="10"/>
  <c r="BT20" i="10" s="1"/>
  <c r="N11" i="10" s="1"/>
  <c r="N16" i="10" s="1"/>
  <c r="BH121" i="10" s="1"/>
  <c r="BF32" i="10"/>
  <c r="BF33" i="10" s="1"/>
  <c r="BH136" i="10"/>
  <c r="BI136" i="10"/>
  <c r="CA57" i="10"/>
  <c r="BZ57" i="10"/>
  <c r="BY58" i="10"/>
  <c r="CM24" i="10"/>
  <c r="CK24" i="10"/>
  <c r="CI25" i="10"/>
  <c r="CL24" i="10"/>
  <c r="CN24" i="10"/>
  <c r="N12" i="10"/>
  <c r="N21" i="10" s="1"/>
  <c r="BF106" i="10" l="1"/>
  <c r="BF99" i="10"/>
  <c r="BM140" i="10"/>
  <c r="BC29" i="10"/>
  <c r="AX127" i="10"/>
  <c r="BF119" i="10"/>
  <c r="BF29" i="10"/>
  <c r="BI36" i="10"/>
  <c r="BM38" i="10"/>
  <c r="BK36" i="10"/>
  <c r="BL132" i="10"/>
  <c r="BJ36" i="10"/>
  <c r="BK112" i="10"/>
  <c r="BK38" i="10"/>
  <c r="BL112" i="10"/>
  <c r="BH124" i="10"/>
  <c r="BI137" i="10"/>
  <c r="AZ30" i="10"/>
  <c r="BB60" i="10"/>
  <c r="BI124" i="10"/>
  <c r="BH133" i="10"/>
  <c r="BH117" i="10"/>
  <c r="BI38" i="10"/>
  <c r="AZ32" i="10" s="1"/>
  <c r="BJ38" i="10"/>
  <c r="BI117" i="10"/>
  <c r="BK116" i="10" s="1"/>
  <c r="BK132" i="10"/>
  <c r="BH137" i="10"/>
  <c r="BG34" i="10"/>
  <c r="CM25" i="10"/>
  <c r="CK25" i="10"/>
  <c r="CN25" i="10"/>
  <c r="CL25" i="10"/>
  <c r="CI26" i="10"/>
  <c r="BZ58" i="10"/>
  <c r="CA58" i="10"/>
  <c r="BY59" i="10"/>
  <c r="AX30" i="10" l="1"/>
  <c r="BC100" i="10"/>
  <c r="BI43" i="10"/>
  <c r="BL123" i="10"/>
  <c r="BM123" i="10" s="1"/>
  <c r="BA37" i="10"/>
  <c r="BI42" i="10"/>
  <c r="BI41" i="10"/>
  <c r="BL136" i="10"/>
  <c r="BM136" i="10" s="1"/>
  <c r="BL116" i="10"/>
  <c r="BM116" i="10" s="1"/>
  <c r="BY60" i="10"/>
  <c r="BZ59" i="10"/>
  <c r="CA59" i="10"/>
  <c r="CL26" i="10"/>
  <c r="CI27" i="10"/>
  <c r="CK26" i="10"/>
  <c r="CN26" i="10"/>
  <c r="CM26" i="10"/>
  <c r="AG12" i="10" l="1"/>
  <c r="Z22" i="10" s="1"/>
  <c r="AT41" i="10"/>
  <c r="BF105" i="10"/>
  <c r="BC106" i="10" s="1"/>
  <c r="AZ115" i="10" s="1"/>
  <c r="BI46" i="10"/>
  <c r="BF100" i="10"/>
  <c r="BA124" i="10" s="1"/>
  <c r="BF109" i="10"/>
  <c r="BB124" i="10" s="1"/>
  <c r="BF120" i="10"/>
  <c r="BC124" i="10" s="1"/>
  <c r="BC105" i="10"/>
  <c r="BJ43" i="10"/>
  <c r="AJ25" i="10" s="1"/>
  <c r="BF118" i="10"/>
  <c r="BA115" i="10" s="1"/>
  <c r="BF98" i="10"/>
  <c r="AY115" i="10" s="1"/>
  <c r="BJ42" i="10"/>
  <c r="AJ24" i="10" s="1"/>
  <c r="CL27" i="10"/>
  <c r="CI28" i="10"/>
  <c r="CN27" i="10"/>
  <c r="CK27" i="10"/>
  <c r="CM27" i="10"/>
  <c r="BY61" i="10"/>
  <c r="CA60" i="10"/>
  <c r="BZ60" i="10"/>
  <c r="BF123" i="10" l="1"/>
  <c r="BC121" i="10"/>
  <c r="AY38" i="10" s="1"/>
  <c r="BC99" i="10"/>
  <c r="BA60" i="10" s="1"/>
  <c r="CA61" i="10"/>
  <c r="BZ61" i="10"/>
  <c r="BY62" i="10"/>
  <c r="CM28" i="10"/>
  <c r="CL28" i="10"/>
  <c r="CK28" i="10"/>
  <c r="CN28" i="10"/>
  <c r="CI29" i="10"/>
  <c r="AT23" i="10" l="1"/>
  <c r="BB115" i="10"/>
  <c r="CA62" i="10"/>
  <c r="BY63" i="10"/>
  <c r="BZ62" i="10"/>
  <c r="CK29" i="10"/>
  <c r="CN29" i="10"/>
  <c r="CL29" i="10"/>
  <c r="CM29" i="10"/>
  <c r="CI30" i="10"/>
  <c r="AR41" i="10" l="1"/>
  <c r="AG19" i="10"/>
  <c r="CL30" i="10"/>
  <c r="CN30" i="10"/>
  <c r="CI31" i="10"/>
  <c r="CK30" i="10"/>
  <c r="CM30" i="10"/>
  <c r="BY64" i="10"/>
  <c r="BZ63" i="10"/>
  <c r="CA63" i="10"/>
  <c r="BK42" i="10" l="1"/>
  <c r="BL42" i="10" s="1"/>
  <c r="AO24" i="10" s="1"/>
  <c r="BK43" i="10"/>
  <c r="BL43" i="10" s="1"/>
  <c r="AO25" i="10" s="1"/>
  <c r="AG22" i="10"/>
  <c r="BI40" i="10"/>
  <c r="BY65" i="10"/>
  <c r="BZ64" i="10"/>
  <c r="CA64" i="10"/>
  <c r="CN31" i="10"/>
  <c r="CL31" i="10"/>
  <c r="CK31" i="10"/>
  <c r="CI32" i="10"/>
  <c r="CM31" i="10"/>
  <c r="CL32" i="10" l="1"/>
  <c r="CN32" i="10"/>
  <c r="CM32" i="10"/>
  <c r="CK32" i="10"/>
  <c r="CI33" i="10"/>
  <c r="BY66" i="10"/>
  <c r="CA65" i="10"/>
  <c r="BZ65" i="10"/>
  <c r="CI34" i="10" l="1"/>
  <c r="CK33" i="10"/>
  <c r="CM33" i="10"/>
  <c r="CL33" i="10"/>
  <c r="CN33" i="10"/>
  <c r="BY67" i="10"/>
  <c r="CA66" i="10"/>
  <c r="BZ66" i="10"/>
  <c r="CA67" i="10" l="1"/>
  <c r="BY68" i="10"/>
  <c r="BZ67" i="10"/>
  <c r="CL34" i="10"/>
  <c r="CM34" i="10"/>
  <c r="CI35" i="10"/>
  <c r="CK34" i="10"/>
  <c r="CN34" i="10"/>
  <c r="CN35" i="10" l="1"/>
  <c r="CI36" i="10"/>
  <c r="CM35" i="10"/>
  <c r="CK35" i="10"/>
  <c r="CL35" i="10"/>
  <c r="CA68" i="10"/>
  <c r="BZ68" i="10"/>
  <c r="CK36" i="10" l="1"/>
  <c r="CI37" i="10"/>
  <c r="CN36" i="10"/>
  <c r="CL36" i="10"/>
  <c r="CM36" i="10"/>
  <c r="CL37" i="10" l="1"/>
  <c r="CI38" i="10"/>
  <c r="CM37" i="10"/>
  <c r="CN37" i="10"/>
  <c r="CK37" i="10"/>
  <c r="CI39" i="10" l="1"/>
  <c r="CL38" i="10"/>
  <c r="CN38" i="10"/>
  <c r="CM38" i="10"/>
  <c r="CK38" i="10"/>
  <c r="CL39" i="10" l="1"/>
  <c r="CM39" i="10"/>
  <c r="CN39" i="10"/>
  <c r="CK39" i="10"/>
  <c r="CI40" i="10"/>
  <c r="CK40" i="10" l="1"/>
  <c r="CL40" i="10"/>
  <c r="CN40" i="10"/>
  <c r="CI41" i="10"/>
  <c r="CM40" i="10"/>
  <c r="CI42" i="10" l="1"/>
  <c r="CK41" i="10"/>
  <c r="CM41" i="10"/>
  <c r="CN41" i="10"/>
  <c r="CL41" i="10"/>
  <c r="CN42" i="10" l="1"/>
  <c r="CI43" i="10"/>
  <c r="CL42" i="10"/>
  <c r="CM42" i="10"/>
  <c r="CK42" i="10"/>
  <c r="CL43" i="10" l="1"/>
  <c r="CK43" i="10"/>
  <c r="CN43" i="10"/>
  <c r="CI44" i="10"/>
  <c r="CM43" i="10"/>
  <c r="CM44" i="10" l="1"/>
  <c r="CK44" i="10"/>
  <c r="CN44" i="10"/>
  <c r="CI45" i="10"/>
  <c r="CL44" i="10"/>
  <c r="CK45" i="10" l="1"/>
  <c r="CI46" i="10"/>
  <c r="CN45" i="10"/>
  <c r="CL45" i="10"/>
  <c r="CM45" i="10"/>
  <c r="CK46" i="10" l="1"/>
  <c r="CI47" i="10"/>
  <c r="CM46" i="10"/>
  <c r="CN46" i="10"/>
  <c r="CL46" i="10"/>
  <c r="CI48" i="10" l="1"/>
  <c r="CL47" i="10"/>
  <c r="CM47" i="10"/>
  <c r="CN47" i="10"/>
  <c r="CK47" i="10"/>
  <c r="CM48" i="10" l="1"/>
  <c r="CL48" i="10"/>
  <c r="CK48" i="10"/>
  <c r="CI49" i="10"/>
  <c r="CN48" i="10"/>
  <c r="CL49" i="10" l="1"/>
  <c r="CM49" i="10"/>
  <c r="CK49" i="10"/>
  <c r="CI50" i="10"/>
  <c r="CN49" i="10"/>
  <c r="CN50" i="10" l="1"/>
  <c r="CK50" i="10"/>
  <c r="CM50" i="10"/>
  <c r="CL50" i="10"/>
  <c r="CI51" i="10"/>
  <c r="CL51" i="10" l="1"/>
  <c r="CN51" i="10"/>
  <c r="CK51" i="10"/>
  <c r="CI52" i="10"/>
  <c r="CM51" i="10"/>
  <c r="CN52" i="10" l="1"/>
  <c r="CI53" i="10"/>
  <c r="CM52" i="10"/>
  <c r="CL52" i="10"/>
  <c r="CK52" i="10"/>
  <c r="CM53" i="10" l="1"/>
  <c r="CI54" i="10"/>
  <c r="CL53" i="10"/>
  <c r="CK53" i="10"/>
  <c r="CN53" i="10"/>
  <c r="CI55" i="10" l="1"/>
  <c r="CK54" i="10"/>
  <c r="CL54" i="10"/>
  <c r="CN54" i="10"/>
  <c r="CM54" i="10"/>
  <c r="CM55" i="10" l="1"/>
  <c r="CI56" i="10"/>
  <c r="CK55" i="10"/>
  <c r="CL55" i="10"/>
  <c r="CN55" i="10"/>
  <c r="CN56" i="10" l="1"/>
  <c r="CI57" i="10"/>
  <c r="CL56" i="10"/>
  <c r="CM56" i="10"/>
  <c r="CK56" i="10"/>
  <c r="CM57" i="10" l="1"/>
  <c r="CK57" i="10"/>
  <c r="CI58" i="10"/>
  <c r="CN57" i="10"/>
  <c r="CL57" i="10"/>
  <c r="CK58" i="10" l="1"/>
  <c r="CL58" i="10"/>
  <c r="CM58" i="10"/>
  <c r="CN58" i="10"/>
  <c r="CI59" i="10"/>
  <c r="CN59" i="10" l="1"/>
  <c r="CI60" i="10"/>
  <c r="CL59" i="10"/>
  <c r="CK59" i="10"/>
  <c r="CM59" i="10"/>
  <c r="CK60" i="10" l="1"/>
  <c r="CI61" i="10"/>
  <c r="CL60" i="10"/>
  <c r="CM60" i="10"/>
  <c r="CN60" i="10"/>
  <c r="CL61" i="10" l="1"/>
  <c r="CM61" i="10"/>
  <c r="CI62" i="10"/>
  <c r="CN61" i="10"/>
  <c r="CK61" i="10"/>
  <c r="CL62" i="10" l="1"/>
  <c r="CM62" i="10"/>
  <c r="CK62" i="10"/>
  <c r="CI63" i="10"/>
  <c r="CN62" i="10"/>
  <c r="CM63" i="10" l="1"/>
  <c r="CL63" i="10"/>
  <c r="CI64" i="10"/>
  <c r="CN63" i="10"/>
  <c r="CK63" i="10"/>
  <c r="CM64" i="10" l="1"/>
  <c r="CN64" i="10"/>
  <c r="CI65" i="10"/>
  <c r="CK64" i="10"/>
  <c r="CL64" i="10"/>
  <c r="CK65" i="10" l="1"/>
  <c r="CL65" i="10"/>
  <c r="CN65" i="10"/>
  <c r="CM65" i="10"/>
</calcChain>
</file>

<file path=xl/comments1.xml><?xml version="1.0" encoding="utf-8"?>
<comments xmlns="http://schemas.openxmlformats.org/spreadsheetml/2006/main">
  <authors>
    <author>권기렬(대리)</author>
    <author>최은지(계장)</author>
    <author>이준환(대리)</author>
  </authors>
  <commentList>
    <comment ref="BV4" authorId="0">
      <text>
        <r>
          <rPr>
            <b/>
            <sz val="9"/>
            <color indexed="81"/>
            <rFont val="돋움"/>
            <family val="3"/>
            <charset val="129"/>
          </rPr>
          <t>권기렬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대리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잔가군
</t>
        </r>
      </text>
    </comment>
    <comment ref="BT10" authorId="0">
      <text>
        <r>
          <rPr>
            <b/>
            <sz val="9"/>
            <color indexed="81"/>
            <rFont val="돋움"/>
            <family val="3"/>
            <charset val="129"/>
          </rPr>
          <t>권기렬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대리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국산</t>
        </r>
      </text>
    </comment>
    <comment ref="BE13" authorId="1">
      <text>
        <r>
          <rPr>
            <b/>
            <sz val="9"/>
            <color indexed="81"/>
            <rFont val="돋움"/>
            <family val="3"/>
            <charset val="129"/>
          </rPr>
          <t>역각자</t>
        </r>
      </text>
    </comment>
    <comment ref="BG27" authorId="0">
      <text>
        <r>
          <rPr>
            <sz val="9"/>
            <color indexed="81"/>
            <rFont val="돋움"/>
            <family val="3"/>
            <charset val="129"/>
          </rPr>
          <t xml:space="preserve">개월수
</t>
        </r>
      </text>
    </comment>
    <comment ref="BK123" authorId="2">
      <text>
        <r>
          <rPr>
            <b/>
            <sz val="9"/>
            <color indexed="81"/>
            <rFont val="돋움"/>
            <family val="3"/>
            <charset val="129"/>
          </rPr>
          <t>이준환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대리</t>
        </r>
        <r>
          <rPr>
            <b/>
            <sz val="9"/>
            <color indexed="81"/>
            <rFont val="Tahoma"/>
            <family val="2"/>
          </rPr>
          <t>):</t>
        </r>
        <r>
          <rPr>
            <b/>
            <sz val="9"/>
            <color indexed="81"/>
            <rFont val="돋움"/>
            <family val="3"/>
            <charset val="129"/>
          </rPr>
          <t>아우디</t>
        </r>
        <r>
          <rPr>
            <b/>
            <sz val="9"/>
            <color indexed="81"/>
            <rFont val="Tahoma"/>
            <family val="2"/>
          </rPr>
          <t xml:space="preserve">A8 </t>
        </r>
        <r>
          <rPr>
            <b/>
            <sz val="9"/>
            <color indexed="81"/>
            <rFont val="돋움"/>
            <family val="3"/>
            <charset val="129"/>
          </rPr>
          <t>잔가보장</t>
        </r>
        <r>
          <rPr>
            <b/>
            <sz val="9"/>
            <color indexed="81"/>
            <rFont val="Tahoma"/>
            <family val="2"/>
          </rPr>
          <t xml:space="preserve"> 1.5% , 60</t>
        </r>
        <r>
          <rPr>
            <b/>
            <sz val="9"/>
            <color indexed="81"/>
            <rFont val="돋움"/>
            <family val="3"/>
            <charset val="129"/>
          </rPr>
          <t>개월개별잔가</t>
        </r>
        <r>
          <rPr>
            <b/>
            <sz val="9"/>
            <color indexed="81"/>
            <rFont val="Tahoma"/>
            <family val="2"/>
          </rPr>
          <t xml:space="preserve"> 2%</t>
        </r>
        <r>
          <rPr>
            <b/>
            <sz val="9"/>
            <color indexed="81"/>
            <rFont val="돋움"/>
            <family val="3"/>
            <charset val="129"/>
          </rPr>
          <t>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반영
</t>
        </r>
      </text>
    </comment>
  </commentList>
</comments>
</file>

<file path=xl/sharedStrings.xml><?xml version="1.0" encoding="utf-8"?>
<sst xmlns="http://schemas.openxmlformats.org/spreadsheetml/2006/main" count="23155" uniqueCount="4008">
  <si>
    <t>개인(개인사업자)</t>
  </si>
  <si>
    <t>법인사업자</t>
  </si>
  <si>
    <t>주민등록등본 1통</t>
  </si>
  <si>
    <t>자동이체통장사본</t>
  </si>
  <si>
    <t>법인등기부등본1통</t>
  </si>
  <si>
    <t>대표이사 주민등록등본 1통</t>
  </si>
  <si>
    <t>신분증(운전면허증)사본</t>
  </si>
  <si>
    <t>법인사업자등록증 사본</t>
  </si>
  <si>
    <t>대표이사 신분증사본</t>
  </si>
  <si>
    <t>재산세과세증명서 1통</t>
  </si>
  <si>
    <t>대표이사 재산세증명서 1통</t>
  </si>
  <si>
    <t>개인사업자등록증사본</t>
  </si>
  <si>
    <t>부가세과세증명서 1통</t>
  </si>
  <si>
    <t>▣ 차량정보</t>
    <phoneticPr fontId="2" type="noConversion"/>
  </si>
  <si>
    <t>모델명</t>
    <phoneticPr fontId="2" type="noConversion"/>
  </si>
  <si>
    <t>▣ 취득원가 정보</t>
    <phoneticPr fontId="2" type="noConversion"/>
  </si>
  <si>
    <t>▣ 리스 조건</t>
    <phoneticPr fontId="2" type="noConversion"/>
  </si>
  <si>
    <t>리스상품</t>
    <phoneticPr fontId="2" type="noConversion"/>
  </si>
  <si>
    <t>리스기간</t>
    <phoneticPr fontId="2" type="noConversion"/>
  </si>
  <si>
    <t>등록명의</t>
    <phoneticPr fontId="2" type="noConversion"/>
  </si>
  <si>
    <t>탁 송 료</t>
    <phoneticPr fontId="2" type="noConversion"/>
  </si>
  <si>
    <t>약정거리</t>
    <phoneticPr fontId="2" type="noConversion"/>
  </si>
  <si>
    <t>보증금</t>
    <phoneticPr fontId="2" type="noConversion"/>
  </si>
  <si>
    <t>기타비용</t>
    <phoneticPr fontId="2" type="noConversion"/>
  </si>
  <si>
    <t>잔존가치</t>
    <phoneticPr fontId="2" type="noConversion"/>
  </si>
  <si>
    <t>자동차세(월)</t>
    <phoneticPr fontId="2" type="noConversion"/>
  </si>
  <si>
    <t>할인가격</t>
    <phoneticPr fontId="2" type="noConversion"/>
  </si>
  <si>
    <t>배기량</t>
    <phoneticPr fontId="2" type="noConversion"/>
  </si>
  <si>
    <t>차량가격(최종)</t>
    <phoneticPr fontId="2" type="noConversion"/>
  </si>
  <si>
    <t>기본가격</t>
    <phoneticPr fontId="2" type="noConversion"/>
  </si>
  <si>
    <t>원
가
정
보</t>
    <phoneticPr fontId="2" type="noConversion"/>
  </si>
  <si>
    <t>취 득 세</t>
    <phoneticPr fontId="2" type="noConversion"/>
  </si>
  <si>
    <t>공채(할인)</t>
    <phoneticPr fontId="2" type="noConversion"/>
  </si>
  <si>
    <t>기
타</t>
    <phoneticPr fontId="2" type="noConversion"/>
  </si>
  <si>
    <t>리스료납부방식</t>
    <phoneticPr fontId="2" type="noConversion"/>
  </si>
  <si>
    <t>1개월 후불</t>
    <phoneticPr fontId="2" type="noConversion"/>
  </si>
  <si>
    <t>만기 처리</t>
    <phoneticPr fontId="2" type="noConversion"/>
  </si>
  <si>
    <t>순리스료</t>
    <phoneticPr fontId="2" type="noConversion"/>
  </si>
  <si>
    <t>리스료산정기준</t>
    <phoneticPr fontId="2" type="noConversion"/>
  </si>
  <si>
    <t>등록지역</t>
    <phoneticPr fontId="2" type="noConversion"/>
  </si>
  <si>
    <t>인천</t>
    <phoneticPr fontId="2" type="noConversion"/>
  </si>
  <si>
    <t>입금계좌</t>
    <phoneticPr fontId="2" type="noConversion"/>
  </si>
  <si>
    <t>▣ 고객정보</t>
    <phoneticPr fontId="2" type="noConversion"/>
  </si>
  <si>
    <t>고객명</t>
    <phoneticPr fontId="2" type="noConversion"/>
  </si>
  <si>
    <t>견적발행일</t>
    <phoneticPr fontId="2" type="noConversion"/>
  </si>
  <si>
    <t>▣ 계약안내사항</t>
    <phoneticPr fontId="2" type="noConversion"/>
  </si>
  <si>
    <t>고객
주의
사항</t>
    <phoneticPr fontId="2" type="noConversion"/>
  </si>
  <si>
    <t>*차량반납시 주행거리 및 차량상태에 따라 감가금액이 발생할 수 있습니다.</t>
    <phoneticPr fontId="2" type="noConversion"/>
  </si>
  <si>
    <t>*계약기간 내 중도해지시 해지수수료가 발생합니다.(리스 약관 참조)</t>
    <phoneticPr fontId="2" type="noConversion"/>
  </si>
  <si>
    <t>*계약승계시 승계수수료 및 부대비용이 발생합니다.(리스 약관 참조)</t>
    <phoneticPr fontId="2" type="noConversion"/>
  </si>
  <si>
    <t>법인자동이체 통장사본</t>
    <phoneticPr fontId="2" type="noConversion"/>
  </si>
  <si>
    <t>*운행중 발생하는 범칙금 및 과태료는 이용자 부담이며, 당사에서 대납 후 익월 리스료에 포함하여 청구 됩니다.</t>
    <phoneticPr fontId="2" type="noConversion"/>
  </si>
  <si>
    <t>*보험은 자차가입 및 질권설정(질권자 NH농협캐피탈㈜)이 필수이며, 부보하신 증권사본 송부 부탁드립니다.</t>
    <phoneticPr fontId="2" type="noConversion"/>
  </si>
  <si>
    <t>*이용자변경(승계)시 당사 규정에 따라 승계수수료가 부과됩니다.</t>
    <phoneticPr fontId="2" type="noConversion"/>
  </si>
  <si>
    <t>*중도해지(중도 반납 및 중도상환)시 당사 규정에 따른 중도해지수수료가 부과 됩니다.</t>
    <phoneticPr fontId="2" type="noConversion"/>
  </si>
  <si>
    <t>▣ 구비서류 (발급일 최근1개월 이내)</t>
    <phoneticPr fontId="2" type="noConversion"/>
  </si>
  <si>
    <t>국산/수입</t>
    <phoneticPr fontId="2" type="noConversion"/>
  </si>
  <si>
    <t>제조사</t>
    <phoneticPr fontId="2" type="noConversion"/>
  </si>
  <si>
    <t>차종</t>
    <phoneticPr fontId="2" type="noConversion"/>
  </si>
  <si>
    <t>차량가격</t>
    <phoneticPr fontId="2" type="noConversion"/>
  </si>
  <si>
    <t>옵션가격</t>
    <phoneticPr fontId="2" type="noConversion"/>
  </si>
  <si>
    <t>연간약정운행거리</t>
    <phoneticPr fontId="2" type="noConversion"/>
  </si>
  <si>
    <t>CM Inc.</t>
    <phoneticPr fontId="2" type="noConversion"/>
  </si>
  <si>
    <t>AG Inc.</t>
    <phoneticPr fontId="2" type="noConversion"/>
  </si>
  <si>
    <t>제휴사</t>
    <phoneticPr fontId="2" type="noConversion"/>
  </si>
  <si>
    <t>취득세</t>
    <phoneticPr fontId="2" type="noConversion"/>
  </si>
  <si>
    <t>공채</t>
    <phoneticPr fontId="2" type="noConversion"/>
  </si>
  <si>
    <t>탁송료</t>
    <phoneticPr fontId="2" type="noConversion"/>
  </si>
  <si>
    <t>자동차세</t>
    <phoneticPr fontId="2" type="noConversion"/>
  </si>
  <si>
    <t>보험료(연)</t>
    <phoneticPr fontId="2" type="noConversion"/>
  </si>
  <si>
    <t>승용RV</t>
  </si>
  <si>
    <t>N</t>
  </si>
  <si>
    <t>오토</t>
  </si>
  <si>
    <t>승용차</t>
  </si>
  <si>
    <t>하이브리드</t>
  </si>
  <si>
    <t>XC90</t>
  </si>
  <si>
    <t>VOLVO</t>
  </si>
  <si>
    <t>무연</t>
  </si>
  <si>
    <t>디젤</t>
  </si>
  <si>
    <t>XC60</t>
  </si>
  <si>
    <t>S90</t>
  </si>
  <si>
    <t>S60</t>
  </si>
  <si>
    <t>VOLKSWAGEN</t>
  </si>
  <si>
    <t>Tiguan</t>
  </si>
  <si>
    <t>2.0 TDI Premium</t>
  </si>
  <si>
    <t>2.0 TDI</t>
  </si>
  <si>
    <t>화물차</t>
  </si>
  <si>
    <t>TOYOTA</t>
  </si>
  <si>
    <t>수동</t>
  </si>
  <si>
    <t>SIENNA</t>
  </si>
  <si>
    <t>RAV4</t>
  </si>
  <si>
    <t>S</t>
  </si>
  <si>
    <t>PRIUS</t>
  </si>
  <si>
    <t>E</t>
  </si>
  <si>
    <t>CAMRY Hybrid</t>
  </si>
  <si>
    <t>SMART</t>
  </si>
  <si>
    <t>ROLLSROYCE</t>
  </si>
  <si>
    <t>Panamera</t>
  </si>
  <si>
    <t>PORSCHE</t>
  </si>
  <si>
    <t>Macan Turbo</t>
  </si>
  <si>
    <t>Macan</t>
  </si>
  <si>
    <t>Macan GTS</t>
  </si>
  <si>
    <t>Cayman</t>
  </si>
  <si>
    <t>Cayenne</t>
  </si>
  <si>
    <t>Targa 4</t>
  </si>
  <si>
    <t>Carrera GTS 카브리올레</t>
  </si>
  <si>
    <t>Carrera GTS</t>
  </si>
  <si>
    <t>Carrera 4S</t>
  </si>
  <si>
    <t>Carrera 4 GTS</t>
  </si>
  <si>
    <t>Carrera</t>
  </si>
  <si>
    <t>PEUGEOT</t>
  </si>
  <si>
    <t>NISSAN</t>
  </si>
  <si>
    <t>MINI</t>
  </si>
  <si>
    <t>SL400</t>
  </si>
  <si>
    <t>S-Class</t>
  </si>
  <si>
    <t>GLS-Class</t>
  </si>
  <si>
    <t>GLE-Class</t>
  </si>
  <si>
    <t>350d 4MATIC Coupe</t>
  </si>
  <si>
    <t>GLC-Class</t>
  </si>
  <si>
    <t>GLA 45 AMG 4MATIC</t>
  </si>
  <si>
    <t>GLA-Class</t>
  </si>
  <si>
    <t>G 63 AMG</t>
  </si>
  <si>
    <t>G-Class</t>
  </si>
  <si>
    <t>E-Class</t>
  </si>
  <si>
    <t>E300 Exclusive</t>
  </si>
  <si>
    <t>E300 Avantgarde</t>
  </si>
  <si>
    <t>E300 4MATIC Exclusive</t>
  </si>
  <si>
    <t>E300 4MATIC Avantgarde</t>
  </si>
  <si>
    <t>E220d Exclusive</t>
  </si>
  <si>
    <t>E220d Avantgarde</t>
  </si>
  <si>
    <t>CLA-Class</t>
  </si>
  <si>
    <t>CLA 250 4MATIC</t>
  </si>
  <si>
    <t>C200 Coupe</t>
  </si>
  <si>
    <t>C200 Cabriolet</t>
  </si>
  <si>
    <t>C-Class</t>
  </si>
  <si>
    <t>AMG GT</t>
  </si>
  <si>
    <t>GT S</t>
  </si>
  <si>
    <t>GT</t>
  </si>
  <si>
    <t>A-Class</t>
  </si>
  <si>
    <t>A 45 4MATIC AMG</t>
  </si>
  <si>
    <t>Quattroporte</t>
  </si>
  <si>
    <t>MASERATI</t>
  </si>
  <si>
    <t>Levante</t>
  </si>
  <si>
    <t>GHIBLI</t>
  </si>
  <si>
    <t>LINCOLN</t>
  </si>
  <si>
    <t>RX 하이브리드</t>
  </si>
  <si>
    <t>LEXUS</t>
  </si>
  <si>
    <t>NX</t>
  </si>
  <si>
    <t>LS 하이브리드</t>
  </si>
  <si>
    <t>LS</t>
  </si>
  <si>
    <t>F</t>
  </si>
  <si>
    <t>ES 하이브리드</t>
  </si>
  <si>
    <t>LANDROVER</t>
  </si>
  <si>
    <t>Range Rover Sport</t>
  </si>
  <si>
    <t>Range Rover Evoque</t>
  </si>
  <si>
    <t>Discovery Sport</t>
  </si>
  <si>
    <t>Huracan</t>
  </si>
  <si>
    <t>Lamborghini</t>
  </si>
  <si>
    <t>Wrangler</t>
  </si>
  <si>
    <t>JEEP</t>
  </si>
  <si>
    <t>Renegade</t>
  </si>
  <si>
    <t>Grand Cherokee</t>
  </si>
  <si>
    <t>XF</t>
  </si>
  <si>
    <t>XE</t>
  </si>
  <si>
    <t>F-페이스</t>
  </si>
  <si>
    <t>F-TYPE Coupe</t>
  </si>
  <si>
    <t>F-TYPE Convertible</t>
  </si>
  <si>
    <t>All New XJ</t>
  </si>
  <si>
    <t>INFINITI</t>
  </si>
  <si>
    <t>HONDA</t>
  </si>
  <si>
    <t>ACCORD</t>
  </si>
  <si>
    <t>FORD</t>
  </si>
  <si>
    <t>5.0L GT Premium (coupe)</t>
  </si>
  <si>
    <t>MUSTANG</t>
  </si>
  <si>
    <t>5.0L GT Premium (convertible)</t>
  </si>
  <si>
    <t>2.3L EcoBoost Premium (coupe)</t>
  </si>
  <si>
    <t>2.3L EcoBoost Premium (convertible)</t>
  </si>
  <si>
    <t>EXPLORER</t>
  </si>
  <si>
    <t>2.3 L LTD AWD</t>
  </si>
  <si>
    <t>FIAT</t>
  </si>
  <si>
    <t>Ferrari</t>
  </si>
  <si>
    <t>Citroen</t>
  </si>
  <si>
    <t>CHRYSLER</t>
  </si>
  <si>
    <t>CADILLAC</t>
  </si>
  <si>
    <t>BMW</t>
  </si>
  <si>
    <t>X Series X6</t>
  </si>
  <si>
    <t>X Series X5</t>
  </si>
  <si>
    <t>X Series X4</t>
  </si>
  <si>
    <t>X Series X3</t>
  </si>
  <si>
    <t>7 Series Sedan</t>
  </si>
  <si>
    <t>740d xDrive M Sport</t>
  </si>
  <si>
    <t>5 Series Sedan</t>
  </si>
  <si>
    <t>1 Series 5-door</t>
  </si>
  <si>
    <t>플라잉 스퍼</t>
  </si>
  <si>
    <t>BENTLEY</t>
  </si>
  <si>
    <t>GTC V8</t>
  </si>
  <si>
    <t>컨티넨탈 컨버터블</t>
  </si>
  <si>
    <t>AUDI</t>
  </si>
  <si>
    <t>0908</t>
  </si>
  <si>
    <t>0907</t>
  </si>
  <si>
    <t>0906</t>
  </si>
  <si>
    <t>0905</t>
  </si>
  <si>
    <t>0904</t>
  </si>
  <si>
    <t>0903</t>
  </si>
  <si>
    <t>0902</t>
  </si>
  <si>
    <t>0901</t>
  </si>
  <si>
    <t>0900</t>
  </si>
  <si>
    <t>0899</t>
  </si>
  <si>
    <t>0898</t>
  </si>
  <si>
    <t>0897</t>
  </si>
  <si>
    <t>0896</t>
  </si>
  <si>
    <t>0895</t>
  </si>
  <si>
    <t>0894</t>
  </si>
  <si>
    <t>0893</t>
  </si>
  <si>
    <t>0892</t>
  </si>
  <si>
    <t>0891</t>
  </si>
  <si>
    <t>0890</t>
  </si>
  <si>
    <t>0889</t>
  </si>
  <si>
    <t>0888</t>
  </si>
  <si>
    <t>0887</t>
  </si>
  <si>
    <t>0886</t>
  </si>
  <si>
    <t>0885</t>
  </si>
  <si>
    <t>0884</t>
  </si>
  <si>
    <t>0883</t>
  </si>
  <si>
    <t>0882</t>
  </si>
  <si>
    <t>0881</t>
  </si>
  <si>
    <t>0880</t>
  </si>
  <si>
    <t>0879</t>
  </si>
  <si>
    <t>0878</t>
  </si>
  <si>
    <t>0877</t>
  </si>
  <si>
    <t>0876</t>
  </si>
  <si>
    <t>0875</t>
  </si>
  <si>
    <t>0874</t>
  </si>
  <si>
    <t>0871</t>
  </si>
  <si>
    <t>0870</t>
  </si>
  <si>
    <t>0869</t>
  </si>
  <si>
    <t>0864</t>
  </si>
  <si>
    <t>0863</t>
  </si>
  <si>
    <t>0862</t>
  </si>
  <si>
    <t>0861</t>
  </si>
  <si>
    <t>0856</t>
  </si>
  <si>
    <t>0855</t>
  </si>
  <si>
    <t>0854</t>
  </si>
  <si>
    <t>0853</t>
  </si>
  <si>
    <t>0852</t>
  </si>
  <si>
    <t>0851</t>
  </si>
  <si>
    <t>0850</t>
  </si>
  <si>
    <t>0849</t>
  </si>
  <si>
    <t>0848</t>
  </si>
  <si>
    <t>0847</t>
  </si>
  <si>
    <t>0846</t>
  </si>
  <si>
    <t>A6</t>
  </si>
  <si>
    <t>0845</t>
  </si>
  <si>
    <t>0844</t>
  </si>
  <si>
    <t>0843</t>
  </si>
  <si>
    <t>0842</t>
  </si>
  <si>
    <t>0841</t>
  </si>
  <si>
    <t>0840</t>
  </si>
  <si>
    <t>0839</t>
  </si>
  <si>
    <t>0838</t>
  </si>
  <si>
    <t>0837</t>
  </si>
  <si>
    <t>0836</t>
  </si>
  <si>
    <t>0835</t>
  </si>
  <si>
    <t>0834</t>
  </si>
  <si>
    <t>0833</t>
  </si>
  <si>
    <t>0832</t>
  </si>
  <si>
    <t>0831</t>
  </si>
  <si>
    <t>0830</t>
  </si>
  <si>
    <t>0829</t>
  </si>
  <si>
    <t>0828</t>
  </si>
  <si>
    <t>0827</t>
  </si>
  <si>
    <t>0826</t>
  </si>
  <si>
    <t>0825</t>
  </si>
  <si>
    <t>0824</t>
  </si>
  <si>
    <t>0823</t>
  </si>
  <si>
    <t>0822</t>
  </si>
  <si>
    <t>0821</t>
  </si>
  <si>
    <t>0820</t>
  </si>
  <si>
    <t>0819</t>
  </si>
  <si>
    <t>0818</t>
  </si>
  <si>
    <t>0817</t>
  </si>
  <si>
    <t>0816</t>
  </si>
  <si>
    <t>0815</t>
  </si>
  <si>
    <t>0814</t>
  </si>
  <si>
    <t>0813</t>
  </si>
  <si>
    <t>0812</t>
  </si>
  <si>
    <t>0811</t>
  </si>
  <si>
    <t>0810</t>
  </si>
  <si>
    <t>0809</t>
  </si>
  <si>
    <t>0808</t>
  </si>
  <si>
    <t>0807</t>
  </si>
  <si>
    <t>0806</t>
  </si>
  <si>
    <t>0805</t>
  </si>
  <si>
    <t>0804</t>
  </si>
  <si>
    <t>현대자동차</t>
  </si>
  <si>
    <t>0803</t>
  </si>
  <si>
    <t>0802</t>
  </si>
  <si>
    <t>0801</t>
  </si>
  <si>
    <t>0800</t>
  </si>
  <si>
    <t>0799</t>
  </si>
  <si>
    <t>0798</t>
  </si>
  <si>
    <t>0797</t>
  </si>
  <si>
    <t>0796</t>
  </si>
  <si>
    <t>0795</t>
  </si>
  <si>
    <t>0794</t>
  </si>
  <si>
    <t>0793</t>
  </si>
  <si>
    <t>0792</t>
  </si>
  <si>
    <t>0791</t>
  </si>
  <si>
    <t>0790</t>
  </si>
  <si>
    <t>0789</t>
  </si>
  <si>
    <t>0788</t>
  </si>
  <si>
    <t>0787</t>
  </si>
  <si>
    <t>0786</t>
  </si>
  <si>
    <t>0785</t>
  </si>
  <si>
    <t>0784</t>
  </si>
  <si>
    <t>0783</t>
  </si>
  <si>
    <t>0782</t>
  </si>
  <si>
    <t>0781</t>
  </si>
  <si>
    <t>0780</t>
  </si>
  <si>
    <t>0779</t>
  </si>
  <si>
    <t>0778</t>
  </si>
  <si>
    <t>0777</t>
  </si>
  <si>
    <t>0776</t>
  </si>
  <si>
    <t>0775</t>
  </si>
  <si>
    <t>0774</t>
  </si>
  <si>
    <t>0773</t>
  </si>
  <si>
    <t>0772</t>
  </si>
  <si>
    <t>0771</t>
  </si>
  <si>
    <t>0770</t>
  </si>
  <si>
    <t>0769</t>
  </si>
  <si>
    <t>0768</t>
  </si>
  <si>
    <t>0767</t>
  </si>
  <si>
    <t>0766</t>
  </si>
  <si>
    <t>0765</t>
  </si>
  <si>
    <t>0764</t>
  </si>
  <si>
    <t>0763</t>
  </si>
  <si>
    <t>0762</t>
  </si>
  <si>
    <t>0761</t>
  </si>
  <si>
    <t>0760</t>
  </si>
  <si>
    <t>0759</t>
  </si>
  <si>
    <t>0758</t>
  </si>
  <si>
    <t>0757</t>
  </si>
  <si>
    <t>0756</t>
  </si>
  <si>
    <t>0755</t>
  </si>
  <si>
    <t>0754</t>
  </si>
  <si>
    <t>0753</t>
  </si>
  <si>
    <t>0752</t>
  </si>
  <si>
    <t>0751</t>
  </si>
  <si>
    <t>0750</t>
  </si>
  <si>
    <t>0749</t>
  </si>
  <si>
    <t>0748</t>
  </si>
  <si>
    <t>0747</t>
  </si>
  <si>
    <t>0746</t>
  </si>
  <si>
    <t>0745</t>
  </si>
  <si>
    <t>0744</t>
  </si>
  <si>
    <t>0743</t>
  </si>
  <si>
    <t>0742</t>
  </si>
  <si>
    <t>0741</t>
  </si>
  <si>
    <t>0740</t>
  </si>
  <si>
    <t>0739</t>
  </si>
  <si>
    <t>0738</t>
  </si>
  <si>
    <t>0737</t>
  </si>
  <si>
    <t>0736</t>
  </si>
  <si>
    <t>0735</t>
  </si>
  <si>
    <t>0734</t>
  </si>
  <si>
    <t>0733</t>
  </si>
  <si>
    <t>0732</t>
  </si>
  <si>
    <t>0731</t>
  </si>
  <si>
    <t>0730</t>
  </si>
  <si>
    <t>0729</t>
  </si>
  <si>
    <t>0728</t>
  </si>
  <si>
    <t>0727</t>
  </si>
  <si>
    <t>0726</t>
  </si>
  <si>
    <t>0725</t>
  </si>
  <si>
    <t>0724</t>
  </si>
  <si>
    <t>0723</t>
  </si>
  <si>
    <t>0722</t>
  </si>
  <si>
    <t>0721</t>
  </si>
  <si>
    <t>0720</t>
  </si>
  <si>
    <t>0719</t>
  </si>
  <si>
    <t>0718</t>
  </si>
  <si>
    <t>0717</t>
  </si>
  <si>
    <t>0716</t>
  </si>
  <si>
    <t>0715</t>
  </si>
  <si>
    <t>0714</t>
  </si>
  <si>
    <t>0713</t>
  </si>
  <si>
    <t>0712</t>
  </si>
  <si>
    <t>0711</t>
  </si>
  <si>
    <t>0710</t>
  </si>
  <si>
    <t>0709</t>
  </si>
  <si>
    <t>0708</t>
  </si>
  <si>
    <t>0707</t>
  </si>
  <si>
    <t>0706</t>
  </si>
  <si>
    <t>0705</t>
  </si>
  <si>
    <t>0704</t>
  </si>
  <si>
    <t>0703</t>
  </si>
  <si>
    <t>0702</t>
  </si>
  <si>
    <t>0701</t>
  </si>
  <si>
    <t>0700</t>
  </si>
  <si>
    <t>0699</t>
  </si>
  <si>
    <t>0698</t>
  </si>
  <si>
    <t>0697</t>
  </si>
  <si>
    <t>0696</t>
  </si>
  <si>
    <t>0695</t>
  </si>
  <si>
    <t>0694</t>
  </si>
  <si>
    <t>0693</t>
  </si>
  <si>
    <t>0692</t>
  </si>
  <si>
    <t>0690</t>
  </si>
  <si>
    <t>0689</t>
  </si>
  <si>
    <t>0688</t>
  </si>
  <si>
    <t>0687</t>
  </si>
  <si>
    <t>0686</t>
  </si>
  <si>
    <t>0685</t>
  </si>
  <si>
    <t>0684</t>
  </si>
  <si>
    <t>0683</t>
  </si>
  <si>
    <t>0682</t>
  </si>
  <si>
    <t>0681</t>
  </si>
  <si>
    <t>0680</t>
  </si>
  <si>
    <t>0679</t>
  </si>
  <si>
    <t>0678</t>
  </si>
  <si>
    <t>0677</t>
  </si>
  <si>
    <t>0676</t>
  </si>
  <si>
    <t>0675</t>
  </si>
  <si>
    <t>0674</t>
  </si>
  <si>
    <t>0673</t>
  </si>
  <si>
    <t>0672</t>
  </si>
  <si>
    <t>0671</t>
  </si>
  <si>
    <t>0670</t>
  </si>
  <si>
    <t>0669</t>
  </si>
  <si>
    <t>0668</t>
  </si>
  <si>
    <t>0667</t>
  </si>
  <si>
    <t>0666</t>
  </si>
  <si>
    <t>0665</t>
  </si>
  <si>
    <t>0664</t>
  </si>
  <si>
    <t>0663</t>
  </si>
  <si>
    <t>0662</t>
  </si>
  <si>
    <t>0661</t>
  </si>
  <si>
    <t>0660</t>
  </si>
  <si>
    <t>0659</t>
  </si>
  <si>
    <t>0658</t>
  </si>
  <si>
    <t>0657</t>
  </si>
  <si>
    <t>0656</t>
  </si>
  <si>
    <t>0655</t>
  </si>
  <si>
    <t>0654</t>
  </si>
  <si>
    <t>0653</t>
  </si>
  <si>
    <t>0652</t>
  </si>
  <si>
    <t>0651</t>
  </si>
  <si>
    <t>0650</t>
  </si>
  <si>
    <t>0649</t>
  </si>
  <si>
    <t>0648</t>
  </si>
  <si>
    <t>0647</t>
  </si>
  <si>
    <t>0646</t>
  </si>
  <si>
    <t>0645</t>
  </si>
  <si>
    <t>0644</t>
  </si>
  <si>
    <t>0643</t>
  </si>
  <si>
    <t>0642</t>
  </si>
  <si>
    <t>0641</t>
  </si>
  <si>
    <t>0640</t>
  </si>
  <si>
    <t>0639</t>
  </si>
  <si>
    <t>0638</t>
  </si>
  <si>
    <t>0637</t>
  </si>
  <si>
    <t>0636</t>
  </si>
  <si>
    <t>0635</t>
  </si>
  <si>
    <t>0634</t>
  </si>
  <si>
    <t>0633</t>
  </si>
  <si>
    <t>0632</t>
  </si>
  <si>
    <t>0631</t>
  </si>
  <si>
    <t>0630</t>
  </si>
  <si>
    <t>0629</t>
  </si>
  <si>
    <t>0628</t>
  </si>
  <si>
    <t>0627</t>
  </si>
  <si>
    <t>0626</t>
  </si>
  <si>
    <t>0625</t>
  </si>
  <si>
    <t>0624</t>
  </si>
  <si>
    <t>0623</t>
  </si>
  <si>
    <t>0622</t>
  </si>
  <si>
    <t>0621</t>
  </si>
  <si>
    <t>0620</t>
  </si>
  <si>
    <t>0619</t>
  </si>
  <si>
    <t>0618</t>
  </si>
  <si>
    <t>0617</t>
  </si>
  <si>
    <t>0616</t>
  </si>
  <si>
    <t>0615</t>
  </si>
  <si>
    <t>0614</t>
  </si>
  <si>
    <t>0613</t>
  </si>
  <si>
    <t>0612</t>
  </si>
  <si>
    <t>0611</t>
  </si>
  <si>
    <t>0610</t>
  </si>
  <si>
    <t>0609</t>
  </si>
  <si>
    <t>0608</t>
  </si>
  <si>
    <t>0607</t>
  </si>
  <si>
    <t>0606</t>
  </si>
  <si>
    <t>0605</t>
  </si>
  <si>
    <t>0604</t>
  </si>
  <si>
    <t>0603</t>
  </si>
  <si>
    <t>0602</t>
  </si>
  <si>
    <t>0601</t>
  </si>
  <si>
    <t>0600</t>
  </si>
  <si>
    <t>0599</t>
  </si>
  <si>
    <t>0598</t>
  </si>
  <si>
    <t>0597</t>
  </si>
  <si>
    <t>0596</t>
  </si>
  <si>
    <t>0595</t>
  </si>
  <si>
    <t>0594</t>
  </si>
  <si>
    <t>0593</t>
  </si>
  <si>
    <t>0592</t>
  </si>
  <si>
    <t>0591</t>
  </si>
  <si>
    <t>0590</t>
  </si>
  <si>
    <t>0589</t>
  </si>
  <si>
    <t>0588</t>
  </si>
  <si>
    <t>0587</t>
  </si>
  <si>
    <t>0586</t>
  </si>
  <si>
    <t>0585</t>
  </si>
  <si>
    <t>0584</t>
  </si>
  <si>
    <t>0583</t>
  </si>
  <si>
    <t>0582</t>
  </si>
  <si>
    <t>0581</t>
  </si>
  <si>
    <t>0580</t>
  </si>
  <si>
    <t>0579</t>
  </si>
  <si>
    <t>0578</t>
  </si>
  <si>
    <t>0577</t>
  </si>
  <si>
    <t>0576</t>
  </si>
  <si>
    <t>0575</t>
  </si>
  <si>
    <t>0574</t>
  </si>
  <si>
    <t>0573</t>
  </si>
  <si>
    <t>0572</t>
  </si>
  <si>
    <t>0571</t>
  </si>
  <si>
    <t>0570</t>
  </si>
  <si>
    <t>0569</t>
  </si>
  <si>
    <t>0568</t>
  </si>
  <si>
    <t>0567</t>
  </si>
  <si>
    <t>0566</t>
  </si>
  <si>
    <t>0565</t>
  </si>
  <si>
    <t>0564</t>
  </si>
  <si>
    <t>0563</t>
  </si>
  <si>
    <t>0562</t>
  </si>
  <si>
    <t>0561</t>
  </si>
  <si>
    <t>0560</t>
  </si>
  <si>
    <t>0559</t>
  </si>
  <si>
    <t>0558</t>
  </si>
  <si>
    <t>0557</t>
  </si>
  <si>
    <t>0556</t>
  </si>
  <si>
    <t>0555</t>
  </si>
  <si>
    <t>0554</t>
  </si>
  <si>
    <t>0553</t>
  </si>
  <si>
    <t>0552</t>
  </si>
  <si>
    <t>0551</t>
  </si>
  <si>
    <t>0550</t>
  </si>
  <si>
    <t>0549</t>
  </si>
  <si>
    <t>0548</t>
  </si>
  <si>
    <t>0547</t>
  </si>
  <si>
    <t>0546</t>
  </si>
  <si>
    <t>0545</t>
  </si>
  <si>
    <t>0544</t>
  </si>
  <si>
    <t>0543</t>
  </si>
  <si>
    <t>0542</t>
  </si>
  <si>
    <t>0541</t>
  </si>
  <si>
    <t>0540</t>
  </si>
  <si>
    <t>0539</t>
  </si>
  <si>
    <t>0538</t>
  </si>
  <si>
    <t>0537</t>
  </si>
  <si>
    <t>0536</t>
  </si>
  <si>
    <t>0535</t>
  </si>
  <si>
    <t>0534</t>
  </si>
  <si>
    <t>0533</t>
  </si>
  <si>
    <t>0532</t>
  </si>
  <si>
    <t>0531</t>
  </si>
  <si>
    <t>0530</t>
  </si>
  <si>
    <t>0529</t>
  </si>
  <si>
    <t>0528</t>
  </si>
  <si>
    <t>0527</t>
  </si>
  <si>
    <t>0526</t>
  </si>
  <si>
    <t>0525</t>
  </si>
  <si>
    <t>0524</t>
  </si>
  <si>
    <t>0523</t>
  </si>
  <si>
    <t>0522</t>
  </si>
  <si>
    <t>0521</t>
  </si>
  <si>
    <t>0520</t>
  </si>
  <si>
    <t>0519</t>
  </si>
  <si>
    <t>0518</t>
  </si>
  <si>
    <t>0517</t>
  </si>
  <si>
    <t>0516</t>
  </si>
  <si>
    <t>0515</t>
  </si>
  <si>
    <t>0514</t>
  </si>
  <si>
    <t>0513</t>
  </si>
  <si>
    <t>0512</t>
  </si>
  <si>
    <t>0511</t>
  </si>
  <si>
    <t>0510</t>
  </si>
  <si>
    <t>0509</t>
  </si>
  <si>
    <t>0508</t>
  </si>
  <si>
    <t>0507</t>
  </si>
  <si>
    <t>0506</t>
  </si>
  <si>
    <t>0505</t>
  </si>
  <si>
    <t>0504</t>
  </si>
  <si>
    <t>0503</t>
  </si>
  <si>
    <t>0502</t>
  </si>
  <si>
    <t>0501</t>
  </si>
  <si>
    <t>0500</t>
  </si>
  <si>
    <t>0499</t>
  </si>
  <si>
    <t>0498</t>
  </si>
  <si>
    <t>0497</t>
  </si>
  <si>
    <t>0496</t>
  </si>
  <si>
    <t>0495</t>
  </si>
  <si>
    <t>0494</t>
  </si>
  <si>
    <t>0493</t>
  </si>
  <si>
    <t>0492</t>
  </si>
  <si>
    <t>0491</t>
  </si>
  <si>
    <t>0490</t>
  </si>
  <si>
    <t>0489</t>
  </si>
  <si>
    <t>0488</t>
  </si>
  <si>
    <t>0487</t>
  </si>
  <si>
    <t>0486</t>
  </si>
  <si>
    <t>0485</t>
  </si>
  <si>
    <t>0484</t>
  </si>
  <si>
    <t>0483</t>
  </si>
  <si>
    <t>0482</t>
  </si>
  <si>
    <t>0481</t>
  </si>
  <si>
    <t>0480</t>
  </si>
  <si>
    <t>0479</t>
  </si>
  <si>
    <t>0478</t>
  </si>
  <si>
    <t>0477</t>
  </si>
  <si>
    <t>0476</t>
  </si>
  <si>
    <t>0475</t>
  </si>
  <si>
    <t>0474</t>
  </si>
  <si>
    <t>0473</t>
  </si>
  <si>
    <t>0472</t>
  </si>
  <si>
    <t>0471</t>
  </si>
  <si>
    <t>0470</t>
  </si>
  <si>
    <t>0469</t>
  </si>
  <si>
    <t>0468</t>
  </si>
  <si>
    <t>0467</t>
  </si>
  <si>
    <t>0466</t>
  </si>
  <si>
    <t>0465</t>
  </si>
  <si>
    <t>0464</t>
  </si>
  <si>
    <t>0463</t>
  </si>
  <si>
    <t>0462</t>
  </si>
  <si>
    <t>0461</t>
  </si>
  <si>
    <t>0460</t>
  </si>
  <si>
    <t>0459</t>
  </si>
  <si>
    <t>0458</t>
  </si>
  <si>
    <t>0457</t>
  </si>
  <si>
    <t>0456</t>
  </si>
  <si>
    <t>0455</t>
  </si>
  <si>
    <t>0454</t>
  </si>
  <si>
    <t>0453</t>
  </si>
  <si>
    <t>0452</t>
  </si>
  <si>
    <t>한국지엠/쉐보레 코리아</t>
  </si>
  <si>
    <t>0451</t>
  </si>
  <si>
    <t>0450</t>
  </si>
  <si>
    <t>0449</t>
  </si>
  <si>
    <t>0448</t>
  </si>
  <si>
    <t>0447</t>
  </si>
  <si>
    <t>0446</t>
  </si>
  <si>
    <t>0445</t>
  </si>
  <si>
    <t>0444</t>
  </si>
  <si>
    <t>0443</t>
  </si>
  <si>
    <t>0442</t>
  </si>
  <si>
    <t>0441</t>
  </si>
  <si>
    <t>0440</t>
  </si>
  <si>
    <t>0439</t>
  </si>
  <si>
    <t>0438</t>
  </si>
  <si>
    <t>0437</t>
  </si>
  <si>
    <t>0436</t>
  </si>
  <si>
    <t>0435</t>
  </si>
  <si>
    <t>0434</t>
  </si>
  <si>
    <t>0433</t>
  </si>
  <si>
    <t>0432</t>
  </si>
  <si>
    <t>0431</t>
  </si>
  <si>
    <t>0430</t>
  </si>
  <si>
    <t>0429</t>
  </si>
  <si>
    <t>0428</t>
  </si>
  <si>
    <t>0427</t>
  </si>
  <si>
    <t>0426</t>
  </si>
  <si>
    <t>0425</t>
  </si>
  <si>
    <t>0424</t>
  </si>
  <si>
    <t>0423</t>
  </si>
  <si>
    <t>0422</t>
  </si>
  <si>
    <t>0421</t>
  </si>
  <si>
    <t>0420</t>
  </si>
  <si>
    <t>0419</t>
  </si>
  <si>
    <t>0418</t>
  </si>
  <si>
    <t>0417</t>
  </si>
  <si>
    <t>0416</t>
  </si>
  <si>
    <t>0415</t>
  </si>
  <si>
    <t>0414</t>
  </si>
  <si>
    <t>0413</t>
  </si>
  <si>
    <t>0412</t>
  </si>
  <si>
    <t>0411</t>
  </si>
  <si>
    <t>0410</t>
  </si>
  <si>
    <t>0409</t>
  </si>
  <si>
    <t>0408</t>
  </si>
  <si>
    <t>0407</t>
  </si>
  <si>
    <t>0406</t>
  </si>
  <si>
    <t>0405</t>
  </si>
  <si>
    <t>0404</t>
  </si>
  <si>
    <t>0403</t>
  </si>
  <si>
    <t>0402</t>
  </si>
  <si>
    <t>0401</t>
  </si>
  <si>
    <t>0400</t>
  </si>
  <si>
    <t>0399</t>
  </si>
  <si>
    <t>0398</t>
  </si>
  <si>
    <t>0397</t>
  </si>
  <si>
    <t>0396</t>
  </si>
  <si>
    <t>0395</t>
  </si>
  <si>
    <t>0394</t>
  </si>
  <si>
    <t>0393</t>
  </si>
  <si>
    <t>0392</t>
  </si>
  <si>
    <t>0391</t>
  </si>
  <si>
    <t>0390</t>
  </si>
  <si>
    <t>0389</t>
  </si>
  <si>
    <t>0388</t>
  </si>
  <si>
    <t>0387</t>
  </si>
  <si>
    <t>0386</t>
  </si>
  <si>
    <t>0385</t>
  </si>
  <si>
    <t>0384</t>
  </si>
  <si>
    <t>0383</t>
  </si>
  <si>
    <t>0382</t>
  </si>
  <si>
    <t>0381</t>
  </si>
  <si>
    <t>0380</t>
  </si>
  <si>
    <t>0379</t>
  </si>
  <si>
    <t>0378</t>
  </si>
  <si>
    <t>0377</t>
  </si>
  <si>
    <t>0376</t>
  </si>
  <si>
    <t>0375</t>
  </si>
  <si>
    <t>0374</t>
  </si>
  <si>
    <t>0373</t>
  </si>
  <si>
    <t>0372</t>
  </si>
  <si>
    <t>0371</t>
  </si>
  <si>
    <t>쌍용자동차</t>
  </si>
  <si>
    <t>0370</t>
  </si>
  <si>
    <t>0369</t>
  </si>
  <si>
    <t>0368</t>
  </si>
  <si>
    <t>0367</t>
  </si>
  <si>
    <t>0366</t>
  </si>
  <si>
    <t>0365</t>
  </si>
  <si>
    <t>0364</t>
  </si>
  <si>
    <t>0363</t>
  </si>
  <si>
    <t>0362</t>
  </si>
  <si>
    <t>0361</t>
  </si>
  <si>
    <t>0360</t>
  </si>
  <si>
    <t>0359</t>
  </si>
  <si>
    <t>0358</t>
  </si>
  <si>
    <t>0357</t>
  </si>
  <si>
    <t>0356</t>
  </si>
  <si>
    <t>0355</t>
  </si>
  <si>
    <t>0354</t>
  </si>
  <si>
    <t>0353</t>
  </si>
  <si>
    <t>0352</t>
  </si>
  <si>
    <t>0351</t>
  </si>
  <si>
    <t>0350</t>
  </si>
  <si>
    <t>0349</t>
  </si>
  <si>
    <t>0348</t>
  </si>
  <si>
    <t>0347</t>
  </si>
  <si>
    <t>0346</t>
  </si>
  <si>
    <t>0345</t>
  </si>
  <si>
    <t>0344</t>
  </si>
  <si>
    <t>0343</t>
  </si>
  <si>
    <t>0342</t>
  </si>
  <si>
    <t>0341</t>
  </si>
  <si>
    <t>0340</t>
  </si>
  <si>
    <t>0339</t>
  </si>
  <si>
    <t>0338</t>
  </si>
  <si>
    <t>0337</t>
  </si>
  <si>
    <t>0336</t>
  </si>
  <si>
    <t>0335</t>
  </si>
  <si>
    <t>0334</t>
  </si>
  <si>
    <t>0333</t>
  </si>
  <si>
    <t>0332</t>
  </si>
  <si>
    <t>0331</t>
  </si>
  <si>
    <t>0330</t>
  </si>
  <si>
    <t>0329</t>
  </si>
  <si>
    <t>0328</t>
  </si>
  <si>
    <t>0327</t>
  </si>
  <si>
    <t>삼성자동차</t>
  </si>
  <si>
    <t>0326</t>
  </si>
  <si>
    <t>0325</t>
  </si>
  <si>
    <t>0324</t>
  </si>
  <si>
    <t>0323</t>
  </si>
  <si>
    <t>0322</t>
  </si>
  <si>
    <t>0321</t>
  </si>
  <si>
    <t>0320</t>
  </si>
  <si>
    <t>0319</t>
  </si>
  <si>
    <t>0318</t>
  </si>
  <si>
    <t>0317</t>
  </si>
  <si>
    <t>0316</t>
  </si>
  <si>
    <t>0315</t>
  </si>
  <si>
    <t>0314</t>
  </si>
  <si>
    <t>0313</t>
  </si>
  <si>
    <t>0312</t>
  </si>
  <si>
    <t>LE</t>
  </si>
  <si>
    <t>0311</t>
  </si>
  <si>
    <t>0310</t>
  </si>
  <si>
    <t>0309</t>
  </si>
  <si>
    <t>0308</t>
  </si>
  <si>
    <t>0307</t>
  </si>
  <si>
    <t>0306</t>
  </si>
  <si>
    <t>0305</t>
  </si>
  <si>
    <t>0304</t>
  </si>
  <si>
    <t>0303</t>
  </si>
  <si>
    <t>0302</t>
  </si>
  <si>
    <t>0301</t>
  </si>
  <si>
    <t>0300</t>
  </si>
  <si>
    <t>0299</t>
  </si>
  <si>
    <t>0298</t>
  </si>
  <si>
    <t>0297</t>
  </si>
  <si>
    <t>0296</t>
  </si>
  <si>
    <t>0295</t>
  </si>
  <si>
    <t>0294</t>
  </si>
  <si>
    <t>0293</t>
  </si>
  <si>
    <t>0292</t>
  </si>
  <si>
    <t>0291</t>
  </si>
  <si>
    <t>0290</t>
  </si>
  <si>
    <t>0289</t>
  </si>
  <si>
    <t>0288</t>
  </si>
  <si>
    <t>0287</t>
  </si>
  <si>
    <t>0286</t>
  </si>
  <si>
    <t>0285</t>
  </si>
  <si>
    <t>0284</t>
  </si>
  <si>
    <t>0283</t>
  </si>
  <si>
    <t>0282</t>
  </si>
  <si>
    <t>0281</t>
  </si>
  <si>
    <t>0280</t>
  </si>
  <si>
    <t>0279</t>
  </si>
  <si>
    <t>0278</t>
  </si>
  <si>
    <t>0277</t>
  </si>
  <si>
    <t>0276</t>
  </si>
  <si>
    <t>0275</t>
  </si>
  <si>
    <t>0274</t>
  </si>
  <si>
    <t>기아자동차</t>
  </si>
  <si>
    <t>0273</t>
  </si>
  <si>
    <t>0272</t>
  </si>
  <si>
    <t>0271</t>
  </si>
  <si>
    <t>0270</t>
  </si>
  <si>
    <t>0269</t>
  </si>
  <si>
    <t>0268</t>
  </si>
  <si>
    <t>0267</t>
  </si>
  <si>
    <t>0266</t>
  </si>
  <si>
    <t>0265</t>
  </si>
  <si>
    <t>0264</t>
  </si>
  <si>
    <t>0263</t>
  </si>
  <si>
    <t>0262</t>
  </si>
  <si>
    <t>0261</t>
  </si>
  <si>
    <t>0260</t>
  </si>
  <si>
    <t>0259</t>
  </si>
  <si>
    <t>0258</t>
  </si>
  <si>
    <t>0257</t>
  </si>
  <si>
    <t>0256</t>
  </si>
  <si>
    <t>0255</t>
  </si>
  <si>
    <t>0254</t>
  </si>
  <si>
    <t>0253</t>
  </si>
  <si>
    <t>0252</t>
  </si>
  <si>
    <t>0251</t>
  </si>
  <si>
    <t>0250</t>
  </si>
  <si>
    <t>0249</t>
  </si>
  <si>
    <t>0248</t>
  </si>
  <si>
    <t>0247</t>
  </si>
  <si>
    <t>0246</t>
  </si>
  <si>
    <t>0245</t>
  </si>
  <si>
    <t>0244</t>
  </si>
  <si>
    <t>0243</t>
  </si>
  <si>
    <t>0242</t>
  </si>
  <si>
    <t>0241</t>
  </si>
  <si>
    <t>0240</t>
  </si>
  <si>
    <t>0239</t>
  </si>
  <si>
    <t>0238</t>
  </si>
  <si>
    <t>0237</t>
  </si>
  <si>
    <t>0236</t>
  </si>
  <si>
    <t>0235</t>
  </si>
  <si>
    <t>0234</t>
  </si>
  <si>
    <t>0233</t>
  </si>
  <si>
    <t>0232</t>
  </si>
  <si>
    <t>0231</t>
  </si>
  <si>
    <t>0230</t>
  </si>
  <si>
    <t>0229</t>
  </si>
  <si>
    <t>0228</t>
  </si>
  <si>
    <t>0227</t>
  </si>
  <si>
    <t>0226</t>
  </si>
  <si>
    <t>0225</t>
  </si>
  <si>
    <t>0224</t>
  </si>
  <si>
    <t>0223</t>
  </si>
  <si>
    <t>0222</t>
  </si>
  <si>
    <t>0221</t>
  </si>
  <si>
    <t>0220</t>
  </si>
  <si>
    <t>0219</t>
  </si>
  <si>
    <t>0218</t>
  </si>
  <si>
    <t>0217</t>
  </si>
  <si>
    <t>0216</t>
  </si>
  <si>
    <t>0215</t>
  </si>
  <si>
    <t>0214</t>
  </si>
  <si>
    <t>0213</t>
  </si>
  <si>
    <t>0212</t>
  </si>
  <si>
    <t>0211</t>
  </si>
  <si>
    <t>0210</t>
  </si>
  <si>
    <t>0209</t>
  </si>
  <si>
    <t>0208</t>
  </si>
  <si>
    <t>0207</t>
  </si>
  <si>
    <t>0206</t>
  </si>
  <si>
    <t>0205</t>
  </si>
  <si>
    <t>0204</t>
  </si>
  <si>
    <t>0203</t>
  </si>
  <si>
    <t>0202</t>
  </si>
  <si>
    <t>0201</t>
  </si>
  <si>
    <t>0200</t>
  </si>
  <si>
    <t>0199</t>
  </si>
  <si>
    <t>0198</t>
  </si>
  <si>
    <t>0197</t>
  </si>
  <si>
    <t>0196</t>
  </si>
  <si>
    <t>0195</t>
  </si>
  <si>
    <t>0194</t>
  </si>
  <si>
    <t>0193</t>
  </si>
  <si>
    <t>0192</t>
  </si>
  <si>
    <t>0191</t>
  </si>
  <si>
    <t>0190</t>
  </si>
  <si>
    <t>0189</t>
  </si>
  <si>
    <t>0188</t>
  </si>
  <si>
    <t>0187</t>
  </si>
  <si>
    <t>0186</t>
  </si>
  <si>
    <t>0185</t>
  </si>
  <si>
    <t>0184</t>
  </si>
  <si>
    <t>0183</t>
  </si>
  <si>
    <t>0182</t>
  </si>
  <si>
    <t>0181</t>
  </si>
  <si>
    <t>0180</t>
  </si>
  <si>
    <t>0179</t>
  </si>
  <si>
    <t>0178</t>
  </si>
  <si>
    <t>0177</t>
  </si>
  <si>
    <t>0176</t>
  </si>
  <si>
    <t>0175</t>
  </si>
  <si>
    <t>0174</t>
  </si>
  <si>
    <t>0173</t>
  </si>
  <si>
    <t>0172</t>
  </si>
  <si>
    <t>0171</t>
  </si>
  <si>
    <t>0170</t>
  </si>
  <si>
    <t>0169</t>
  </si>
  <si>
    <t>0168</t>
  </si>
  <si>
    <t>0167</t>
  </si>
  <si>
    <t>0166</t>
  </si>
  <si>
    <t>0165</t>
  </si>
  <si>
    <t>0164</t>
  </si>
  <si>
    <t>0163</t>
  </si>
  <si>
    <t>0162</t>
  </si>
  <si>
    <t>0161</t>
  </si>
  <si>
    <t>0160</t>
  </si>
  <si>
    <t>0159</t>
  </si>
  <si>
    <t>0158</t>
  </si>
  <si>
    <t>0157</t>
  </si>
  <si>
    <t>0156</t>
  </si>
  <si>
    <t>0155</t>
  </si>
  <si>
    <t>0154</t>
  </si>
  <si>
    <t>0153</t>
  </si>
  <si>
    <t>0152</t>
  </si>
  <si>
    <t>0151</t>
  </si>
  <si>
    <t>0150</t>
  </si>
  <si>
    <t>0149</t>
  </si>
  <si>
    <t>0148</t>
  </si>
  <si>
    <t>0147</t>
  </si>
  <si>
    <t>0146</t>
  </si>
  <si>
    <t>0145</t>
  </si>
  <si>
    <t>0144</t>
  </si>
  <si>
    <t>0143</t>
  </si>
  <si>
    <t>0142</t>
  </si>
  <si>
    <t>0141</t>
  </si>
  <si>
    <t>0140</t>
  </si>
  <si>
    <t>0139</t>
  </si>
  <si>
    <t>0138</t>
  </si>
  <si>
    <t>0137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</si>
  <si>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</si>
  <si>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</si>
  <si>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</si>
  <si>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</si>
  <si>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</si>
  <si>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</si>
  <si>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</si>
  <si>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</si>
  <si>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</si>
  <si>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0127</t>
  </si>
  <si>
    <t>0126</t>
  </si>
  <si>
    <t>0125</t>
  </si>
  <si>
    <t>0124</t>
  </si>
  <si>
    <t>0123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</si>
  <si>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</si>
  <si>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</si>
  <si>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</si>
  <si>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</si>
  <si>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</si>
  <si>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</si>
  <si>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</si>
  <si>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</si>
  <si>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</si>
  <si>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</si>
  <si>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</si>
  <si>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</si>
  <si>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</si>
  <si>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</si>
  <si>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0108</t>
  </si>
  <si>
    <t>0107</t>
  </si>
  <si>
    <t>0106</t>
  </si>
  <si>
    <t>0105</t>
  </si>
  <si>
    <t>0104</t>
  </si>
  <si>
    <t>0103</t>
  </si>
  <si>
    <t>0102</t>
  </si>
  <si>
    <t>0101</t>
  </si>
  <si>
    <t>0100</t>
  </si>
  <si>
    <t>0099</t>
  </si>
  <si>
    <t>0098</t>
  </si>
  <si>
    <t>0097</t>
  </si>
  <si>
    <t>0096</t>
  </si>
  <si>
    <t>0095</t>
  </si>
  <si>
    <t>0094</t>
  </si>
  <si>
    <t>0093</t>
  </si>
  <si>
    <t>0092</t>
  </si>
  <si>
    <t>0091</t>
  </si>
  <si>
    <t>0090</t>
  </si>
  <si>
    <t>0089</t>
  </si>
  <si>
    <t>0088</t>
  </si>
  <si>
    <t>0087</t>
  </si>
  <si>
    <t>0086</t>
  </si>
  <si>
    <t>0085</t>
  </si>
  <si>
    <t>0084</t>
  </si>
  <si>
    <t>0083</t>
  </si>
  <si>
    <t>0082</t>
  </si>
  <si>
    <t>0081</t>
  </si>
  <si>
    <t>0080</t>
  </si>
  <si>
    <t>0079</t>
  </si>
  <si>
    <t>0078</t>
  </si>
  <si>
    <t>0077</t>
  </si>
  <si>
    <t>0076</t>
  </si>
  <si>
    <t>0075</t>
  </si>
  <si>
    <t>0074</t>
  </si>
  <si>
    <t>0073</t>
  </si>
  <si>
    <t>0072</t>
  </si>
  <si>
    <t>0071</t>
  </si>
  <si>
    <t>0070</t>
  </si>
  <si>
    <t>0069</t>
  </si>
  <si>
    <t>0068</t>
  </si>
  <si>
    <t>0067</t>
  </si>
  <si>
    <t>0066</t>
  </si>
  <si>
    <t>0065</t>
  </si>
  <si>
    <t>0064</t>
  </si>
  <si>
    <t>0063</t>
  </si>
  <si>
    <t>0062</t>
  </si>
  <si>
    <t>0061</t>
  </si>
  <si>
    <t>0060</t>
  </si>
  <si>
    <t>0059</t>
  </si>
  <si>
    <t>0058</t>
  </si>
  <si>
    <t>0057</t>
  </si>
  <si>
    <t>0056</t>
  </si>
  <si>
    <t>K3</t>
  </si>
  <si>
    <t>0055</t>
  </si>
  <si>
    <t>0054</t>
  </si>
  <si>
    <t>0053</t>
  </si>
  <si>
    <t>0052</t>
  </si>
  <si>
    <t>0051</t>
  </si>
  <si>
    <t>0050</t>
  </si>
  <si>
    <t>0049</t>
  </si>
  <si>
    <t>0048</t>
  </si>
  <si>
    <t>0047</t>
  </si>
  <si>
    <t>0046</t>
  </si>
  <si>
    <t>0045</t>
  </si>
  <si>
    <t>0044</t>
  </si>
  <si>
    <t>0043</t>
  </si>
  <si>
    <t>0042</t>
  </si>
  <si>
    <t>0041</t>
  </si>
  <si>
    <t>0040</t>
  </si>
  <si>
    <t>0039</t>
  </si>
  <si>
    <t>0038</t>
  </si>
  <si>
    <t>0037</t>
  </si>
  <si>
    <t>0036</t>
  </si>
  <si>
    <t>0035</t>
  </si>
  <si>
    <t>0034</t>
  </si>
  <si>
    <t>0033</t>
  </si>
  <si>
    <t>0032</t>
  </si>
  <si>
    <t>0031</t>
  </si>
  <si>
    <t>0030</t>
  </si>
  <si>
    <t>0029</t>
  </si>
  <si>
    <t>0028</t>
  </si>
  <si>
    <t>0027</t>
  </si>
  <si>
    <t>0026</t>
  </si>
  <si>
    <t>0025</t>
  </si>
  <si>
    <t>0024</t>
  </si>
  <si>
    <t>0023</t>
  </si>
  <si>
    <t>0022</t>
  </si>
  <si>
    <t>0021</t>
  </si>
  <si>
    <t>0020</t>
  </si>
  <si>
    <t>0019</t>
  </si>
  <si>
    <t>0018</t>
  </si>
  <si>
    <t>0017</t>
  </si>
  <si>
    <t>0016</t>
  </si>
  <si>
    <t>0015</t>
  </si>
  <si>
    <t>0014</t>
  </si>
  <si>
    <t>0013</t>
  </si>
  <si>
    <t>0012</t>
  </si>
  <si>
    <t>0011</t>
  </si>
  <si>
    <t>0010</t>
  </si>
  <si>
    <t>0009</t>
  </si>
  <si>
    <t>0008</t>
  </si>
  <si>
    <t>0007</t>
  </si>
  <si>
    <t>0006</t>
  </si>
  <si>
    <t>0005</t>
  </si>
  <si>
    <t>0004</t>
  </si>
  <si>
    <t>0003</t>
  </si>
  <si>
    <t>0002</t>
  </si>
  <si>
    <t>0001</t>
  </si>
  <si>
    <t>배기량</t>
    <phoneticPr fontId="9" type="noConversion"/>
  </si>
  <si>
    <t>가격</t>
    <phoneticPr fontId="9" type="noConversion"/>
  </si>
  <si>
    <t>차종</t>
    <phoneticPr fontId="9" type="noConversion"/>
  </si>
  <si>
    <t>제조사</t>
    <phoneticPr fontId="9" type="noConversion"/>
  </si>
  <si>
    <t>리스료기준</t>
    <phoneticPr fontId="2" type="noConversion"/>
  </si>
  <si>
    <t>보험료</t>
    <phoneticPr fontId="2" type="noConversion"/>
  </si>
  <si>
    <t>포함</t>
    <phoneticPr fontId="2" type="noConversion"/>
  </si>
  <si>
    <t>미포함</t>
    <phoneticPr fontId="2" type="noConversion"/>
  </si>
  <si>
    <t>공채매입율</t>
    <phoneticPr fontId="2" type="noConversion"/>
  </si>
  <si>
    <t>2000cc이상</t>
    <phoneticPr fontId="2" type="noConversion"/>
  </si>
  <si>
    <t>1600cc이상</t>
    <phoneticPr fontId="2" type="noConversion"/>
  </si>
  <si>
    <t>1500cc이상</t>
    <phoneticPr fontId="2" type="noConversion"/>
  </si>
  <si>
    <t>1000cc이상</t>
    <phoneticPr fontId="2" type="noConversion"/>
  </si>
  <si>
    <t>1000cc미만</t>
    <phoneticPr fontId="2" type="noConversion"/>
  </si>
  <si>
    <t>리스사명의</t>
    <phoneticPr fontId="2" type="noConversion"/>
  </si>
  <si>
    <t>이용자명의</t>
    <phoneticPr fontId="2" type="noConversion"/>
  </si>
  <si>
    <t>차량가기준</t>
    <phoneticPr fontId="2" type="noConversion"/>
  </si>
  <si>
    <t>취득원가기준</t>
    <phoneticPr fontId="2" type="noConversion"/>
  </si>
  <si>
    <t>약정운행거리</t>
    <phoneticPr fontId="2" type="noConversion"/>
  </si>
  <si>
    <t>2만km</t>
    <phoneticPr fontId="2" type="noConversion"/>
  </si>
  <si>
    <t>자동차세 테이블</t>
    <phoneticPr fontId="9" type="noConversion"/>
  </si>
  <si>
    <t>1000cc이하</t>
    <phoneticPr fontId="2" type="noConversion"/>
  </si>
  <si>
    <t>1600cc이하</t>
    <phoneticPr fontId="2" type="noConversion"/>
  </si>
  <si>
    <t>1600cc 초과</t>
    <phoneticPr fontId="2" type="noConversion"/>
  </si>
  <si>
    <t>일반</t>
    <phoneticPr fontId="9" type="noConversion"/>
  </si>
  <si>
    <t>태안모터스</t>
    <phoneticPr fontId="9" type="noConversion"/>
  </si>
  <si>
    <t>고진모터스</t>
    <phoneticPr fontId="9" type="noConversion"/>
  </si>
  <si>
    <t>KCC오토그룹</t>
    <phoneticPr fontId="9" type="noConversion"/>
  </si>
  <si>
    <t>씨앤디,쓰리피모터스</t>
    <phoneticPr fontId="9" type="noConversion"/>
  </si>
  <si>
    <t>부대비용</t>
    <phoneticPr fontId="2" type="noConversion"/>
  </si>
  <si>
    <t>자동차보험(월)</t>
    <phoneticPr fontId="2" type="noConversion"/>
  </si>
  <si>
    <t>제조사코드</t>
    <phoneticPr fontId="9" type="noConversion"/>
  </si>
  <si>
    <t>국산제조사</t>
    <phoneticPr fontId="9" type="noConversion"/>
  </si>
  <si>
    <t>최대잔가</t>
  </si>
  <si>
    <t>수입제조사</t>
    <phoneticPr fontId="9" type="noConversion"/>
  </si>
  <si>
    <t>일반잔가</t>
  </si>
  <si>
    <t>특판여부</t>
    <phoneticPr fontId="9" type="noConversion"/>
  </si>
  <si>
    <t>특판할인</t>
    <phoneticPr fontId="9" type="noConversion"/>
  </si>
  <si>
    <t>특판할인x</t>
    <phoneticPr fontId="9" type="noConversion"/>
  </si>
  <si>
    <t>SUBARU</t>
  </si>
  <si>
    <t>추가수수료</t>
    <phoneticPr fontId="2" type="noConversion"/>
  </si>
  <si>
    <t>있음</t>
    <phoneticPr fontId="2" type="noConversion"/>
  </si>
  <si>
    <t>없음</t>
    <phoneticPr fontId="2" type="noConversion"/>
  </si>
  <si>
    <t>VVIP</t>
    <phoneticPr fontId="2" type="noConversion"/>
  </si>
  <si>
    <t>대구</t>
    <phoneticPr fontId="2" type="noConversion"/>
  </si>
  <si>
    <t/>
  </si>
  <si>
    <t>수수료</t>
    <phoneticPr fontId="2" type="noConversion"/>
  </si>
  <si>
    <t>CM수수료</t>
    <phoneticPr fontId="2" type="noConversion"/>
  </si>
  <si>
    <t>AG수수료</t>
    <phoneticPr fontId="2" type="noConversion"/>
  </si>
  <si>
    <t>제휴수수료</t>
    <phoneticPr fontId="2" type="noConversion"/>
  </si>
  <si>
    <t>이손금</t>
    <phoneticPr fontId="2" type="noConversion"/>
  </si>
  <si>
    <t>IRR</t>
    <phoneticPr fontId="2" type="noConversion"/>
  </si>
  <si>
    <t>표면금리</t>
    <phoneticPr fontId="2" type="noConversion"/>
  </si>
  <si>
    <t>리스료</t>
    <phoneticPr fontId="2" type="noConversion"/>
  </si>
  <si>
    <t>국산차 구매 최대</t>
  </si>
  <si>
    <t>수입차 구매 최대</t>
  </si>
  <si>
    <t>잔가식</t>
    <phoneticPr fontId="9" type="noConversion"/>
  </si>
  <si>
    <t>구매최대</t>
    <phoneticPr fontId="9" type="noConversion"/>
  </si>
  <si>
    <t>구매최소</t>
    <phoneticPr fontId="9" type="noConversion"/>
  </si>
  <si>
    <t>최소잔가</t>
    <phoneticPr fontId="9" type="noConversion"/>
  </si>
  <si>
    <t>취득원가 기준</t>
    <phoneticPr fontId="9" type="noConversion"/>
  </si>
  <si>
    <t>최대</t>
    <phoneticPr fontId="9" type="noConversion"/>
  </si>
  <si>
    <t>CM total</t>
    <phoneticPr fontId="9" type="noConversion"/>
  </si>
  <si>
    <t>차량구분</t>
    <phoneticPr fontId="9" type="noConversion"/>
  </si>
  <si>
    <t>RV차량1, 아니면2</t>
    <phoneticPr fontId="9" type="noConversion"/>
  </si>
  <si>
    <t>2000cc미만1,아니면2</t>
    <phoneticPr fontId="9" type="noConversion"/>
  </si>
  <si>
    <t>국산탁송대행 원가관리금액</t>
    <phoneticPr fontId="9" type="noConversion"/>
  </si>
  <si>
    <t>잔가옵션금액</t>
    <phoneticPr fontId="9" type="noConversion"/>
  </si>
  <si>
    <t>유종</t>
    <phoneticPr fontId="2" type="noConversion"/>
  </si>
  <si>
    <t>인승</t>
    <phoneticPr fontId="2" type="noConversion"/>
  </si>
  <si>
    <t>하이브리드</t>
    <phoneticPr fontId="2" type="noConversion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</si>
  <si>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</si>
  <si>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</si>
  <si>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</si>
  <si>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</si>
  <si>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</si>
  <si>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</si>
  <si>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</si>
  <si>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</si>
  <si>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</si>
  <si>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</si>
  <si>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</si>
  <si>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</si>
  <si>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</si>
  <si>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</si>
  <si>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</si>
  <si>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</si>
  <si>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</si>
  <si>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</si>
  <si>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</si>
  <si>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</si>
  <si>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</si>
  <si>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</si>
  <si>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</si>
  <si>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</si>
  <si>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</si>
  <si>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</si>
  <si>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</si>
  <si>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</si>
  <si>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</si>
  <si>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</si>
  <si>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</si>
  <si>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잔가율_취득가</t>
  </si>
  <si>
    <t>모델명</t>
    <phoneticPr fontId="9" type="noConversion"/>
  </si>
  <si>
    <t>Mclaren</t>
    <phoneticPr fontId="2" type="noConversion"/>
  </si>
  <si>
    <t>Aston martin</t>
  </si>
  <si>
    <t>Aston martin</t>
    <phoneticPr fontId="2" type="noConversion"/>
  </si>
  <si>
    <t>잔가군</t>
    <phoneticPr fontId="9" type="noConversion"/>
  </si>
  <si>
    <t>개별잔가</t>
    <phoneticPr fontId="9" type="noConversion"/>
  </si>
  <si>
    <t>DB11</t>
  </si>
  <si>
    <t xml:space="preserve">V8 쿠페 </t>
  </si>
  <si>
    <t>Escalade</t>
  </si>
  <si>
    <t>Range Rover VELAR</t>
  </si>
  <si>
    <t>LC</t>
  </si>
  <si>
    <t>500h</t>
  </si>
  <si>
    <t>570S</t>
  </si>
  <si>
    <t xml:space="preserve">570S V8 Coupe </t>
  </si>
  <si>
    <t xml:space="preserve">C63 AMG  </t>
  </si>
  <si>
    <t>E220d Exclusive 4MATIC</t>
  </si>
  <si>
    <t>E300 AMG Line</t>
  </si>
  <si>
    <t>GLC-Coupe</t>
  </si>
  <si>
    <t>Carrera 4</t>
  </si>
  <si>
    <t>임대개별</t>
    <phoneticPr fontId="2" type="noConversion"/>
  </si>
  <si>
    <t>수입국산</t>
    <phoneticPr fontId="9" type="noConversion"/>
  </si>
  <si>
    <t>하이브리드</t>
    <phoneticPr fontId="9" type="noConversion"/>
  </si>
  <si>
    <t>승합차여부</t>
    <phoneticPr fontId="9" type="noConversion"/>
  </si>
  <si>
    <t>하이브리드여부</t>
    <phoneticPr fontId="9" type="noConversion"/>
  </si>
  <si>
    <t>화물차여부</t>
    <phoneticPr fontId="9" type="noConversion"/>
  </si>
  <si>
    <t>11인승이상여부</t>
    <phoneticPr fontId="9" type="noConversion"/>
  </si>
  <si>
    <t>인승</t>
    <phoneticPr fontId="9" type="noConversion"/>
  </si>
  <si>
    <t>취득세 계산</t>
    <phoneticPr fontId="9" type="noConversion"/>
  </si>
  <si>
    <t>취득세 율</t>
    <phoneticPr fontId="9" type="noConversion"/>
  </si>
  <si>
    <t>고잔가</t>
    <phoneticPr fontId="2" type="noConversion"/>
  </si>
  <si>
    <t>중잔가</t>
    <phoneticPr fontId="2" type="noConversion"/>
  </si>
  <si>
    <t>잔가옵션</t>
    <phoneticPr fontId="2" type="noConversion"/>
  </si>
  <si>
    <t>선수금</t>
    <phoneticPr fontId="2" type="noConversion"/>
  </si>
  <si>
    <t>X4 xDrive 20d M Sport Package</t>
  </si>
  <si>
    <t>720S</t>
  </si>
  <si>
    <t>CLA 250 4MATIC AMG Line</t>
  </si>
  <si>
    <t>금리</t>
    <phoneticPr fontId="2" type="noConversion"/>
  </si>
  <si>
    <t>JAGUAR&amp;LANDROVER</t>
  </si>
  <si>
    <t>JAGUAR&amp;LANDROVER</t>
    <phoneticPr fontId="2" type="noConversion"/>
  </si>
  <si>
    <t>6 Series GT</t>
  </si>
  <si>
    <t>640i xDrive GT Luxury</t>
  </si>
  <si>
    <t xml:space="preserve">GLA 220 </t>
  </si>
  <si>
    <t>GLA 220 Premium</t>
  </si>
  <si>
    <t>GLA 250 4MATIC</t>
  </si>
  <si>
    <t>X3 xDrive 20d xLine</t>
  </si>
  <si>
    <t>Range Rover</t>
  </si>
  <si>
    <t>Cayenne GTS</t>
  </si>
  <si>
    <t>GT W12</t>
  </si>
  <si>
    <t>컨티넨탈 쿠페</t>
  </si>
  <si>
    <t>GT V8</t>
  </si>
  <si>
    <t>LS 500h Luxury AWD</t>
  </si>
  <si>
    <t>LS 500h Platinum AWD</t>
  </si>
  <si>
    <t>570S Spider</t>
  </si>
  <si>
    <t>X6 M</t>
  </si>
  <si>
    <t>BMW</t>
    <phoneticPr fontId="9" type="noConversion"/>
  </si>
  <si>
    <t>PORSCHE</t>
    <phoneticPr fontId="9" type="noConversion"/>
  </si>
  <si>
    <t>C</t>
  </si>
  <si>
    <t>CLA 220 AMG Line</t>
  </si>
  <si>
    <t>2.0 TDI 4Motion Prestige</t>
  </si>
  <si>
    <t>2.0 TDI Prestige</t>
  </si>
  <si>
    <t>C63 AMG Cabriolet</t>
  </si>
  <si>
    <t>E-페이스</t>
  </si>
  <si>
    <t>P250 SE</t>
  </si>
  <si>
    <t>500 Luxury AWD</t>
  </si>
  <si>
    <t>500 Platinum AWD</t>
  </si>
  <si>
    <t>New Cayenne</t>
  </si>
  <si>
    <t>520i Luxury</t>
  </si>
  <si>
    <t>CLS-Class</t>
  </si>
  <si>
    <t>CLS 400d 4Matic</t>
  </si>
  <si>
    <t>CLS 400d 4Matic AMG Line</t>
  </si>
  <si>
    <t>XC40</t>
  </si>
  <si>
    <t>최대잔가기본리스료</t>
    <phoneticPr fontId="2" type="noConversion"/>
  </si>
  <si>
    <t>최대잔가최종리스료</t>
    <phoneticPr fontId="2" type="noConversion"/>
  </si>
  <si>
    <t>A잔가 순리스료</t>
    <phoneticPr fontId="2" type="noConversion"/>
  </si>
  <si>
    <t>B잔가 순리스료</t>
    <phoneticPr fontId="2" type="noConversion"/>
  </si>
  <si>
    <t>X Series X1</t>
  </si>
  <si>
    <t>C63 AMG Coupe</t>
  </si>
  <si>
    <t>640i xDrive GT M Sport (OC)</t>
  </si>
  <si>
    <t>X Series X2</t>
  </si>
  <si>
    <t>X6 M50d</t>
  </si>
  <si>
    <t>4도어 GT 베이직</t>
  </si>
  <si>
    <t>E220d Cabriolet</t>
  </si>
  <si>
    <t>GLS 500 4MATIC</t>
  </si>
  <si>
    <t>X4 xDrive 20d xLine</t>
  </si>
  <si>
    <t>전기차</t>
  </si>
  <si>
    <t>컬리넌</t>
  </si>
  <si>
    <t>Arteon</t>
  </si>
  <si>
    <t>2.0 TDI Elegance Premium</t>
  </si>
  <si>
    <t>2.0 TDI Elegance Prestige</t>
  </si>
  <si>
    <t>Y</t>
  </si>
  <si>
    <t>AUDI</t>
    <phoneticPr fontId="2" type="noConversion"/>
  </si>
  <si>
    <t>C250d 4MATIC</t>
  </si>
  <si>
    <t>C43 AMG 4MATIC Cabriolet</t>
  </si>
  <si>
    <t>C43 AMG 4MATIC Coupe</t>
  </si>
  <si>
    <t>C63 S Coupe</t>
  </si>
  <si>
    <t>E43 AMG 4Matic</t>
  </si>
  <si>
    <t>E63 AMG 4Matic</t>
  </si>
  <si>
    <t>350e 4Matic</t>
  </si>
  <si>
    <t>350e 4Matic AMG Line</t>
  </si>
  <si>
    <t>350e 4Matic Premium</t>
  </si>
  <si>
    <t>43 AMG 4MATIC</t>
  </si>
  <si>
    <t>300 4Matic Coupe</t>
  </si>
  <si>
    <t>300 4Matic Coupe AMGLine</t>
  </si>
  <si>
    <t>43 4MATIC AMG Coupe</t>
  </si>
  <si>
    <t>350d 4MATIC</t>
  </si>
  <si>
    <t>350d 4MATIC Premium</t>
  </si>
  <si>
    <t>63 AMG S 4MATIC Coupe</t>
  </si>
  <si>
    <t>S350d</t>
  </si>
  <si>
    <t xml:space="preserve">S350d 4MATIC </t>
  </si>
  <si>
    <t>43 AMG</t>
  </si>
  <si>
    <t>XLE</t>
  </si>
  <si>
    <t>법인 부가가치세표준증명원</t>
    <phoneticPr fontId="2" type="noConversion"/>
  </si>
  <si>
    <t>X Series X7</t>
  </si>
  <si>
    <t xml:space="preserve">S63 4M+L </t>
  </si>
  <si>
    <t>Superleggera</t>
  </si>
  <si>
    <t>530i Luxury Line Plus</t>
  </si>
  <si>
    <t>530i M Sport Package Plus</t>
  </si>
  <si>
    <t>530i xDrive Luxury Line Plus</t>
  </si>
  <si>
    <t>530i xDrive M Sport Package Plus</t>
  </si>
  <si>
    <t>X3 xDrive 20d M Sport Package</t>
  </si>
  <si>
    <t>X3 xDrive 30d M Sport Package</t>
  </si>
  <si>
    <t>xDrive 30d Design Pure Excellence First Edition(6인승)</t>
  </si>
  <si>
    <t>xDrive 30d Design Pure Excellence First Edition(7인승)</t>
  </si>
  <si>
    <t>xDrive 30d Design Pure Excellence(6인승)</t>
  </si>
  <si>
    <t>xDrive 30d Design Pure Excellence(7인승)</t>
  </si>
  <si>
    <t>xDrive 30d M Sport Package First Edition</t>
  </si>
  <si>
    <t>Z4 Roadster</t>
  </si>
  <si>
    <t>Z4 M40i</t>
  </si>
  <si>
    <t>Z4 sDrive 20i M Sport Package</t>
  </si>
  <si>
    <t>UX 하이브리드</t>
  </si>
  <si>
    <t>600LT</t>
  </si>
  <si>
    <t>600LT Coupe</t>
  </si>
  <si>
    <t>600LT Spider</t>
  </si>
  <si>
    <t>C43 AMG 4MATIC</t>
  </si>
  <si>
    <t xml:space="preserve">S450 4M L </t>
  </si>
  <si>
    <t>S560 4M 마이바흐</t>
  </si>
  <si>
    <t xml:space="preserve">S560 4M L </t>
  </si>
  <si>
    <t>S650 마이바흐</t>
  </si>
  <si>
    <t>Targa 4S</t>
  </si>
  <si>
    <t>718 Boxster</t>
  </si>
  <si>
    <t>718 Boxster S</t>
  </si>
  <si>
    <t>718 Cayman</t>
  </si>
  <si>
    <t>718 Cayman GTS</t>
  </si>
  <si>
    <t xml:space="preserve">718 Cayman S </t>
  </si>
  <si>
    <t>최근1개년도 재무제표 1부</t>
    <phoneticPr fontId="2" type="noConversion"/>
  </si>
  <si>
    <t xml:space="preserve">320d M Sport </t>
  </si>
  <si>
    <t>320d xDrive M Sport</t>
  </si>
  <si>
    <t>620d GT Luxury</t>
  </si>
  <si>
    <t>620d xDrive GT Luxury</t>
  </si>
  <si>
    <t>X5M</t>
  </si>
  <si>
    <t>가능차종</t>
  </si>
  <si>
    <t>가능개월수</t>
  </si>
  <si>
    <t>C220d</t>
  </si>
  <si>
    <t>36,48,60</t>
  </si>
  <si>
    <t>E300</t>
  </si>
  <si>
    <t>S450/560</t>
  </si>
  <si>
    <t>CLS400d</t>
  </si>
  <si>
    <t>36,48</t>
  </si>
  <si>
    <t>C220d EX 4m</t>
  </si>
  <si>
    <t>C220d AMG Line 4m</t>
  </si>
  <si>
    <t>C220d 4m Coupe</t>
  </si>
  <si>
    <t>36,48,60</t>
    <phoneticPr fontId="2" type="noConversion"/>
  </si>
  <si>
    <t>일반잔가</t>
    <phoneticPr fontId="2" type="noConversion"/>
  </si>
  <si>
    <t>일반잔가 순리스료</t>
  </si>
  <si>
    <t>최소</t>
  </si>
  <si>
    <t>E350 4MATIC AMG Line</t>
  </si>
  <si>
    <t>E450 4MATIC Exclusive</t>
  </si>
  <si>
    <t>E53 AMG 4MATIC</t>
  </si>
  <si>
    <t>300 4MATIC</t>
  </si>
  <si>
    <t>300 4MATIC AMG Line</t>
  </si>
  <si>
    <t>S 63 AMG 4MATIC Coupe</t>
  </si>
  <si>
    <t>730d xDrive DPE</t>
  </si>
  <si>
    <t>730d xDrive M Sport</t>
  </si>
  <si>
    <t>730Ld xDrive DPE</t>
  </si>
  <si>
    <t>730Ld xDrive M Sport</t>
  </si>
  <si>
    <t>740d xDrive DPE</t>
  </si>
  <si>
    <t>740Ld xDrive DPE</t>
  </si>
  <si>
    <t>740Ld xDrive M Sport</t>
  </si>
  <si>
    <t>740Li xDrive DPE</t>
  </si>
  <si>
    <t>740Li xDrive M Sport</t>
  </si>
  <si>
    <t>750Li xDrive DPE</t>
  </si>
  <si>
    <t>750Li xDrive DPE Prestige</t>
  </si>
  <si>
    <t>750Li xDrive M Sport</t>
  </si>
  <si>
    <t>NAUTILUS</t>
  </si>
  <si>
    <t>AMG GT 4door</t>
  </si>
  <si>
    <t>43 4matic+ 쿠페</t>
  </si>
  <si>
    <t>63 S 4matic+ 쿠페</t>
  </si>
  <si>
    <t>주주명부</t>
    <phoneticPr fontId="2" type="noConversion"/>
  </si>
  <si>
    <t>C200</t>
  </si>
  <si>
    <t>C350e</t>
  </si>
  <si>
    <t>CLS 300d AMG Line</t>
  </si>
  <si>
    <t>E450 Cabriolet</t>
  </si>
  <si>
    <t>E450 4MATIC Cabriolet</t>
  </si>
  <si>
    <t>E450 4MATIC Coupe</t>
  </si>
  <si>
    <t>S 63 AMG 4MATIC Cabriolet</t>
  </si>
  <si>
    <t>벤츠KCC오토</t>
    <phoneticPr fontId="2" type="noConversion"/>
  </si>
  <si>
    <t>전용견적사용</t>
    <phoneticPr fontId="2" type="noConversion"/>
  </si>
  <si>
    <t>xDrive 40i Design Pure Excellence(6인승)</t>
  </si>
  <si>
    <t>xDrive 40i Design Pure Excellence(7인승)</t>
  </si>
  <si>
    <t>xDrive 40i M Sport Package(6인승)</t>
  </si>
  <si>
    <t>A 220</t>
  </si>
  <si>
    <t>620d GT M Sport</t>
    <phoneticPr fontId="2" type="noConversion"/>
  </si>
  <si>
    <t>620d xDrive GT M Sport</t>
    <phoneticPr fontId="2" type="noConversion"/>
  </si>
  <si>
    <t>X4 xDrive 20d M Sport X</t>
    <phoneticPr fontId="2" type="noConversion"/>
  </si>
  <si>
    <t>S650 마이바흐 Pullman</t>
  </si>
  <si>
    <t>CLS 450 4Matic AMG Line</t>
  </si>
  <si>
    <t>CLS 53 AMG 4Matic</t>
  </si>
  <si>
    <t>CLS 53 AMG 4Matic+ Edition1</t>
  </si>
  <si>
    <t>G63 AMG Edition</t>
  </si>
  <si>
    <t>300d 4Matic</t>
  </si>
  <si>
    <t>450 4Matic</t>
  </si>
  <si>
    <t>x5 30d</t>
    <phoneticPr fontId="2" type="noConversion"/>
  </si>
  <si>
    <t>장기선수금</t>
    <phoneticPr fontId="2" type="noConversion"/>
  </si>
  <si>
    <t>취득원가</t>
    <phoneticPr fontId="2" type="noConversion"/>
  </si>
  <si>
    <t>선수금or장기선수금</t>
    <phoneticPr fontId="2" type="noConversion"/>
  </si>
  <si>
    <t>대표이사 인감증명서 1통</t>
    <phoneticPr fontId="2" type="noConversion"/>
  </si>
  <si>
    <t>법인인감증명서1통</t>
    <phoneticPr fontId="2" type="noConversion"/>
  </si>
  <si>
    <t>인감증명서 1통</t>
    <phoneticPr fontId="2" type="noConversion"/>
  </si>
  <si>
    <t>630i xDrive GT Luxury</t>
  </si>
  <si>
    <t>630i xDrive GT M sport</t>
  </si>
  <si>
    <t>X3 M</t>
    <phoneticPr fontId="2" type="noConversion"/>
  </si>
  <si>
    <t>X4 M</t>
    <phoneticPr fontId="2" type="noConversion"/>
  </si>
  <si>
    <t>63 S 4matic+ 쿠페</t>
    <phoneticPr fontId="2" type="noConversion"/>
  </si>
  <si>
    <t>선수금에 따른 리스료 할인</t>
    <phoneticPr fontId="2" type="noConversion"/>
  </si>
  <si>
    <t>보증금에 따른 리스료 할인</t>
    <phoneticPr fontId="2" type="noConversion"/>
  </si>
  <si>
    <t>승용차</t>
    <phoneticPr fontId="2" type="noConversion"/>
  </si>
  <si>
    <t>*수수료 금액 주의(담당자 문의)</t>
    <phoneticPr fontId="2" type="noConversion"/>
  </si>
  <si>
    <t>X2 xDrive 18d Advantage</t>
  </si>
  <si>
    <t>X2 xDrive 18d M Sport</t>
  </si>
  <si>
    <t>M340i</t>
  </si>
  <si>
    <t>A5</t>
  </si>
  <si>
    <t>M Series M8 Coupe</t>
  </si>
  <si>
    <t>M8 Coupe Competition</t>
  </si>
  <si>
    <t>E250 Avantgarde</t>
    <phoneticPr fontId="2" type="noConversion"/>
  </si>
  <si>
    <t>xDrive 18d Advantage</t>
    <phoneticPr fontId="2" type="noConversion"/>
  </si>
  <si>
    <t>xDrive 18d M Sport</t>
    <phoneticPr fontId="2" type="noConversion"/>
  </si>
  <si>
    <t>xDrive 20i advantage</t>
    <phoneticPr fontId="2" type="noConversion"/>
  </si>
  <si>
    <t xml:space="preserve">xDrive 20i M Sport </t>
    <phoneticPr fontId="2" type="noConversion"/>
  </si>
  <si>
    <t>X2 xDrive 20i Advantage</t>
    <phoneticPr fontId="2" type="noConversion"/>
  </si>
  <si>
    <t>X2 xDrive 20i M Sport</t>
  </si>
  <si>
    <t>PORSCHE</t>
    <phoneticPr fontId="2" type="noConversion"/>
  </si>
  <si>
    <t>530e Luxury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</si>
  <si>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</si>
  <si>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</si>
  <si>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</si>
  <si>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</si>
  <si>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</si>
  <si>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</si>
  <si>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</si>
  <si>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</si>
  <si>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</si>
  <si>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</si>
  <si>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</si>
  <si>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</si>
  <si>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</si>
  <si>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</si>
  <si>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</si>
  <si>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</si>
  <si>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</si>
  <si>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</si>
  <si>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</si>
  <si>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</si>
  <si>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</si>
  <si>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</si>
  <si>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</si>
  <si>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</si>
  <si>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</si>
  <si>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</si>
  <si>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</si>
  <si>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</si>
  <si>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</si>
  <si>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</si>
  <si>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</si>
  <si>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</si>
  <si>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</si>
  <si>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</si>
  <si>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</si>
  <si>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</si>
  <si>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</si>
  <si>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</si>
  <si>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</si>
  <si>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</si>
  <si>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</si>
  <si>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</si>
  <si>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</si>
  <si>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</si>
  <si>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</si>
  <si>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</si>
  <si>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</si>
  <si>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</si>
  <si>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</si>
  <si>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</si>
  <si>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</si>
  <si>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</si>
  <si>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</si>
  <si>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</si>
  <si>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</si>
  <si>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</si>
  <si>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</si>
  <si>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</si>
  <si>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</si>
  <si>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</si>
  <si>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</si>
  <si>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</si>
  <si>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</si>
  <si>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</si>
  <si>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</si>
  <si>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</si>
  <si>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</si>
  <si>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0978</t>
  </si>
  <si>
    <t>0979</t>
  </si>
  <si>
    <t>0985</t>
  </si>
  <si>
    <t>0988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</si>
  <si>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</si>
  <si>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</si>
  <si>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</si>
  <si>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</si>
  <si>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</si>
  <si>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</si>
  <si>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</si>
  <si>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</si>
  <si>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</si>
  <si>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</si>
  <si>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</si>
  <si>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</si>
  <si>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</si>
  <si>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</si>
  <si>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</si>
  <si>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</si>
  <si>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</si>
  <si>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</si>
  <si>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</si>
  <si>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</si>
  <si>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</si>
  <si>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</si>
  <si>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</si>
  <si>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</si>
  <si>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</si>
  <si>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</si>
  <si>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</si>
  <si>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</si>
  <si>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</si>
  <si>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</si>
  <si>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</si>
  <si>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</si>
  <si>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</si>
  <si>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</si>
  <si>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</si>
  <si>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</si>
  <si>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</si>
  <si>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</si>
  <si>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</si>
  <si>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</si>
  <si>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</si>
  <si>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</si>
  <si>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</si>
  <si>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</si>
  <si>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</si>
  <si>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</si>
  <si>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</si>
  <si>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</si>
  <si>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</si>
  <si>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</si>
  <si>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1045</t>
  </si>
  <si>
    <t>1046</t>
  </si>
  <si>
    <t>1047</t>
  </si>
  <si>
    <t>1048</t>
  </si>
  <si>
    <t>1049</t>
  </si>
  <si>
    <t>1050</t>
  </si>
  <si>
    <t>1053</t>
  </si>
  <si>
    <t>1054</t>
  </si>
  <si>
    <t>1055</t>
  </si>
  <si>
    <t>1056</t>
  </si>
  <si>
    <t>1057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</si>
  <si>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</si>
  <si>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</si>
  <si>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</si>
  <si>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</si>
  <si>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</si>
  <si>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</si>
  <si>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</si>
  <si>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</si>
  <si>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</si>
  <si>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</si>
  <si>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</si>
  <si>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</si>
  <si>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</si>
  <si>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</si>
  <si>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</si>
  <si>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</si>
  <si>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</si>
  <si>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</si>
  <si>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</si>
  <si>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</si>
  <si>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</si>
  <si>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</si>
  <si>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</si>
  <si>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</si>
  <si>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</si>
  <si>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</si>
  <si>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</si>
  <si>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</si>
  <si>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</si>
  <si>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</si>
  <si>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</si>
  <si>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</si>
  <si>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</si>
  <si>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</si>
  <si>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</si>
  <si>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</si>
  <si>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</si>
  <si>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</si>
  <si>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</si>
  <si>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</si>
  <si>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</si>
  <si>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</si>
  <si>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</si>
  <si>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</si>
  <si>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</si>
  <si>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</si>
  <si>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</si>
  <si>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</si>
  <si>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</si>
  <si>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</si>
  <si>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</si>
  <si>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</si>
  <si>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</si>
  <si>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</si>
  <si>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</si>
  <si>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</si>
  <si>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</si>
  <si>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</si>
  <si>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</si>
  <si>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</si>
  <si>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</si>
  <si>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</si>
  <si>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</si>
  <si>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</si>
  <si>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</si>
  <si>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</si>
  <si>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</si>
  <si>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</si>
  <si>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</si>
  <si>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</si>
  <si>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</si>
  <si>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</si>
  <si>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</si>
  <si>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</si>
  <si>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</si>
  <si>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</si>
  <si>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</si>
  <si>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</si>
  <si>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</si>
  <si>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</si>
  <si>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</si>
  <si>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</si>
  <si>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</si>
  <si>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</si>
  <si>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</si>
  <si>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</si>
  <si>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</si>
  <si>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</si>
  <si>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</si>
  <si>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</si>
  <si>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</si>
  <si>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</si>
  <si>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</si>
  <si>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</si>
  <si>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</si>
  <si>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</si>
  <si>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</si>
  <si>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</si>
  <si>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</si>
  <si>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</si>
  <si>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</si>
  <si>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</si>
  <si>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</si>
  <si>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</si>
  <si>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</si>
  <si>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</si>
  <si>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</si>
  <si>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</si>
  <si>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</si>
  <si>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</si>
  <si>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</si>
  <si>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</si>
  <si>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</si>
  <si>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</si>
  <si>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</si>
  <si>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</si>
  <si>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</si>
  <si>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</si>
  <si>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</si>
  <si>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</si>
  <si>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</si>
  <si>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</si>
  <si>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</si>
  <si>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</si>
  <si>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</si>
  <si>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</si>
  <si>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</si>
  <si>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</si>
  <si>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</si>
  <si>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</si>
  <si>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</si>
  <si>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</si>
  <si>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</si>
  <si>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</si>
  <si>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</si>
  <si>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</si>
  <si>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</si>
  <si>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</si>
  <si>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</si>
  <si>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</si>
  <si>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</si>
  <si>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</si>
  <si>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</si>
  <si>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</si>
  <si>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</si>
  <si>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</si>
  <si>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</si>
  <si>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</si>
  <si>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</si>
  <si>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</si>
  <si>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</si>
  <si>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</si>
  <si>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</si>
  <si>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</si>
  <si>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</si>
  <si>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</si>
  <si>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</si>
  <si>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</si>
  <si>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</si>
  <si>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</si>
  <si>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</si>
  <si>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</si>
  <si>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</si>
  <si>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</si>
  <si>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</si>
  <si>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</si>
  <si>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</si>
  <si>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</si>
  <si>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</si>
  <si>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</si>
  <si>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</si>
  <si>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</si>
  <si>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</si>
  <si>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</si>
  <si>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</si>
  <si>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</si>
  <si>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</si>
  <si>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</si>
  <si>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</si>
  <si>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</si>
  <si>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</si>
  <si>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</si>
  <si>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</si>
  <si>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</si>
  <si>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</si>
  <si>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</si>
  <si>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</si>
  <si>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</si>
  <si>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</si>
  <si>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</si>
  <si>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</si>
  <si>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</si>
  <si>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</si>
  <si>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</si>
  <si>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</si>
  <si>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</si>
  <si>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</si>
  <si>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</si>
  <si>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</si>
  <si>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</si>
  <si>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</si>
  <si>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</si>
  <si>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</si>
  <si>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</si>
  <si>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</si>
  <si>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</si>
  <si>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</si>
  <si>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</si>
  <si>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</si>
  <si>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</si>
  <si>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</si>
  <si>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</si>
  <si>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</si>
  <si>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</si>
  <si>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</si>
  <si>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</si>
  <si>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</si>
  <si>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</si>
  <si>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</si>
  <si>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</si>
  <si>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</si>
  <si>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</si>
  <si>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</si>
  <si>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</si>
  <si>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</si>
  <si>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</si>
  <si>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</si>
  <si>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</si>
  <si>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</si>
  <si>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</si>
  <si>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</si>
  <si>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</si>
  <si>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</si>
  <si>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</si>
  <si>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</si>
  <si>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</si>
  <si>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</si>
  <si>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</si>
  <si>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</si>
  <si>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</si>
  <si>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</si>
  <si>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</si>
  <si>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</si>
  <si>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</si>
  <si>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</si>
  <si>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</si>
  <si>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</si>
  <si>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</si>
  <si>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</si>
  <si>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</si>
  <si>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</si>
  <si>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</si>
  <si>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1320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</si>
  <si>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</si>
  <si>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</si>
  <si>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</si>
  <si>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</si>
  <si>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</si>
  <si>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</si>
  <si>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</si>
  <si>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</si>
  <si>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</si>
  <si>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</si>
  <si>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</si>
  <si>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</si>
  <si>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</si>
  <si>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</si>
  <si>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</si>
  <si>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</si>
  <si>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</si>
  <si>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</si>
  <si>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</si>
  <si>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</si>
  <si>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</si>
  <si>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</si>
  <si>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</si>
  <si>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</si>
  <si>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</si>
  <si>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</si>
  <si>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</si>
  <si>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</si>
  <si>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</si>
  <si>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</si>
  <si>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</si>
  <si>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</si>
  <si>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</si>
  <si>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</si>
  <si>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</si>
  <si>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</si>
  <si>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</si>
  <si>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</si>
  <si>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</si>
  <si>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1366</t>
  </si>
  <si>
    <t>1367</t>
  </si>
  <si>
    <t>1368</t>
  </si>
  <si>
    <t>1370</t>
  </si>
  <si>
    <t>1372</t>
  </si>
  <si>
    <t>1373</t>
  </si>
  <si>
    <t>1374</t>
  </si>
  <si>
    <t>1375</t>
  </si>
  <si>
    <t>1376</t>
  </si>
  <si>
    <t>1377</t>
  </si>
  <si>
    <t>1378</t>
  </si>
  <si>
    <t>1381</t>
  </si>
  <si>
    <t>1384</t>
  </si>
  <si>
    <t>1387</t>
  </si>
  <si>
    <t>1389</t>
  </si>
  <si>
    <t>1390</t>
  </si>
  <si>
    <t>1392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</si>
  <si>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</si>
  <si>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</si>
  <si>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</si>
  <si>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</si>
  <si>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</si>
  <si>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</si>
  <si>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</si>
  <si>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</si>
  <si>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</si>
  <si>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</si>
  <si>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</si>
  <si>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</si>
  <si>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</si>
  <si>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</si>
  <si>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</si>
  <si>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</si>
  <si>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</si>
  <si>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Q7</t>
  </si>
  <si>
    <t>40 TFSI</t>
  </si>
  <si>
    <t>A4</t>
  </si>
  <si>
    <t>A8</t>
  </si>
  <si>
    <t>L 55 TFSI Q</t>
  </si>
  <si>
    <t>E300 4matic AMG Line</t>
    <phoneticPr fontId="2" type="noConversion"/>
  </si>
  <si>
    <t>E300e 4matic Exclusive</t>
    <phoneticPr fontId="2" type="noConversion"/>
  </si>
  <si>
    <t>S560 e</t>
    <phoneticPr fontId="2" type="noConversion"/>
  </si>
  <si>
    <t>Y</t>
    <phoneticPr fontId="2" type="noConversion"/>
  </si>
  <si>
    <t xml:space="preserve">A250 4matic </t>
    <phoneticPr fontId="2" type="noConversion"/>
  </si>
  <si>
    <t>A 35 4MATIC AMG</t>
    <phoneticPr fontId="2" type="noConversion"/>
  </si>
  <si>
    <t>C200 AV</t>
    <phoneticPr fontId="2" type="noConversion"/>
  </si>
  <si>
    <t xml:space="preserve">AMG CLA S 45 4MATIC </t>
    <phoneticPr fontId="2" type="noConversion"/>
  </si>
  <si>
    <t>220d 4MATIC</t>
    <phoneticPr fontId="2" type="noConversion"/>
  </si>
  <si>
    <t>300 4MATIC premium</t>
    <phoneticPr fontId="2" type="noConversion"/>
  </si>
  <si>
    <t>220d 4Matic Coupe</t>
    <phoneticPr fontId="2" type="noConversion"/>
  </si>
  <si>
    <t>300 4Matic Coupe premium</t>
    <phoneticPr fontId="2" type="noConversion"/>
  </si>
  <si>
    <t>Touareg</t>
    <phoneticPr fontId="2" type="noConversion"/>
  </si>
  <si>
    <t>3.0 TDI Premium</t>
  </si>
  <si>
    <t>3.0 TDI Prestige</t>
  </si>
  <si>
    <t>3.0 TDI R-Line</t>
  </si>
  <si>
    <t xml:space="preserve">S350 L </t>
    <phoneticPr fontId="2" type="noConversion"/>
  </si>
  <si>
    <t>6.2 Platinum A/T</t>
  </si>
  <si>
    <t>Kona brown</t>
  </si>
  <si>
    <t>Luxury V8 A/T</t>
  </si>
  <si>
    <t>X6 xDrive 30d xline</t>
    <phoneticPr fontId="2" type="noConversion"/>
  </si>
  <si>
    <t>X6 xDrive 30d M Sport</t>
    <phoneticPr fontId="2" type="noConversion"/>
  </si>
  <si>
    <t xml:space="preserve">720S Copue Luxury  </t>
    <phoneticPr fontId="2" type="noConversion"/>
  </si>
  <si>
    <t>취득세(포함 필수)</t>
    <phoneticPr fontId="2" type="noConversion"/>
  </si>
  <si>
    <t>MercedesBenz</t>
    <phoneticPr fontId="2" type="noConversion"/>
  </si>
  <si>
    <t>MercedesBenz</t>
    <phoneticPr fontId="9" type="noConversion"/>
  </si>
  <si>
    <t>New Cayenne coupe</t>
    <phoneticPr fontId="2" type="noConversion"/>
  </si>
  <si>
    <t>비율입력</t>
    <phoneticPr fontId="2" type="noConversion"/>
  </si>
  <si>
    <t>직접수기입력</t>
    <phoneticPr fontId="2" type="noConversion"/>
  </si>
  <si>
    <t>보증금 ,선수금입력방식</t>
    <phoneticPr fontId="2" type="noConversion"/>
  </si>
  <si>
    <t>A 220 sedan</t>
    <phoneticPr fontId="2" type="noConversion"/>
  </si>
  <si>
    <t>X3 xDrive 20i luxury</t>
    <phoneticPr fontId="2" type="noConversion"/>
  </si>
  <si>
    <t>X4 xDrive 20i M Sport X</t>
    <phoneticPr fontId="2" type="noConversion"/>
  </si>
  <si>
    <t>X4 xDrive 20i X line</t>
    <phoneticPr fontId="2" type="noConversion"/>
  </si>
  <si>
    <t>결제수단</t>
    <phoneticPr fontId="2" type="noConversion"/>
  </si>
  <si>
    <t>현금결제</t>
    <phoneticPr fontId="2" type="noConversion"/>
  </si>
  <si>
    <t>카드결제</t>
    <phoneticPr fontId="2" type="noConversion"/>
  </si>
  <si>
    <t>국산 전략차종 IRR하향</t>
    <phoneticPr fontId="2" type="noConversion"/>
  </si>
  <si>
    <t>G80</t>
    <phoneticPr fontId="2" type="noConversion"/>
  </si>
  <si>
    <t>K9</t>
    <phoneticPr fontId="2" type="noConversion"/>
  </si>
  <si>
    <t>▶ 탁송료 세금계산서 발생시 입력</t>
    <phoneticPr fontId="2" type="noConversion"/>
  </si>
  <si>
    <t xml:space="preserve">▶ 국산차 진행시 확인선택 필수 </t>
    <phoneticPr fontId="2" type="noConversion"/>
  </si>
  <si>
    <t xml:space="preserve">    수입차는 모두 현금결제</t>
    <phoneticPr fontId="2" type="noConversion"/>
  </si>
  <si>
    <t>C220d AV 4matic</t>
    <phoneticPr fontId="2" type="noConversion"/>
  </si>
  <si>
    <t>Cayenne E-hybrid</t>
    <phoneticPr fontId="2" type="noConversion"/>
  </si>
  <si>
    <t>A7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</si>
  <si>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</si>
  <si>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</si>
  <si>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</si>
  <si>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c잔가 순리스료</t>
    <phoneticPr fontId="2" type="noConversion"/>
  </si>
  <si>
    <t>디젤</t>
    <phoneticPr fontId="2" type="noConversion"/>
  </si>
  <si>
    <t>잔가상향</t>
    <phoneticPr fontId="2" type="noConversion"/>
  </si>
  <si>
    <t>잔가구간</t>
    <phoneticPr fontId="2" type="noConversion"/>
  </si>
  <si>
    <t>잔가보장수수료</t>
    <phoneticPr fontId="2" type="noConversion"/>
  </si>
  <si>
    <t>승용RV</t>
    <phoneticPr fontId="2" type="noConversion"/>
  </si>
  <si>
    <t>Q8</t>
    <phoneticPr fontId="2" type="noConversion"/>
  </si>
  <si>
    <t>530e M Sport package</t>
    <phoneticPr fontId="2" type="noConversion"/>
  </si>
  <si>
    <t>x5 xDrive 40i m sport</t>
  </si>
  <si>
    <t>N</t>
    <phoneticPr fontId="2" type="noConversion"/>
  </si>
  <si>
    <t>x5 xDrive 40i xLine</t>
  </si>
  <si>
    <t>XT6</t>
    <phoneticPr fontId="2" type="noConversion"/>
  </si>
  <si>
    <t>3.6 sport(6인승)</t>
    <phoneticPr fontId="2" type="noConversion"/>
  </si>
  <si>
    <t>3.6 sport(7인승)</t>
    <phoneticPr fontId="2" type="noConversion"/>
  </si>
  <si>
    <t>오토</t>
    <phoneticPr fontId="2" type="noConversion"/>
  </si>
  <si>
    <t>5.2 가솔린 Huracan evo Spider</t>
  </si>
  <si>
    <t>E220d Coupe</t>
  </si>
  <si>
    <t>63 4Matic+</t>
    <phoneticPr fontId="2" type="noConversion"/>
  </si>
  <si>
    <t>→ 차량가 상이시 수기입력</t>
    <phoneticPr fontId="2" type="noConversion"/>
  </si>
  <si>
    <t>→ 0%, 입력상태에서만 수기입력 가능</t>
    <phoneticPr fontId="2" type="noConversion"/>
  </si>
  <si>
    <t>수입차 IRR 추가 하향</t>
    <phoneticPr fontId="2" type="noConversion"/>
  </si>
  <si>
    <t>수입차 재규어 IRR상향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</si>
  <si>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</si>
  <si>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</si>
  <si>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</si>
  <si>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</si>
  <si>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</si>
  <si>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</si>
  <si>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</si>
  <si>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</si>
  <si>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</si>
  <si>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</si>
  <si>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</si>
  <si>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</si>
  <si>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</si>
  <si>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</si>
  <si>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</si>
  <si>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랜드로버 차량만 irr4.2%</t>
    <phoneticPr fontId="2" type="noConversion"/>
  </si>
  <si>
    <t>0168</t>
    <phoneticPr fontId="2" type="noConversion"/>
  </si>
  <si>
    <t>0169</t>
    <phoneticPr fontId="2" type="noConversion"/>
  </si>
  <si>
    <t>0170</t>
    <phoneticPr fontId="2" type="noConversion"/>
  </si>
  <si>
    <t>0171</t>
    <phoneticPr fontId="2" type="noConversion"/>
  </si>
  <si>
    <t>0172</t>
    <phoneticPr fontId="2" type="noConversion"/>
  </si>
  <si>
    <t>0173</t>
    <phoneticPr fontId="2" type="noConversion"/>
  </si>
  <si>
    <t>B 구매최대</t>
    <phoneticPr fontId="2" type="noConversion"/>
  </si>
  <si>
    <t>B 고잔가</t>
    <phoneticPr fontId="2" type="noConversion"/>
  </si>
  <si>
    <t>B 중잔가</t>
    <phoneticPr fontId="2" type="noConversion"/>
  </si>
  <si>
    <t>국산차 구매 최대 (C)</t>
    <phoneticPr fontId="2" type="noConversion"/>
  </si>
  <si>
    <t>모델</t>
    <phoneticPr fontId="2" type="noConversion"/>
  </si>
  <si>
    <t>740i sDrive DPE</t>
    <phoneticPr fontId="2" type="noConversion"/>
  </si>
  <si>
    <t>740i sDrive M Sport Package</t>
    <phoneticPr fontId="2" type="noConversion"/>
  </si>
  <si>
    <t>토탈피</t>
    <phoneticPr fontId="2" type="noConversion"/>
  </si>
  <si>
    <t>금리산출용</t>
    <phoneticPr fontId="2" type="noConversion"/>
  </si>
  <si>
    <t>국산차 구매 최대 (B)</t>
    <phoneticPr fontId="2" type="noConversion"/>
  </si>
  <si>
    <t>수입차 구매 최대 (B)</t>
    <phoneticPr fontId="2" type="noConversion"/>
  </si>
  <si>
    <t>1.5만km</t>
    <phoneticPr fontId="2" type="noConversion"/>
  </si>
  <si>
    <t>3만km</t>
    <phoneticPr fontId="2" type="noConversion"/>
  </si>
  <si>
    <t>3만기준</t>
    <phoneticPr fontId="2" type="noConversion"/>
  </si>
  <si>
    <t>A 2,3만 km</t>
    <phoneticPr fontId="2" type="noConversion"/>
  </si>
  <si>
    <t>C 1.5~3만 km</t>
    <phoneticPr fontId="2" type="noConversion"/>
  </si>
  <si>
    <t>B 1.5~3만 km</t>
    <phoneticPr fontId="2" type="noConversion"/>
  </si>
  <si>
    <t>Q3</t>
  </si>
  <si>
    <t>35 TDI Premium</t>
  </si>
  <si>
    <t>35 TDI</t>
  </si>
  <si>
    <t>GLS 400d 4matic</t>
  </si>
  <si>
    <t>GLS 580 4Matic</t>
  </si>
  <si>
    <t>Maybach S560 4matic monaco (4인승)</t>
  </si>
  <si>
    <t>Maybach S560 4matic New york (4인승)</t>
  </si>
  <si>
    <t>Maybach S560 4matic New york</t>
  </si>
  <si>
    <t>Maybach S560 4matic Lounge (4인승)</t>
  </si>
  <si>
    <t>Maybach S560 4matic Rodeo drive LosAngeles (4인승)</t>
  </si>
  <si>
    <t>Maybach S560 4matic monaco</t>
  </si>
  <si>
    <t>Corsair</t>
  </si>
  <si>
    <t>리저브 2.0</t>
  </si>
  <si>
    <t>Q5</t>
    <phoneticPr fontId="2" type="noConversion"/>
  </si>
  <si>
    <t>M Series M8 Coupe</t>
    <phoneticPr fontId="2" type="noConversion"/>
  </si>
  <si>
    <t>M8 Gran Coupe Competition</t>
  </si>
  <si>
    <t>재규어 IRR 상향</t>
    <phoneticPr fontId="2" type="noConversion"/>
  </si>
  <si>
    <t>320i M Sport Package</t>
  </si>
  <si>
    <t>320i</t>
    <phoneticPr fontId="2" type="noConversion"/>
  </si>
  <si>
    <t>520i M Sport</t>
    <phoneticPr fontId="2" type="noConversion"/>
  </si>
  <si>
    <t>M 760Li xDrive V12 Excellence</t>
    <phoneticPr fontId="2" type="noConversion"/>
  </si>
  <si>
    <t>잔가1상향</t>
    <phoneticPr fontId="2" type="noConversion"/>
  </si>
  <si>
    <t>잔가2상향</t>
    <phoneticPr fontId="2" type="noConversion"/>
  </si>
  <si>
    <t>A6</t>
    <phoneticPr fontId="2" type="noConversion"/>
  </si>
  <si>
    <t>A6 40 TDI</t>
    <phoneticPr fontId="2" type="noConversion"/>
  </si>
  <si>
    <t>A7 50 TDI Quattro Premium</t>
    <phoneticPr fontId="2" type="noConversion"/>
  </si>
  <si>
    <t>Q5 45 TFSI Q premium</t>
    <phoneticPr fontId="2" type="noConversion"/>
  </si>
  <si>
    <t>Q5 45 TFSI Q</t>
    <phoneticPr fontId="2" type="noConversion"/>
  </si>
  <si>
    <t>A6 40 TDI Premium</t>
    <phoneticPr fontId="2" type="noConversion"/>
  </si>
  <si>
    <t>A6 40 TDI Quattro Premium</t>
    <phoneticPr fontId="2" type="noConversion"/>
  </si>
  <si>
    <t xml:space="preserve">S350 L </t>
  </si>
  <si>
    <t>cLSclass</t>
    <phoneticPr fontId="2" type="noConversion"/>
  </si>
  <si>
    <t>S350d</t>
    <phoneticPr fontId="85" type="noConversion"/>
  </si>
  <si>
    <t>X4 xDrive 20d M Sport X</t>
  </si>
  <si>
    <t>X6 xDrive 30d xline</t>
  </si>
  <si>
    <t>X6 xDrive 30d M Sport</t>
  </si>
  <si>
    <t>Q7 45 TDI Q</t>
    <phoneticPr fontId="2" type="noConversion"/>
  </si>
  <si>
    <t xml:space="preserve">x5 xDrive 30d M Sport Package </t>
    <phoneticPr fontId="2" type="noConversion"/>
  </si>
  <si>
    <t>x5 xDrive 30d xLine</t>
    <phoneticPr fontId="2" type="noConversion"/>
  </si>
  <si>
    <t>x5 xDrive 30d xLine(7인승)</t>
    <phoneticPr fontId="2" type="noConversion"/>
  </si>
  <si>
    <t xml:space="preserve">x5 xDrive M50d </t>
  </si>
  <si>
    <t>x6 40i M Sport Package xDrive</t>
    <phoneticPr fontId="2" type="noConversion"/>
  </si>
  <si>
    <t>GLS</t>
    <phoneticPr fontId="2" type="noConversion"/>
  </si>
  <si>
    <t>GLE</t>
    <phoneticPr fontId="2" type="noConversion"/>
  </si>
  <si>
    <t>7series</t>
    <phoneticPr fontId="2" type="noConversion"/>
  </si>
  <si>
    <t>x3</t>
    <phoneticPr fontId="2" type="noConversion"/>
  </si>
  <si>
    <t>x4</t>
    <phoneticPr fontId="2" type="noConversion"/>
  </si>
  <si>
    <t>x6</t>
    <phoneticPr fontId="2" type="noConversion"/>
  </si>
  <si>
    <t>q7</t>
    <phoneticPr fontId="2" type="noConversion"/>
  </si>
  <si>
    <t>x5</t>
    <phoneticPr fontId="2" type="noConversion"/>
  </si>
  <si>
    <t>macan</t>
    <phoneticPr fontId="2" type="noConversion"/>
  </si>
  <si>
    <t>M 760Li xDrive</t>
  </si>
  <si>
    <r>
      <t xml:space="preserve">고객 초기부담금
</t>
    </r>
    <r>
      <rPr>
        <sz val="10"/>
        <color theme="1"/>
        <rFont val="굴림체"/>
        <family val="3"/>
        <charset val="129"/>
      </rPr>
      <t>(등록관련 부대비용 포함)</t>
    </r>
    <phoneticPr fontId="2" type="noConversion"/>
  </si>
  <si>
    <t>PARK BMW, BENZ 잔가 상향 , 잔가보장수수료 변동없음 , 2만키로 한정</t>
    <phoneticPr fontId="2" type="noConversion"/>
  </si>
  <si>
    <t>코드</t>
    <phoneticPr fontId="2" type="noConversion"/>
  </si>
  <si>
    <t>420d Coupe M Spt LCI (non-SF)</t>
    <phoneticPr fontId="2" type="noConversion"/>
  </si>
  <si>
    <t>420d GC lux LCI (non-SF)</t>
    <phoneticPr fontId="2" type="noConversion"/>
  </si>
  <si>
    <t>420d GC xDrive Spt LCI (SF)</t>
    <phoneticPr fontId="2" type="noConversion"/>
  </si>
  <si>
    <t>420i Coupe M Spt LCI</t>
    <phoneticPr fontId="2" type="noConversion"/>
  </si>
  <si>
    <t>430i Coupe M Spt LCI</t>
    <phoneticPr fontId="2" type="noConversion"/>
  </si>
  <si>
    <t>620d GT Lux</t>
    <phoneticPr fontId="2" type="noConversion"/>
  </si>
  <si>
    <t xml:space="preserve">620d GT M Sport </t>
    <phoneticPr fontId="2" type="noConversion"/>
  </si>
  <si>
    <t>620d GT xDrive Luxury</t>
    <phoneticPr fontId="2" type="noConversion"/>
  </si>
  <si>
    <t>620d GT xDrive M Sport</t>
    <phoneticPr fontId="2" type="noConversion"/>
  </si>
  <si>
    <t>630i GT xDrive Luxury_OE</t>
    <phoneticPr fontId="2" type="noConversion"/>
  </si>
  <si>
    <t>630i GT xDrive M Spt_OE</t>
    <phoneticPr fontId="2" type="noConversion"/>
  </si>
  <si>
    <t>640i GT xDrive Luxury</t>
    <phoneticPr fontId="2" type="noConversion"/>
  </si>
  <si>
    <t>640i GT xDrive M Spt</t>
    <phoneticPr fontId="2" type="noConversion"/>
  </si>
  <si>
    <t>B 6GT, 4Sereis, 2만 km 잔가 상향</t>
    <phoneticPr fontId="2" type="noConversion"/>
  </si>
  <si>
    <t>B 6GT, 4Sereis, 1.5만 km 잔가 상향</t>
    <phoneticPr fontId="2" type="noConversion"/>
  </si>
  <si>
    <t>할인</t>
    <phoneticPr fontId="2" type="noConversion"/>
  </si>
  <si>
    <t>PARK BMW, BENZ 잔가 상향 , 잔가보장수수료 변동없음 , 1.5만키로 한정</t>
    <phoneticPr fontId="2" type="noConversion"/>
  </si>
  <si>
    <t>Defender</t>
  </si>
  <si>
    <t>M Series X5 M</t>
    <phoneticPr fontId="2" type="noConversion"/>
  </si>
  <si>
    <t>40 TDI Quattro Premium</t>
  </si>
  <si>
    <t>옵션금액</t>
  </si>
  <si>
    <t>1차탁송료
(국산전용)</t>
    <phoneticPr fontId="2" type="noConversion"/>
  </si>
  <si>
    <t>1차 탁송료(국산차전용)
수입차 입력금지</t>
    <phoneticPr fontId="2" type="noConversion"/>
  </si>
  <si>
    <t>미포함(필수)</t>
    <phoneticPr fontId="2" type="noConversion"/>
  </si>
  <si>
    <t>포함(필수)</t>
    <phoneticPr fontId="2" type="noConversion"/>
  </si>
  <si>
    <t>Q5</t>
  </si>
  <si>
    <t>40 TDI Quattro</t>
  </si>
  <si>
    <t>s-class</t>
    <phoneticPr fontId="2" type="noConversion"/>
  </si>
  <si>
    <t>A6 45 TFSI Comport</t>
    <phoneticPr fontId="2" type="noConversion"/>
  </si>
  <si>
    <t>A6 45 TFSI Premium</t>
    <phoneticPr fontId="2" type="noConversion"/>
  </si>
  <si>
    <t xml:space="preserve">Q7 45 TDI Q Premium </t>
    <phoneticPr fontId="2" type="noConversion"/>
  </si>
  <si>
    <t>Carrera S</t>
    <phoneticPr fontId="2" type="noConversion"/>
  </si>
  <si>
    <t>S6</t>
    <phoneticPr fontId="2" type="noConversion"/>
  </si>
  <si>
    <t>S7</t>
    <phoneticPr fontId="2" type="noConversion"/>
  </si>
  <si>
    <t>TDI</t>
    <phoneticPr fontId="2" type="noConversion"/>
  </si>
  <si>
    <t>M340i xDrive Touring</t>
  </si>
  <si>
    <t>1.6 GT 가솔린 터보(5도어) 시그니처</t>
  </si>
  <si>
    <t>1.6 GT 가솔린 터보(5도어) 프레스티지</t>
  </si>
  <si>
    <t>S8</t>
    <phoneticPr fontId="2" type="noConversion"/>
  </si>
  <si>
    <t>L TFSI</t>
    <phoneticPr fontId="2" type="noConversion"/>
  </si>
  <si>
    <t>e-tron</t>
    <phoneticPr fontId="2" type="noConversion"/>
  </si>
  <si>
    <t>전기차</t>
    <phoneticPr fontId="2" type="noConversion"/>
  </si>
  <si>
    <t>5119</t>
  </si>
  <si>
    <t>5121</t>
  </si>
  <si>
    <t>5120</t>
  </si>
  <si>
    <t>400 4Matic</t>
  </si>
  <si>
    <t>400 etition 1886 4Matic</t>
  </si>
  <si>
    <t>400 Premium 4Matic</t>
  </si>
  <si>
    <t>전기차 여부</t>
    <phoneticPr fontId="2" type="noConversion"/>
  </si>
  <si>
    <t>전기차 취득세</t>
    <phoneticPr fontId="2" type="noConversion"/>
  </si>
  <si>
    <t>해당</t>
    <phoneticPr fontId="2" type="noConversion"/>
  </si>
  <si>
    <t>비해당</t>
    <phoneticPr fontId="2" type="noConversion"/>
  </si>
  <si>
    <t>전기차 취득세(포함필수)</t>
    <phoneticPr fontId="2" type="noConversion"/>
  </si>
  <si>
    <t>0</t>
  </si>
  <si>
    <t>2</t>
  </si>
  <si>
    <t>3</t>
  </si>
  <si>
    <t>4</t>
  </si>
  <si>
    <t>6</t>
  </si>
  <si>
    <t>7</t>
  </si>
  <si>
    <t>5</t>
  </si>
  <si>
    <t>1</t>
  </si>
  <si>
    <t>LPG</t>
  </si>
  <si>
    <t>1.6 가솔린 시그니처</t>
  </si>
  <si>
    <t>1.6 가솔린 스탠다드</t>
  </si>
  <si>
    <t>1.6 가솔린 프레스티지</t>
  </si>
  <si>
    <t>DL3 2.0 LPI 트렌디(렌터카)</t>
  </si>
  <si>
    <t>DL3 2.0 LPI 프레스티지</t>
  </si>
  <si>
    <t>DL3 2.0 LPI 시그니처</t>
  </si>
  <si>
    <t>DL3 2.0 LPI 스탠다드(렌터카)</t>
  </si>
  <si>
    <t>DL3 2.0 LPI 노블레스</t>
  </si>
  <si>
    <t>DL3 1.6 가솔린 터보 프레스티지</t>
  </si>
  <si>
    <t>DL3 2.0 가솔린 프레스티지</t>
  </si>
  <si>
    <t>DL3 1.6 가솔린 터보 시그니처</t>
  </si>
  <si>
    <t>DL3 1.6 가솔린 터보 노블레스</t>
  </si>
  <si>
    <t>DL3 2.0 가솔린 노블레스</t>
  </si>
  <si>
    <t>DL3 1.6 가솔린 터보 트렌디</t>
  </si>
  <si>
    <t>DL3 2.0 가솔린 트렌디</t>
  </si>
  <si>
    <t>DL3 2.0 가솔린 시그니처</t>
  </si>
  <si>
    <t>DL3 프레스티지</t>
  </si>
  <si>
    <t>DL3 트렌디</t>
  </si>
  <si>
    <t>DL3 노블레스</t>
  </si>
  <si>
    <t>DL3 시그니처</t>
  </si>
  <si>
    <t>premier 3.0 LPI 프레스티지</t>
  </si>
  <si>
    <t>premier 2.5 GDI 노블레스</t>
  </si>
  <si>
    <t>premier 2.5 GDI 프레스티지</t>
  </si>
  <si>
    <t>premier 3.0 GDI 노블레스</t>
  </si>
  <si>
    <t>premier 3.0 GDI 시그니처</t>
  </si>
  <si>
    <t>premier 2.5 GDI  X 에디션</t>
  </si>
  <si>
    <t>프레스티지</t>
  </si>
  <si>
    <t>노블레스</t>
  </si>
  <si>
    <t>시그니쳐</t>
  </si>
  <si>
    <t>3.8 그랜드 플래티넘</t>
  </si>
  <si>
    <t>3.3T 그랜드 마스터즈 베스트셀렉션Ⅱ</t>
  </si>
  <si>
    <t>3.3T 그랜드 마스터즈</t>
  </si>
  <si>
    <t>5.0 퀀텀</t>
  </si>
  <si>
    <t>3.8 플래티넘 베스트셀렉션I</t>
  </si>
  <si>
    <t>3.3T 마스터즈</t>
  </si>
  <si>
    <t>3.8 플래티넘</t>
  </si>
  <si>
    <t>3.8 그랜드 플래티넘 베스트셀렉션II</t>
  </si>
  <si>
    <t>1.6 HEV 노블레스</t>
  </si>
  <si>
    <t>1.6 HEV 노블레스 스페셜</t>
  </si>
  <si>
    <t>1.6 HEV  럭셔리</t>
  </si>
  <si>
    <t>1.6 HEV 프레스티지</t>
  </si>
  <si>
    <t>1.0 프레스티지</t>
  </si>
  <si>
    <t>1.0 시그니처</t>
  </si>
  <si>
    <t>1.0 스탠다드</t>
  </si>
  <si>
    <t>1.0 밴 프레스티지</t>
  </si>
  <si>
    <t>1.0 밴 프레스티지 스페셜</t>
  </si>
  <si>
    <t>어반 1.0 스탠다드 A/T</t>
  </si>
  <si>
    <t>어반 1.0 시그니처 A/T</t>
  </si>
  <si>
    <t>어반 VAN 스페셜 A/T</t>
  </si>
  <si>
    <t>어반 1.0 프레스티지 A/T</t>
  </si>
  <si>
    <t>어반 1.0 스탠다드 마이너스 (A/T)</t>
  </si>
  <si>
    <t>어반 VAN A/T</t>
  </si>
  <si>
    <t>3.0 마스터즈(6인승)</t>
  </si>
  <si>
    <t>3.0 마스터즈(7인승)</t>
  </si>
  <si>
    <t>3.0 플래티넘(6인승)</t>
  </si>
  <si>
    <t>3.0 마스터즈(5인승)</t>
  </si>
  <si>
    <t>3.0 플래티넘(7인승)</t>
  </si>
  <si>
    <t>3.0 마스터즈 그래비티(5인승)</t>
  </si>
  <si>
    <t>3.0 마스터즈 그래비티(6인승)</t>
  </si>
  <si>
    <t>3.0 마스터즈 그래비티(7인승)</t>
  </si>
  <si>
    <t>3.0 플래티넘(5인승)</t>
  </si>
  <si>
    <t>봉고 1톤 초장축 더블캡 디젤 디럭스 2WD</t>
  </si>
  <si>
    <t>봉고3 1.2 2WD 킹캡 초장축 노블레스</t>
  </si>
  <si>
    <t>봉고3 1.2 2WD 표준캡 초장축 프레스티지</t>
  </si>
  <si>
    <t>봉고3 1.2톤 2WD 킹캡 초장축 프레스티지</t>
  </si>
  <si>
    <t>봉고3 1.2톤 2WD 표준캡 초장축 노블레스</t>
  </si>
  <si>
    <t>봉고3 1톤 2WD 더블캡 장축 프레스티지</t>
  </si>
  <si>
    <t>봉고3 1톤 2WD 더블캡 초장축 노블레스</t>
  </si>
  <si>
    <t>봉고3 1톤 2WD 더블캡 초장축 노블레스 A/T</t>
  </si>
  <si>
    <t>봉고3 1톤 2WD 더블캡 초장축 디럭스</t>
  </si>
  <si>
    <t>봉고3 1톤 2WD 더블캡 초장축 디럭스 A/T</t>
  </si>
  <si>
    <t>봉고3 1톤 2WD 더블캡 초장축 디럭스 M/T</t>
  </si>
  <si>
    <t>봉고3 1톤 2WD 더블캡 초장축 럭셔리</t>
  </si>
  <si>
    <t>봉고3 1톤 2WD 더블캡 초장축 럭셔리 A/T</t>
  </si>
  <si>
    <t>봉고3 1톤 2WD 더블캡 초장축 프레스티지</t>
  </si>
  <si>
    <t>봉고3 1톤 2WD 더블캡 초장축 프레스티지 A/T</t>
  </si>
  <si>
    <t>봉고3 1톤 2WD 킹캡 장축 프레스티지</t>
  </si>
  <si>
    <t>봉고3 1톤 2WD 킹캡 초장축 노블레스</t>
  </si>
  <si>
    <t>봉고3 1톤 2WD 킹캡 초장축 노블레스 A/T</t>
  </si>
  <si>
    <t>봉고3 1톤 2WD 킹캡 초장축 디럭스</t>
  </si>
  <si>
    <t>봉고3 1톤 2WD 킹캡 초장축 디럭스 A/T</t>
  </si>
  <si>
    <t>봉고3 1톤 2WD 킹캡 초장축 럭셔리</t>
  </si>
  <si>
    <t>봉고3 1톤 2WD 킹캡 초장축 럭셔리 A/T</t>
  </si>
  <si>
    <t>봉고3 1톤 2WD 킹캡 초장축 럭셔리 M/T</t>
  </si>
  <si>
    <t>봉고3 1톤 2WD 킹캡 초장축 프레스티지</t>
  </si>
  <si>
    <t>봉고3 1톤 2WD 킹캡 초장축 프레스티지 A/T</t>
  </si>
  <si>
    <t>봉고3 1톤 2WD 표준캡 장축 프레스티지</t>
  </si>
  <si>
    <t>봉고3 1톤 2WD 표준캡 초장축 노블레스</t>
  </si>
  <si>
    <t>봉고3 1톤 2WD 표준캡 초장축 노블레스 A/T</t>
  </si>
  <si>
    <t>봉고3 1톤 2WD 표준캡 초장축 디럭스</t>
  </si>
  <si>
    <t>봉고3 1톤 2WD 표준캡 초장축 디럭스 A/T</t>
  </si>
  <si>
    <t>봉고3 1톤 2WD 표준캡 초장축 럭셔리</t>
  </si>
  <si>
    <t>봉고3 1톤 2WD 표준캡 초장축 럭셔리 A/T</t>
  </si>
  <si>
    <t>봉고3 1톤 2WD 표준캡 초장축 프레스티지</t>
  </si>
  <si>
    <t>봉고3 1톤 2WD 표준캡 초장축 프레스티지 A/T</t>
  </si>
  <si>
    <t>봉고3 1톤 4WD 더블캡 장축 노블레스</t>
  </si>
  <si>
    <t>봉고3 1톤 4WD 더블캡 장축 디럭스</t>
  </si>
  <si>
    <t>봉고3 1톤 4WD 더블캡 장축 럭셔리</t>
  </si>
  <si>
    <t>봉고3 1톤 4WD 킹캡 장축 노블레스</t>
  </si>
  <si>
    <t>봉고3 1톤 4WD 킹캡 장축 디럭스</t>
  </si>
  <si>
    <t>봉고3 1톤 4WD 킹캡 장축 럭셔리</t>
  </si>
  <si>
    <t>봉고3 1톤 4WD 표준캡 장축 노블레스</t>
  </si>
  <si>
    <t>봉고3 1톤 4WD 표준캡 장축 디럭스</t>
  </si>
  <si>
    <t>봉고3 1톤 4WD 표준캡 장축 럭셔리</t>
  </si>
  <si>
    <t>더 뉴 봉고3 트럭 1톤 더블캡 장축 4WD GLS M/T</t>
  </si>
  <si>
    <t>봉고3 1톤 2WD 킹캡 초장축 L라이트</t>
  </si>
  <si>
    <t>봉고3 1톤 카고 장축 표준캡 디젤 GL  4WD M/T 라이트</t>
  </si>
  <si>
    <t>봉고3 1.2톤 표준캡 초장축 GL M/T</t>
  </si>
  <si>
    <t>봉고3 1톤 2WD 더블캡 초장축 L A/T</t>
  </si>
  <si>
    <t>봉고3 1톤 2WD 초장축 킹캡  GLS A/T 플러스</t>
  </si>
  <si>
    <t>봉고3 1톤 카고 초장축 표준캡 디젤 L 라이트 2WD</t>
  </si>
  <si>
    <t>봉고3 1톤 초장축 카고 더블캡 디젤 L 라이트</t>
  </si>
  <si>
    <t>봉고3 1톤 카고 초장축 킹캡 디젤 L A/T</t>
  </si>
  <si>
    <t>봉고3 1톤 2WD 더블캡 초장축 L M/T</t>
  </si>
  <si>
    <t>봉고3 1톤 2WD 더블캡 초장축 GL M/T</t>
  </si>
  <si>
    <t>봉고3 1톤 카4WD 카고 장축 더블캡 GL 라이트 M/T</t>
  </si>
  <si>
    <t>봉고3 1톤 2WD 초장축 킹캡 GL M/T</t>
  </si>
  <si>
    <t>봉고3 1톤 2WD 초장축 킹캡 GL A/T</t>
  </si>
  <si>
    <t>봉고3 1톤 카고 장축 킹캡 GL 4WD</t>
  </si>
  <si>
    <t>1.2톤 내장탑차 표준형 PLUS 킹캡 초장축 프레스티지</t>
  </si>
  <si>
    <t>1.2톤 내장탑차 표준형 PLUS 표준캡 초장축 프레스티지</t>
  </si>
  <si>
    <t>1.2톤 내장탑차 표준형 킹캡 초장축 프레스티지</t>
  </si>
  <si>
    <t>1.2톤 내장탑차 표준형 표준캡 초장축 프레스티지</t>
  </si>
  <si>
    <t>1.2톤 냉동탑차 표준형  킹캡 초장축 프레스티지</t>
  </si>
  <si>
    <t>1.2톤 냉동탑차 표준형 표준캡 초장축 프레스티지</t>
  </si>
  <si>
    <t>1.2톤 윙바디 수동식 킹캡 초장축 프레스티지</t>
  </si>
  <si>
    <t>1.2톤 윙바디 전동식 킹캡 초장축 프레스티지</t>
  </si>
  <si>
    <t>1.2톤 파워게이트 1단 킹캡 초장축 프레스티지</t>
  </si>
  <si>
    <t>1.2톤 파워게이트 2단 킹캡 초장축 프레스티지</t>
  </si>
  <si>
    <t>1톤 고소작업트럭 (A/T)</t>
  </si>
  <si>
    <t>1톤 내장탑차 경제형 PLUS 킹캡 초장축 디럭스</t>
  </si>
  <si>
    <t>1톤 내장탑차 경제형 킹캡 초장축 디럭스</t>
  </si>
  <si>
    <t>1톤 내장탑차 미닫이 킹캡 초장축 럭셔리 2WD M/T</t>
  </si>
  <si>
    <t>1톤 내장탑차 표준형 PLUS 킹캡 초장축 럭셔리</t>
  </si>
  <si>
    <t>1톤 내장탑차 표준형 PLUS 킹캡 초장축 럭셔리 A/T</t>
  </si>
  <si>
    <t>1톤 내장탑차 표준형 PLUS 표준캡 초장축 럭셔리</t>
  </si>
  <si>
    <t>1톤 내장탑차 표준형 킹캡 초장축 럭셔리</t>
  </si>
  <si>
    <t>1톤 내장탑차 표준형 킹캡 초장축 럭셔리 A/T</t>
  </si>
  <si>
    <t>1톤 내장탑차 표준형 표준캡 초장축 럭셔리</t>
  </si>
  <si>
    <t>1톤 내장탑차Ⅱ 미닫이 킹캡 초장축 럭셔리</t>
  </si>
  <si>
    <t>1톤 내장탑차Ⅱ 미닫이 표준캡 초장축 럭셔리</t>
  </si>
  <si>
    <t>1톤 내장탑차Ⅱ 택배전용 킹캡 초장축 럭셔리</t>
  </si>
  <si>
    <t>1톤 냉동탑차 경제형 PLUS 킹캡 초장축 디럭스</t>
  </si>
  <si>
    <t>1톤 냉동탑차 경제형 킹캡 초장축 디럭스</t>
  </si>
  <si>
    <t>1톤 냉동탑차 표준형 PLUS 킹캡 초장축 럭셔리</t>
  </si>
  <si>
    <t>1톤 냉동탑차 표준형 PLUS 킹캡 초장축 럭셔리 A/T</t>
  </si>
  <si>
    <t>1톤 냉동탑차 표준형 킹캡 초장축 럭셔리</t>
  </si>
  <si>
    <t>1톤 냉동탑차 표준형 킹캡 초장축 럭셔리 A/T</t>
  </si>
  <si>
    <t>1톤 냉동탑차 표준형 표준캡 초장축 럭셔리</t>
  </si>
  <si>
    <t>1톤 냉장탑차 표준형 PLUS 킹캡 초장축 럭셔리</t>
  </si>
  <si>
    <t>1톤 냉장탑차 표준형 PLUS 킹캡 초장축 럭셔리 A/T</t>
  </si>
  <si>
    <t>1톤 냉장탑차 표준형 킵캡 초장축 럭셔리 A/T</t>
  </si>
  <si>
    <t>1톤 냉장탑차 표준형 킹캡 초장축 럭셔리</t>
  </si>
  <si>
    <t>1톤 덤프 4WD 일반덤프 표준캡 장축 럭셔리</t>
  </si>
  <si>
    <t>1톤 워크스루밴 킹캡 초장축 럭셔리</t>
  </si>
  <si>
    <t>1톤 워크스루밴 킹캡 초장축 럭셔리 A/T</t>
  </si>
  <si>
    <t>1톤 윙바디 수동식 킹캡 초장축 디럭스</t>
  </si>
  <si>
    <t>1톤 윙바디 전동식 킹캡 초장축 럭셔리 A/T</t>
  </si>
  <si>
    <t>1톤 파워게이트 1단 킹캡 초장축 럭셔리</t>
  </si>
  <si>
    <t>1톤 파워게이트 2단 킹캡 초장축 럭셔리</t>
  </si>
  <si>
    <t>1톤 파워케이트 1단 킹캡 초장축 프레스티지 M/T</t>
  </si>
  <si>
    <t>1톤 홈로리 2WD 킹캡 장축 프레스티지</t>
  </si>
  <si>
    <t>1톤 활어수송차 킹캡 초장축 럭셔리 A/T</t>
  </si>
  <si>
    <t>봉고3 1톤 2WD 베이스 내장탑차 플러스형 킹캡 초장축 디럭스A/T</t>
  </si>
  <si>
    <t>봉고3 1톤 4WD 일반덤프 킹캡 장축 럭셔리 M/T</t>
  </si>
  <si>
    <t>1톤 내장탑차 플러스형 킹캡 초장축 L</t>
  </si>
  <si>
    <t>1.2톤 윙바디 전동식 표준캡 초장축 GL (M/T)</t>
  </si>
  <si>
    <t>1톤 덤프 장축 킹캡 4WD 3WAY형 킹캡 장축 GL</t>
  </si>
  <si>
    <t>봉고3 1톤 냉동탑 초장축 킹캡 디젤 GL 2WD</t>
  </si>
  <si>
    <t>1톤 내장탑차 표준형 킹캡 초장축 L 2WD A/T</t>
  </si>
  <si>
    <t>1톤 일반덤프 장축 킹캡 4WD 일반형 GL</t>
  </si>
  <si>
    <t>1톤 윙바디 킹캡 초장축 L</t>
  </si>
  <si>
    <t>1.6 디젤 프레스티지</t>
  </si>
  <si>
    <t>1.6 디젤 그래비티</t>
  </si>
  <si>
    <t>1.6 디젤 트렌디</t>
  </si>
  <si>
    <t>1.6 디젤 시그니처</t>
  </si>
  <si>
    <t>1.6 가솔린 트렌디</t>
  </si>
  <si>
    <t>1.6 가솔린 그래비티</t>
  </si>
  <si>
    <t>1.4 프레스티지</t>
  </si>
  <si>
    <t>1.4 트렌디</t>
  </si>
  <si>
    <t>1.4 디럭스</t>
  </si>
  <si>
    <t>1.0 터보 프레스티지</t>
  </si>
  <si>
    <t>1.0 터보 트렌디</t>
  </si>
  <si>
    <t>2.0 가솔린 터보 프라임</t>
  </si>
  <si>
    <t>2.0 가솔린 터보 플래티넘</t>
  </si>
  <si>
    <t>3.3 가솔린 터보 GT</t>
  </si>
  <si>
    <t>2.0 디젤 트렌디</t>
  </si>
  <si>
    <t>2.0 디젤 시그니처</t>
  </si>
  <si>
    <t>2.0 디젤 프레스티지</t>
  </si>
  <si>
    <t>MQ4 디젤 2.2 프레스티지 (6인승)</t>
  </si>
  <si>
    <t>MQ4 디젤 2.2 트렌디 (7인승)</t>
  </si>
  <si>
    <t>MQ4 디젤 2.2 트렌디 (6인승)</t>
  </si>
  <si>
    <t>MQ4 디젤 2.2 시그니쳐 (5인승)</t>
  </si>
  <si>
    <t>MQ4 디젤 2.2 프레스티지 (5인승)</t>
  </si>
  <si>
    <t>MQ4 디젤 2.2 노블레스 (7인승)</t>
  </si>
  <si>
    <t>MQ4 디젤 2.2 시그니처 (7인승)</t>
  </si>
  <si>
    <t>MQ4 디젤 2.2 시그니처 (6인승)</t>
  </si>
  <si>
    <t>MQ4 디젤 2.2 노블레스 (6인승)</t>
  </si>
  <si>
    <t>MQ4 디젤 2.2 노블레스 (5인승)</t>
  </si>
  <si>
    <t>MQ4 디젤 2.2 프레스티지 (7인승)</t>
  </si>
  <si>
    <t>MQ4 디젤 2.2 트렌디 (5인승)</t>
  </si>
  <si>
    <t>1.6 노블레스</t>
  </si>
  <si>
    <t>1.6 프레스티지</t>
  </si>
  <si>
    <t>2.0 LPe RE</t>
  </si>
  <si>
    <t>2.0 LPe signature</t>
  </si>
  <si>
    <t>2.0 LPe LE</t>
  </si>
  <si>
    <t>2.0 LPe SE</t>
  </si>
  <si>
    <t>1.7 dCi RE 2WD</t>
  </si>
  <si>
    <t>1.7 dCi RE Signature  2WD</t>
  </si>
  <si>
    <t>1.7 dCi SE 2WD</t>
  </si>
  <si>
    <t>2.0 GDe LE</t>
  </si>
  <si>
    <t>2.0 GDe premiere</t>
  </si>
  <si>
    <t>2.0 GDe 2WD SE</t>
  </si>
  <si>
    <t>2.0 GDe 2WD RE</t>
  </si>
  <si>
    <t>2.0 GDe 2WD RE signature</t>
  </si>
  <si>
    <t>1.5 dCi LE</t>
  </si>
  <si>
    <t>2.0 GDe PREMIERE</t>
  </si>
  <si>
    <t>2.0 GDe RE</t>
  </si>
  <si>
    <t>2.0 GDe PE</t>
  </si>
  <si>
    <t>2.0 GDe SE</t>
  </si>
  <si>
    <t>TCe 260 LE A/T</t>
  </si>
  <si>
    <t>TCe 260 RE A/T</t>
  </si>
  <si>
    <t>TCe 260 RE Signature A/T</t>
  </si>
  <si>
    <t>1.6 GTe SE A/T</t>
  </si>
  <si>
    <t>1.6 GTe LE A/T</t>
  </si>
  <si>
    <t>1.6 GTe LE+ A/T</t>
  </si>
  <si>
    <t>2WD 5인승 헤리티지 (A/T)</t>
  </si>
  <si>
    <t>2WD 5인승 헤리티지 스페셜 (A/T)</t>
  </si>
  <si>
    <t>2WD 5인승 마제스티 (A/T)</t>
  </si>
  <si>
    <t>2WD 5인승 럭셔리 (A/T)</t>
  </si>
  <si>
    <t>4WD 7인승 마제스티 (A/T)</t>
  </si>
  <si>
    <t>4WD 7인승 헤리티지 (A/T)</t>
  </si>
  <si>
    <t>4WD 5인승 헤리티지 (A/T)</t>
  </si>
  <si>
    <t>2WD 7인승 럭셔리 (A/T)</t>
  </si>
  <si>
    <t>2.2 4WD 와일드 (M/T)</t>
  </si>
  <si>
    <t>2.2 4WD 와일드 (A/T)</t>
  </si>
  <si>
    <t>2.2 2WD 노블레스 (A/T)</t>
  </si>
  <si>
    <t>2.2 2WD 와일드 (M/T)</t>
  </si>
  <si>
    <t>2.2 4WD 프레스티지 (A/T)</t>
  </si>
  <si>
    <t>2.2 2WD 와일드 (A/T)</t>
  </si>
  <si>
    <t>2.2 2WD 프레스티지 (A/T)</t>
  </si>
  <si>
    <t>2.2 4WD 노블레스 (A/T)</t>
  </si>
  <si>
    <t>칸 2WD 노블레스 (다이내믹 5링크 서스펜션) (A/T)</t>
  </si>
  <si>
    <t>V1 디젤</t>
  </si>
  <si>
    <t>디젤 V3</t>
  </si>
  <si>
    <t>V7 디젤</t>
  </si>
  <si>
    <t>디젤 V5</t>
  </si>
  <si>
    <t>가솔린 V3</t>
  </si>
  <si>
    <t>V7 가솔린</t>
  </si>
  <si>
    <t>가솔린 V5</t>
  </si>
  <si>
    <t>가솔린 V1(A/T)</t>
  </si>
  <si>
    <t>가솔린 V1(M/T)</t>
  </si>
  <si>
    <t>가솔린 V:3 스페셜</t>
  </si>
  <si>
    <t>디젤 2WD C5 플러스 (A/T)</t>
  </si>
  <si>
    <t>가솔린 AWD C5 플러스 (A/T)</t>
  </si>
  <si>
    <t>가솔린 2WD C3 플러스 (A/T)</t>
  </si>
  <si>
    <t>가솔린 2WD C5 (A/T)</t>
  </si>
  <si>
    <t>가솔린 2WD C7 (A/T)</t>
  </si>
  <si>
    <t>가솔린 2WD C3 (A/T)</t>
  </si>
  <si>
    <t>가솔린 AWD C7 (A/T)</t>
  </si>
  <si>
    <t>가솔린 2WD C5 플러스 (A/T)</t>
  </si>
  <si>
    <t>뉴다마스 밴 2인승 판넬밴 DLX M/T</t>
  </si>
  <si>
    <t>뉴다마스 밴 2인승 판넬밴 SUPER M/T</t>
  </si>
  <si>
    <t>뉴다마스 코치 5인승 SUPER M/T</t>
  </si>
  <si>
    <t>뉴라보 일반형 STD M/T</t>
  </si>
  <si>
    <t>뉴라보 일반형 DLX M/T</t>
  </si>
  <si>
    <t>뉴라보 롱카고 DLX  M/T</t>
  </si>
  <si>
    <t>뉴라보 롱카고 SUPER M/T</t>
  </si>
  <si>
    <t>뉴라보 특장차 보냉탑차 일반형 M/T</t>
  </si>
  <si>
    <t>뉴라보 특장차 내장탑차 롱카고 M/T</t>
  </si>
  <si>
    <t>뉴라보 특장차 탑차 롱카고  M/T</t>
  </si>
  <si>
    <t>뉴라보 특장차 접이식탑차 롱카고 M/T</t>
  </si>
  <si>
    <t>1.6 디젤 LT</t>
  </si>
  <si>
    <t>1.6 디젤 LT 프리미엄</t>
  </si>
  <si>
    <t>1.5 E-TURBO LS</t>
  </si>
  <si>
    <t>2.0 TURBO[가솔린] LT 스페셜</t>
  </si>
  <si>
    <t>2.0 터보 퍼펙트블랙</t>
  </si>
  <si>
    <t>E-TURBO Premier</t>
  </si>
  <si>
    <t>1.5 E-TURBO LS 디럭스</t>
  </si>
  <si>
    <t>2.0 터보 LT 프리미엄</t>
  </si>
  <si>
    <t>1.5 E-TURBO LT 디럭스</t>
  </si>
  <si>
    <t>1.5 E-TURBO LTZ</t>
  </si>
  <si>
    <t>2.0 터보 LTZ 프리미엄</t>
  </si>
  <si>
    <t>1.5 E-TURBO LTZ 프리미엄 세이프티</t>
  </si>
  <si>
    <t>1.5 E-TURBO LT</t>
  </si>
  <si>
    <t>1.0 가솔린 승용밴 M/T</t>
  </si>
  <si>
    <t>LS Basic C-tech</t>
  </si>
  <si>
    <t>Premier C-Tech</t>
  </si>
  <si>
    <t>1.0L 승용밴 Basic M/T</t>
  </si>
  <si>
    <t>스페셜 에디션 퍼펙트 블랙 C-Tech</t>
  </si>
  <si>
    <t>LT C-tech</t>
  </si>
  <si>
    <t>1.0 가솔린 승용밴 C-TECH</t>
  </si>
  <si>
    <t>LS C-tech</t>
  </si>
  <si>
    <t>1.4 Turbo LS A/T</t>
  </si>
  <si>
    <t>4도어세단 스페셜에디션 스타일 A/T</t>
  </si>
  <si>
    <t>1.4 Turbo L M/T</t>
  </si>
  <si>
    <t>1.4 Turbo LS 스탠다드 M/T (5도어 해치백)</t>
  </si>
  <si>
    <t>1.4 Turbo LS 최고급형 A/T (5도어 해치백)</t>
  </si>
  <si>
    <t>1.4 Turbo LS M/T</t>
  </si>
  <si>
    <t>1.4 Turbo L A/T</t>
  </si>
  <si>
    <t>1.4 Turbo LT 최고급형 A/T</t>
  </si>
  <si>
    <t>1.4 Turbo RS A/T</t>
  </si>
  <si>
    <t>EL240 프리미엄</t>
  </si>
  <si>
    <t>LT 컨비니언스</t>
  </si>
  <si>
    <t>LT 세이프티</t>
  </si>
  <si>
    <t>1.6 스페셜 에디션 다이나믹</t>
  </si>
  <si>
    <t>LS 고급형</t>
  </si>
  <si>
    <t>LTZ 세이프티</t>
  </si>
  <si>
    <t>LT 프리미엄</t>
  </si>
  <si>
    <t>LTZ 프리미엄</t>
  </si>
  <si>
    <t>1.6 디젤 LT Plus</t>
  </si>
  <si>
    <t>1.6 디젤 LT Exclusive</t>
  </si>
  <si>
    <t>1.6 디젤 LT Plus Exclusive</t>
  </si>
  <si>
    <t>1.6 디젤 Premier Exclusive</t>
  </si>
  <si>
    <t>1.6 디젤 Premier</t>
  </si>
  <si>
    <t>1.6 디젤 LS</t>
  </si>
  <si>
    <t>2.5L 가솔린 LTZ A/T</t>
  </si>
  <si>
    <t>2.5L 가솔린 LT A/T</t>
  </si>
  <si>
    <t>3.6L 가솔린 LTZ A/T</t>
  </si>
  <si>
    <t>6.2 V8 가솔린 A/T</t>
  </si>
  <si>
    <t>3.6 가솔린 4WD 익스트림 X</t>
  </si>
  <si>
    <t>LT</t>
  </si>
  <si>
    <t>1.4 터보 4도어 LT디럭스(A/T)</t>
  </si>
  <si>
    <t>LT 디럭스</t>
  </si>
  <si>
    <t>LTZ 디럭스</t>
  </si>
  <si>
    <t>LTZ</t>
  </si>
  <si>
    <t>LT 래더</t>
  </si>
  <si>
    <t>RS</t>
  </si>
  <si>
    <t>3.6 프리미어</t>
  </si>
  <si>
    <t>Redline</t>
  </si>
  <si>
    <t>1.6 디젤 LTZ A/T</t>
  </si>
  <si>
    <t>1.6 디젤 LS A/T</t>
  </si>
  <si>
    <t>1.6 디젤 LT A/T</t>
  </si>
  <si>
    <t>1.6 디젤 LS 디럭스 팩 A/T</t>
  </si>
  <si>
    <t>1.6 디젤 LT Leather Package A/T</t>
  </si>
  <si>
    <t>1.6 디젤 프리미엄 A/T</t>
  </si>
  <si>
    <t>1.4 Turbo LT</t>
  </si>
  <si>
    <t>1.4 Turbo LT Leather package</t>
  </si>
  <si>
    <t>1.4 Turbo LS</t>
  </si>
  <si>
    <t>1.4 Turbo LS 디럭스팩</t>
  </si>
  <si>
    <t>1.4 Turbo LTZ</t>
  </si>
  <si>
    <t>1.4 turbo premier A/T</t>
  </si>
  <si>
    <t>1.35 가솔린 LT</t>
  </si>
  <si>
    <t>1.35 가솔린 PREMIER A/T</t>
  </si>
  <si>
    <t>1.35 가솔린 RS</t>
  </si>
  <si>
    <t>1.35 가솔린 ACTIV A/T</t>
  </si>
  <si>
    <t>2.2D Elite</t>
  </si>
  <si>
    <t>2.2D Advanced</t>
  </si>
  <si>
    <t>2.0T Advanced</t>
  </si>
  <si>
    <t>3.3T 스포츠 엘리트</t>
  </si>
  <si>
    <t>3.3T 스포츠 프레스티지</t>
  </si>
  <si>
    <t>2.0T Sport Package</t>
  </si>
  <si>
    <t>GV80 3.0 AWD(5인승)</t>
  </si>
  <si>
    <t>GV80 3.0 AWD(7인승)</t>
  </si>
  <si>
    <t>GV80 3.0 2WD(5인승)</t>
  </si>
  <si>
    <t>GV80 3.0 2WD(7인승)</t>
  </si>
  <si>
    <t>GV80 2.5 2WD (5인승)</t>
  </si>
  <si>
    <t>GV80 3.5 2WD (5인승)</t>
  </si>
  <si>
    <t>GV80 3.5 AWD (7인승)</t>
  </si>
  <si>
    <t>GV80 2.5 AWD (5인승)</t>
  </si>
  <si>
    <t>GV80 2.5 AWD (7인승)</t>
  </si>
  <si>
    <t>GV80 3.5 2WD (7인승)</t>
  </si>
  <si>
    <t>GV80 3.5 AWD (5인승)</t>
  </si>
  <si>
    <t>GV80 2.5 2WD (7인승)</t>
  </si>
  <si>
    <t>N 1.6 가솔린 (M/T)</t>
  </si>
  <si>
    <t>N Line A/T</t>
  </si>
  <si>
    <t>LPG 2.4 어린이보호차 (12인승)</t>
  </si>
  <si>
    <t>디젤 9인승 익스클루시브</t>
  </si>
  <si>
    <t>디젤 왜건 2WD 12인승 스타일 M/T</t>
  </si>
  <si>
    <t>디젤 왜건 2WD 12인승 스마트 A/T</t>
  </si>
  <si>
    <t>디젤 왜건 4WD 12인승 스마트 A/T</t>
  </si>
  <si>
    <t>디젤 왜건 4WD 11인승 모던</t>
  </si>
  <si>
    <t>디젤 왜건 2WD 12인승 모던</t>
  </si>
  <si>
    <t>디젤 왜건 4WD 12인승 모던</t>
  </si>
  <si>
    <t>디젤 왜건 2WD 12인승 스타일 A/T</t>
  </si>
  <si>
    <t>디젤 왜건 2WD 12인승 스마트 M/T</t>
  </si>
  <si>
    <t>디젤 왜건 2WD 11인승 스타일 A/T</t>
  </si>
  <si>
    <t>프리미엄</t>
  </si>
  <si>
    <t>프리미엄 스페셜 [4WD]</t>
  </si>
  <si>
    <t>익스클루시브 [4WD]</t>
  </si>
  <si>
    <t>프리미엄 스페셜</t>
  </si>
  <si>
    <t>프리미엄 [4WD]</t>
  </si>
  <si>
    <t>익스클루시브</t>
  </si>
  <si>
    <t>디젤 밴 2WD 3인승 모던 A/T</t>
  </si>
  <si>
    <t>디젤 밴 2WD 5인승 모던 A/T</t>
  </si>
  <si>
    <t>디젤 밴 2WD 5인승 모던 M/T</t>
  </si>
  <si>
    <t>디젤 밴 2WD 5인승 기본형 M/T</t>
  </si>
  <si>
    <t>디젤 밴 2WD 3인승 스마트 M/T</t>
  </si>
  <si>
    <t>디젤 밴 2WD 5인승 스마트 A/T</t>
  </si>
  <si>
    <t>디젤 밴 2WD 5인승 스마트 M/T</t>
  </si>
  <si>
    <t>디젤 밴 2WD 3인승 스마트 A/T</t>
  </si>
  <si>
    <t>디젤 밴 2WD 3인승 기본형 M/T</t>
  </si>
  <si>
    <t>디젤 밴 2WD 3인승 기본형 A/T</t>
  </si>
  <si>
    <t>디젤 밴 2WD 5인승 기본형 A/T</t>
  </si>
  <si>
    <t>디젤 밴 2WD 3인승 모던 M/T</t>
  </si>
  <si>
    <t>캠핑카 4인승 2WD 모던스페셜</t>
  </si>
  <si>
    <t>캠핑카 4인승 4WD 모던스페셜</t>
  </si>
  <si>
    <t>3밴냉동 디럭스 (3인승)</t>
  </si>
  <si>
    <t>휠체어리프트 2WD 모던 (7인승)</t>
  </si>
  <si>
    <t>2.5 디젤 리무진 2WD VIP 패키지</t>
  </si>
  <si>
    <t>모던</t>
  </si>
  <si>
    <t>FLUX</t>
  </si>
  <si>
    <t>베뉴 스마트</t>
  </si>
  <si>
    <t>N 2.0 Turbo M/T</t>
  </si>
  <si>
    <t>N 2.0 터보 퍼포먼스 패키지</t>
  </si>
  <si>
    <t>1.6 터보 스포츠 코어 M/T</t>
  </si>
  <si>
    <t>1.6 터보 스포츠 M/T</t>
  </si>
  <si>
    <t>1.6 터보 JBL 익스트림사운드 에디션</t>
  </si>
  <si>
    <t>1.4 터보 모던 코어</t>
  </si>
  <si>
    <t>1.4 터보 모던</t>
  </si>
  <si>
    <t>1.6 터보 스포츠 코어</t>
  </si>
  <si>
    <t>1.6 터보 스포츠</t>
  </si>
  <si>
    <t>LPI 2.0 프리미엄 밀레니얼</t>
  </si>
  <si>
    <t>LPI 2.0 인스퍼레이션</t>
  </si>
  <si>
    <t>LPI 2.0 프리미엄</t>
  </si>
  <si>
    <t>G2.0 프리미엄 밀레니얼</t>
  </si>
  <si>
    <t>G2.0 인스퍼레이션</t>
  </si>
  <si>
    <t>G2.0 프리미엄</t>
  </si>
  <si>
    <t>G2.0 스마트</t>
  </si>
  <si>
    <t>G2.0 프리미엄 패밀리</t>
  </si>
  <si>
    <t>1.6 GT 프리미엄</t>
  </si>
  <si>
    <t>1.6 GT 프리미엄 밀레니얼</t>
  </si>
  <si>
    <t>1.6 GT 프리미엄 패밀리</t>
  </si>
  <si>
    <t>1.6 GT 인스퍼레이션</t>
  </si>
  <si>
    <t>1.6 GT 스마트</t>
  </si>
  <si>
    <t>스마트</t>
  </si>
  <si>
    <t>프리미엄 패밀리</t>
  </si>
  <si>
    <t>프리미엄 밀레니얼</t>
  </si>
  <si>
    <t>인스퍼레이션</t>
  </si>
  <si>
    <t>투어 럭셔리 11인승</t>
  </si>
  <si>
    <t>리무진 럭셔리 11인승</t>
  </si>
  <si>
    <t>디럭스 14인승 (전중문)</t>
  </si>
  <si>
    <t>디럭스 15인승 (전중문)</t>
  </si>
  <si>
    <t>디럭스 16인승 (전중문)</t>
  </si>
  <si>
    <t>스탠다드 14인승 (전중문)</t>
  </si>
  <si>
    <t>럭셔리 15인승 (전중문)</t>
  </si>
  <si>
    <t>럭셔리 14인승 (전중문)</t>
  </si>
  <si>
    <t>스탠다드 15인승 (전중문)</t>
  </si>
  <si>
    <t>올뉴 아반떼 1.6 인스퍼레이션</t>
  </si>
  <si>
    <t>올뉴 아반떼 1.6 스마트</t>
  </si>
  <si>
    <t>올뉴 아반떼 1.6 모던</t>
  </si>
  <si>
    <t>Smart 2WD</t>
  </si>
  <si>
    <t>1.6 터보 모던 초이스</t>
  </si>
  <si>
    <t>Premium 4WD</t>
  </si>
  <si>
    <t>Premium 2WD</t>
  </si>
  <si>
    <t>Electric Modern (오토론)</t>
  </si>
  <si>
    <t>Electric Premium (오토론)</t>
  </si>
  <si>
    <t>하이브리드 스마트 스페셜</t>
  </si>
  <si>
    <t>하이브리드 모던 스페셜</t>
  </si>
  <si>
    <t>하이브리드 프리미엄 스페셜</t>
  </si>
  <si>
    <t>디젤 2.0 모던초이스</t>
  </si>
  <si>
    <t>디젤 2.0 인스퍼레이션</t>
  </si>
  <si>
    <t>디젤 2.0 스마트</t>
  </si>
  <si>
    <t>스마트스트림 디젤 1.6 모던</t>
  </si>
  <si>
    <t>스마트스트림 디젤 1.6 스마트</t>
  </si>
  <si>
    <t>디젤 2.0 모던</t>
  </si>
  <si>
    <t>가솔린 1.6 터보 인스퍼레이션</t>
  </si>
  <si>
    <t>가솔린 1.6 터보 모던</t>
  </si>
  <si>
    <t>2.2 디젤 캘리그래피 2WD (7인승)</t>
  </si>
  <si>
    <t>2.2 디젤 캘리그래피 4WD</t>
  </si>
  <si>
    <t>2.2 디젤 익스클루시브 2WD</t>
  </si>
  <si>
    <t>2.2 디젤 프레스티지 4WD</t>
  </si>
  <si>
    <t>2.2 디젤 프레스티지 2WD</t>
  </si>
  <si>
    <t>2.2 디젤 익스클루시브 4WD</t>
  </si>
  <si>
    <t>3.8 가솔린 익스클루시브 4WD</t>
  </si>
  <si>
    <t>3.8 가솔린 캘리그래피 2WD(7인승)</t>
  </si>
  <si>
    <t>3.8 가솔린 캘리그래피 4WD(7인승)</t>
  </si>
  <si>
    <t>3.8 가솔린 프레스티지 2WD</t>
  </si>
  <si>
    <t>3.8 가솔린 익스클루시브 2WD</t>
  </si>
  <si>
    <t>3.8 가솔린 프레스티지 4WD</t>
  </si>
  <si>
    <t>CRDi 133마력 2WD 더블캡 초장축 Premium A/T</t>
  </si>
  <si>
    <t>CRDi 133마력 2WD 일반캡 초장축 Modern M/T</t>
  </si>
  <si>
    <t>CRDi 133마력 4WD 더블캡 장축 Style M/T</t>
  </si>
  <si>
    <t>CRDi 133마력 4WD 일반캡 장축 Smart A/T</t>
  </si>
  <si>
    <t>CRDi 133마력 2WD 더블캡 초장축 Smart A/T</t>
  </si>
  <si>
    <t>CRDi 133마력 4WD 더블캡 장축 Smart A/T</t>
  </si>
  <si>
    <t>CRDi 133마력 2WD 슈퍼캡 초장축 Style A/T</t>
  </si>
  <si>
    <t>CRDi 133마력 2WD 슈퍼캡 장축 Modern A/T</t>
  </si>
  <si>
    <t>CRDi 133마력 2WD 일반캡 초장축 Premium A/T</t>
  </si>
  <si>
    <t>CRDi 133마력 4WD 슈퍼캡 장축 Smart A/T</t>
  </si>
  <si>
    <t>CRDi 133마력 4WD 슈퍼캡 장축 Modern A/T</t>
  </si>
  <si>
    <t>CRDi 133마력 2WD 더블캡 초장축 Premium M/T</t>
  </si>
  <si>
    <t>CRDi 133마력 2WD 슈퍼캡 초장축 Smart M/T</t>
  </si>
  <si>
    <t>CRDi 133마력 2WD 일반캡 초장축 Style A/T</t>
  </si>
  <si>
    <t>CRDi 133마력 2WD 일반캡 초장축 Modern A/T</t>
  </si>
  <si>
    <t>CRDi 133마력 2WD 슈퍼캡 초장축 Modern A/T</t>
  </si>
  <si>
    <t>CRDi 133마력 2WD 슈퍼캡 초장축 Premium M/T</t>
  </si>
  <si>
    <t>CRDi 133마력 2WD 더블캡 초장축 Modern M/T</t>
  </si>
  <si>
    <t>CRDi 133마력 4WD 슈퍼캡 장축 Premium A/T</t>
  </si>
  <si>
    <t>CRDi 133마력 2WD 일반캡 초장축 Style M/T</t>
  </si>
  <si>
    <t>CRDi 133마력 4WD 일반캡 장축 Style M/T</t>
  </si>
  <si>
    <t>CRDi 133마력 2WD 일반캡 초장축 Smart M/T</t>
  </si>
  <si>
    <t>CRDi 133마력 2WD 일반캡 초장축 Premium M/T</t>
  </si>
  <si>
    <t>CRDi 133마력 2WD 슈퍼캡 초장축 Style M/T</t>
  </si>
  <si>
    <t>CRDi 133마력 2WD 슈퍼캡 초장축 Modern M/T</t>
  </si>
  <si>
    <t>CRDi 133마력 2WD 더블캡 장축 Smart A/T</t>
  </si>
  <si>
    <t>CRDi 133마력 2WD 더블캡 초장축 Smart M/T</t>
  </si>
  <si>
    <t>CRDi 133마력 2WD 일반캡 초장축 Smart A/T</t>
  </si>
  <si>
    <t>CRDi 133마력 4WD 일반캡 장축 Modern A/T</t>
  </si>
  <si>
    <t>CRDi 133마력 2WD 더블캡 초장축 Style M/T</t>
  </si>
  <si>
    <t>CRDi 133마력 2WD 더블캡 초장축 Style A/T</t>
  </si>
  <si>
    <t>내장탑차 초장축 더블캡 스마트 A/T</t>
  </si>
  <si>
    <t>CRDi 133마력 2WD 슈퍼캡 초장축 Smart A/T</t>
  </si>
  <si>
    <t>CRDi 133마력 2WD 슈퍼캡 초장축 Premium A/T</t>
  </si>
  <si>
    <t>CRDi 133마력 4WD 더블캡 장축 Premium A/T</t>
  </si>
  <si>
    <t>CRDi 133마력 2WD 슈퍼캡 장축 Smart A/T</t>
  </si>
  <si>
    <t>CRDi 133마력 2WD 더블캡 초장축 Modern A/T</t>
  </si>
  <si>
    <t>CRDi 133마력 4WD 일반캡 장축 Premium A/T</t>
  </si>
  <si>
    <t>CRDi 133마력 4WD 슈퍼캡 장축 Style M/T</t>
  </si>
  <si>
    <t>CRDi 133마력 4WD 더블캡 장축 Modern A/T</t>
  </si>
  <si>
    <t>내장탑차 초장축 슈퍼캡 SUP</t>
  </si>
  <si>
    <t>초저온냉동탑차 초장축 슈퍼캡 SUP 트윈컴프</t>
  </si>
  <si>
    <t>하이냉동탑차 초장축 일반캡 SUP 싱글컴프 A/T</t>
  </si>
  <si>
    <t>하이냉장탑차 초장축 슈퍼캡 SUP 싱글컴프 A/T</t>
  </si>
  <si>
    <t>다용도탑차 초장축 슈퍼캡 SUP</t>
  </si>
  <si>
    <t>냉동탑차 초장축 슈퍼캡 스마트 싱글컴프</t>
  </si>
  <si>
    <t>내장탑차 초장축 슈퍼캡 PLUS A/T</t>
  </si>
  <si>
    <t>하이내장탑차 초장축 슈퍼캡 SUP</t>
  </si>
  <si>
    <t>냉동탑차 초장축 슈퍼캡 PLUS 트윈컴프 A/T</t>
  </si>
  <si>
    <t>냉동탑차 초장축 슈퍼캡 SUP 트윈컴프 A/T</t>
  </si>
  <si>
    <t>하이냉동탑차 초장축 슈퍼캡 SUP 싱글컴프</t>
  </si>
  <si>
    <t>파워게이트 초장축 슈퍼캡 SUP</t>
  </si>
  <si>
    <t>내장탑차 초장축 슈퍼캡 PLUS</t>
  </si>
  <si>
    <t>파워게이트 초장축 슈퍼캡 스마트 A/T</t>
  </si>
  <si>
    <t>파워게이트 초장축 더블캡 스마트 A/T</t>
  </si>
  <si>
    <t>전동식윙바디 초장축 슈퍼캡 PLUS A/T</t>
  </si>
  <si>
    <t>수동식윙바디 초장축 슈퍼캡 SUP</t>
  </si>
  <si>
    <t>수동식윙바디 초장축 슈퍼캡 PLUS</t>
  </si>
  <si>
    <t>냉동탑차 초장축 슈퍼캡 스마트 M/T</t>
  </si>
  <si>
    <t>전동식윙바디 초장축 슈퍼캡 SUP</t>
  </si>
  <si>
    <t>전동식윙바디 초장축 슈퍼캡 PLUS</t>
  </si>
  <si>
    <t>수동식윙바디 초장축 슈퍼캡 SUP A/T</t>
  </si>
  <si>
    <t>전동식윙바디 초장축 슈퍼캡 SUP A/T</t>
  </si>
  <si>
    <t>수동식윙바디 초장축 슈퍼캡 PLUS A/T</t>
  </si>
  <si>
    <t>하이내장탑차 초장축 일반캡 SUP A/T</t>
  </si>
  <si>
    <t>냉동탑차 초장축 슈퍼캡 PLUS 트윈컴프</t>
  </si>
  <si>
    <t>냉장탑차 초장축 슈퍼캡 SUP 싱글컴프</t>
  </si>
  <si>
    <t>시티밴 초장축 슈퍼캡 SUP A/T</t>
  </si>
  <si>
    <t>하이냉동탑차 초장축 슈퍼캡 PLUS 트윈컴프</t>
  </si>
  <si>
    <t>냉장탑차 초장축 슈퍼캡 PLUS 싱글컴프 A/T</t>
  </si>
  <si>
    <t>다용도탑차 초장축 슈퍼캡 SUP A/T</t>
  </si>
  <si>
    <t>하이냉장탑차 초장축 슈퍼캡 SUP 싱글컴프</t>
  </si>
  <si>
    <t>냉동탑차 초장축 슈퍼캡 PLUS 싱글컴프</t>
  </si>
  <si>
    <t>냉동탑차 초장축 슈퍼캡 SUP 싱글컴프 A/T</t>
  </si>
  <si>
    <t>하이냉동탑차 초장축 슈퍼캡 SUP 싱글컴프 A/T</t>
  </si>
  <si>
    <t>하이냉동탑차 초장축 슈퍼캡 SUP 트윈컴프</t>
  </si>
  <si>
    <t>하이냉동탑차 초장축 슈퍼캡 스마트 트윈컴프 A/T</t>
  </si>
  <si>
    <t>냉동탑차 초장축 슈퍼캡 SUP 트윈컴프</t>
  </si>
  <si>
    <t>하이냉동탑차 초장축 슈퍼캡 PLUS 트윈컴프 A/T</t>
  </si>
  <si>
    <t>냉장탑차 초장축 슈퍼캡 PLUS 싱글컴프</t>
  </si>
  <si>
    <t>파워게이트 초장축 슈퍼캡 PLUS A/T</t>
  </si>
  <si>
    <t>하이내장탑차 초장축 일반캡 SUP</t>
  </si>
  <si>
    <t>내장탑파워게이트 초장축 슈퍼캡 SUP</t>
  </si>
  <si>
    <t>내장탑파워게이트 초장축 슈퍼캡 SUP A/T</t>
  </si>
  <si>
    <t>하이냉동탑차 초장축 슈퍼캡 SUP 트윈컴프 A/T</t>
  </si>
  <si>
    <t>하이냉장탑차 초장축 슈퍼캡 PLUS 싱글컴프</t>
  </si>
  <si>
    <t>파워게이트 초장축 슈퍼캡 PLUS</t>
  </si>
  <si>
    <t>냉동탑차 초장축 일반캡 PLUS 싱글컴프 A/T</t>
  </si>
  <si>
    <t>하이냉동탑차 초장축 일반캡 SUP 싱글컴프</t>
  </si>
  <si>
    <t>냉장탑차 초장축 슈퍼캡 스타일</t>
  </si>
  <si>
    <t>냉동탑차 초장축 슈퍼캡 PLUS 싱글컴프 A/T</t>
  </si>
  <si>
    <t>냉동탑차 초장축 슈퍼캡 SUP 싱글컴프</t>
  </si>
  <si>
    <t>냉장탑차 초장축 슈퍼캡 SUP 싱글컴프 A/T</t>
  </si>
  <si>
    <t>하이냉장탑차 초장축 슈퍼캡 PLUS 싱글컴프 A/T</t>
  </si>
  <si>
    <t>내장탑차 초장축 슈퍼캡 SUP A/T</t>
  </si>
  <si>
    <t>냉동탑차 초장축 일반캡 PLUS 싱글컴프</t>
  </si>
  <si>
    <t>시티밴 초장축 슈퍼캡 SUP</t>
  </si>
  <si>
    <t>초저온냉동탑차 초장축 슈퍼캡 SUP 트윈컴프 A/T</t>
  </si>
  <si>
    <t>하이내장탑차 초장축 슈퍼캡 SUP A/T</t>
  </si>
  <si>
    <t>트랜스파워게이트 초장축 슈퍼캡 SUP</t>
  </si>
  <si>
    <t>트랜스파워게이트 초장축 슈퍼캡 SUP A/T</t>
  </si>
  <si>
    <t>파워게이트 초장축 슈퍼캡 SUP A/T</t>
  </si>
  <si>
    <t>K5</t>
  </si>
  <si>
    <t>K5하이브리드</t>
  </si>
  <si>
    <t>K7</t>
  </si>
  <si>
    <t>K7 하이브리드</t>
  </si>
  <si>
    <t>K9</t>
  </si>
  <si>
    <t>니로</t>
  </si>
  <si>
    <t>레이</t>
  </si>
  <si>
    <t>모닝</t>
  </si>
  <si>
    <t>모하비</t>
  </si>
  <si>
    <t>봉고3</t>
  </si>
  <si>
    <t>봉고3 특장</t>
  </si>
  <si>
    <t>셀토스</t>
  </si>
  <si>
    <t>스토닉</t>
  </si>
  <si>
    <t>스팅어</t>
  </si>
  <si>
    <t>스포티지</t>
  </si>
  <si>
    <t>쏘렌토</t>
  </si>
  <si>
    <t>쏘렌토 하이브리드</t>
  </si>
  <si>
    <t>쏘울</t>
  </si>
  <si>
    <t>카니발</t>
  </si>
  <si>
    <t>QM6</t>
  </si>
  <si>
    <t>SM6</t>
  </si>
  <si>
    <t>XM3</t>
  </si>
  <si>
    <t>G4 렉스턴</t>
  </si>
  <si>
    <t>렉스턴 스포츠</t>
  </si>
  <si>
    <t>리스펙 티볼리</t>
  </si>
  <si>
    <t>코란도</t>
  </si>
  <si>
    <t>다마스</t>
  </si>
  <si>
    <t>라보</t>
  </si>
  <si>
    <t>말리부</t>
  </si>
  <si>
    <t>스파크</t>
  </si>
  <si>
    <t>아베오</t>
  </si>
  <si>
    <t>올란도</t>
  </si>
  <si>
    <t>이쿼녹스</t>
  </si>
  <si>
    <t>임팔라</t>
  </si>
  <si>
    <t>콜로라도</t>
  </si>
  <si>
    <t>크루즈</t>
  </si>
  <si>
    <t>트래버스</t>
  </si>
  <si>
    <t>트랙스</t>
  </si>
  <si>
    <t>트레일블레이저</t>
  </si>
  <si>
    <t>G70</t>
  </si>
  <si>
    <t>G80</t>
  </si>
  <si>
    <t>G90</t>
  </si>
  <si>
    <t>GV80</t>
  </si>
  <si>
    <t>I30</t>
  </si>
  <si>
    <t>그랜드 스타렉스</t>
  </si>
  <si>
    <t>그랜드 스타렉스 Urban</t>
  </si>
  <si>
    <t>그랜드 스타렉스 밴</t>
  </si>
  <si>
    <t>그랜드 스타렉스 특장</t>
  </si>
  <si>
    <t>그랜저</t>
  </si>
  <si>
    <t>그랜저 하이브리드</t>
  </si>
  <si>
    <t>베뉴</t>
  </si>
  <si>
    <t>벨로스터</t>
  </si>
  <si>
    <t>싼타페</t>
  </si>
  <si>
    <t>쏘나타 smartstream</t>
  </si>
  <si>
    <t>쏘나타 하이브리드</t>
  </si>
  <si>
    <t>쏠라티</t>
  </si>
  <si>
    <t>아반떼</t>
  </si>
  <si>
    <t>코나</t>
  </si>
  <si>
    <t>투싼</t>
  </si>
  <si>
    <t>팰리세이드</t>
  </si>
  <si>
    <t>포터Ⅱ</t>
  </si>
  <si>
    <t>포터Ⅱ 특장</t>
  </si>
  <si>
    <t>A7</t>
  </si>
  <si>
    <t>X3 xDrive 20d M Sport Package</t>
    <phoneticPr fontId="2" type="noConversion"/>
  </si>
  <si>
    <t>X7</t>
    <phoneticPr fontId="2" type="noConversion"/>
  </si>
  <si>
    <t>cayenne</t>
    <phoneticPr fontId="2" type="noConversion"/>
  </si>
  <si>
    <t>Cayenne E-hybrid Coupe</t>
    <phoneticPr fontId="2" type="noConversion"/>
  </si>
  <si>
    <t>Aviator</t>
  </si>
  <si>
    <t>50 TDI Quattro Premium</t>
  </si>
  <si>
    <t>0691</t>
  </si>
  <si>
    <t>SQ5</t>
  </si>
  <si>
    <t>SQ5 TDI</t>
  </si>
  <si>
    <t>740i DPE</t>
    <phoneticPr fontId="2" type="noConversion"/>
  </si>
  <si>
    <t>740i M Sport Package</t>
    <phoneticPr fontId="2" type="noConversion"/>
  </si>
  <si>
    <t>L 50TDI Quattro</t>
  </si>
  <si>
    <t>50TDI Quattro</t>
  </si>
  <si>
    <t>xDrive 30d M Sport Package (6인승)</t>
  </si>
  <si>
    <t>A8</t>
    <phoneticPr fontId="2" type="noConversion"/>
  </si>
  <si>
    <t>G1.6 하이브리드 인스퍼레이션</t>
  </si>
  <si>
    <t>G1.6 하이브리드 모던</t>
  </si>
  <si>
    <t>G1.6 하이브리드 스마트</t>
  </si>
  <si>
    <t>봉고3 1톤 카고 초장축 더블캡 디젤 GLS 2WD A/T 기본형(오토론)</t>
  </si>
  <si>
    <t>Benz park 잔가상향 (기본잔가율 상향)</t>
    <phoneticPr fontId="2" type="noConversion"/>
  </si>
  <si>
    <t>3.8 가솔린 VIP 2WD (7인승)</t>
  </si>
  <si>
    <t>GLB-Class</t>
  </si>
  <si>
    <t>GLB 250 4Matic</t>
  </si>
  <si>
    <t>GLE400d 4Matic Coupe</t>
    <phoneticPr fontId="2" type="noConversion"/>
  </si>
  <si>
    <t>Gladiator</t>
  </si>
  <si>
    <t>B잔가최종▶</t>
    <phoneticPr fontId="2" type="noConversion"/>
  </si>
  <si>
    <t>Q2</t>
    <phoneticPr fontId="2" type="noConversion"/>
  </si>
  <si>
    <t>35TDI Premium</t>
  </si>
  <si>
    <t>35TDI</t>
  </si>
  <si>
    <t>M40i</t>
  </si>
  <si>
    <t>GLC 300e 4Matic</t>
    <phoneticPr fontId="2" type="noConversion"/>
  </si>
  <si>
    <t>E220d 4M AMG Line</t>
  </si>
  <si>
    <t>E350 4MATIC Avantgarde</t>
    <phoneticPr fontId="2" type="noConversion"/>
  </si>
  <si>
    <t>화물차</t>
    <phoneticPr fontId="2" type="noConversion"/>
  </si>
  <si>
    <t>2504M</t>
  </si>
  <si>
    <t>CLS-Clsass</t>
  </si>
  <si>
    <t>450 4M AMG LINE</t>
  </si>
  <si>
    <t>CLS53 4M</t>
  </si>
  <si>
    <t>250 4M</t>
  </si>
  <si>
    <t>300 4M Coupe</t>
  </si>
  <si>
    <t>300e 4M</t>
  </si>
  <si>
    <t>300e 4M Coupe</t>
  </si>
  <si>
    <t>300 4M Coupe Pre</t>
  </si>
  <si>
    <t>300d 4M</t>
  </si>
  <si>
    <t>400d 4M</t>
  </si>
  <si>
    <t>580 4M</t>
  </si>
  <si>
    <t>AMG 63</t>
  </si>
  <si>
    <t>63 S 4M 4door Coupe</t>
  </si>
  <si>
    <t>플릿잔가 상향 BENZ 차종</t>
    <phoneticPr fontId="2" type="noConversion"/>
  </si>
  <si>
    <t>GLS-Class</t>
    <phoneticPr fontId="2" type="noConversion"/>
  </si>
  <si>
    <t>벤츠플릿 여부</t>
    <phoneticPr fontId="2" type="noConversion"/>
  </si>
  <si>
    <t>플릿 해당차량여부</t>
    <phoneticPr fontId="2" type="noConversion"/>
  </si>
  <si>
    <t xml:space="preserve">할인가 9프로 이상 여부 </t>
    <phoneticPr fontId="2" type="noConversion"/>
  </si>
  <si>
    <t>523d Luxury</t>
  </si>
  <si>
    <t>523d M Sport Pack</t>
  </si>
  <si>
    <t>523d xDrive Luxury</t>
  </si>
  <si>
    <t>523d xDrive M Sport Pack</t>
  </si>
  <si>
    <t>43 4M 4door Coupe</t>
    <phoneticPr fontId="2" type="noConversion"/>
  </si>
  <si>
    <t>E-Class</t>
    <phoneticPr fontId="2" type="noConversion"/>
  </si>
  <si>
    <t>E220d 4M Ex</t>
    <phoneticPr fontId="2" type="noConversion"/>
  </si>
  <si>
    <t>E220d 4M AMGline</t>
    <phoneticPr fontId="2" type="noConversion"/>
  </si>
  <si>
    <t>E250 AV</t>
    <phoneticPr fontId="2" type="noConversion"/>
  </si>
  <si>
    <t>E250 EX</t>
    <phoneticPr fontId="2" type="noConversion"/>
  </si>
  <si>
    <t>E350 4M AV</t>
    <phoneticPr fontId="2" type="noConversion"/>
  </si>
  <si>
    <t>E350 4M AMG Line</t>
    <phoneticPr fontId="2" type="noConversion"/>
  </si>
  <si>
    <t xml:space="preserve">B 플릿잔가 제외차종 </t>
    <phoneticPr fontId="2" type="noConversion"/>
  </si>
  <si>
    <t>제외여부</t>
    <phoneticPr fontId="2" type="noConversion"/>
  </si>
  <si>
    <t>할인여부</t>
    <phoneticPr fontId="2" type="noConversion"/>
  </si>
  <si>
    <t>45 TDI Quattro premium</t>
    <phoneticPr fontId="2" type="noConversion"/>
  </si>
  <si>
    <t>Q7 50 TDI Quattro premium</t>
    <phoneticPr fontId="2" type="noConversion"/>
  </si>
  <si>
    <t>Q8 45 TDI Q</t>
    <phoneticPr fontId="2" type="noConversion"/>
  </si>
  <si>
    <t>Q8 50 TDI Q</t>
    <phoneticPr fontId="2" type="noConversion"/>
  </si>
  <si>
    <t>A7 55 TFSI Quattro Premium</t>
    <phoneticPr fontId="2" type="noConversion"/>
  </si>
  <si>
    <t>Z71-X</t>
  </si>
  <si>
    <t>Z71-X 미드나잇</t>
  </si>
  <si>
    <t>익스트림</t>
  </si>
  <si>
    <t>익스트림 4WD</t>
  </si>
  <si>
    <t>x7 40d DPE_6Seater</t>
  </si>
  <si>
    <t>x7 40d DPE_7Seater</t>
  </si>
  <si>
    <t>x7 40d M Sport</t>
  </si>
  <si>
    <t>Taycan</t>
    <phoneticPr fontId="2" type="noConversion"/>
  </si>
  <si>
    <t>cayenne Turbo</t>
    <phoneticPr fontId="2" type="noConversion"/>
  </si>
  <si>
    <t>cayenne coupe turbo</t>
    <phoneticPr fontId="2" type="noConversion"/>
  </si>
  <si>
    <t>Panamera</t>
    <phoneticPr fontId="2" type="noConversion"/>
  </si>
  <si>
    <t>Panamera 4</t>
    <phoneticPr fontId="2" type="noConversion"/>
  </si>
  <si>
    <t>Panamera 4 E-하이브리드</t>
    <phoneticPr fontId="2" type="noConversion"/>
  </si>
  <si>
    <t>Panamera 4S A/T</t>
    <phoneticPr fontId="2" type="noConversion"/>
  </si>
  <si>
    <t>Panamera GTS</t>
    <phoneticPr fontId="2" type="noConversion"/>
  </si>
  <si>
    <t>Panamera Turbo</t>
    <phoneticPr fontId="2" type="noConversion"/>
  </si>
  <si>
    <t>X6 xDrive 40d M Sport</t>
    <phoneticPr fontId="2" type="noConversion"/>
  </si>
  <si>
    <t>투싼 하이브리드</t>
  </si>
  <si>
    <t>The all new 투싼 Hybrid 모던</t>
  </si>
  <si>
    <t>The all new 투싼 Hybrid 프리미엄</t>
  </si>
  <si>
    <t>The all new 투싼 Hybrid 인스퍼레이션</t>
  </si>
  <si>
    <t>GLE 53 4M</t>
  </si>
  <si>
    <t>Jetta</t>
  </si>
  <si>
    <t>GLC 43 AMG 4MATIC</t>
  </si>
  <si>
    <t>GLC 43 AMG 4MATIC</t>
    <phoneticPr fontId="2" type="noConversion"/>
  </si>
  <si>
    <t xml:space="preserve">GLE 63 AMG S 4MATIC </t>
    <phoneticPr fontId="2" type="noConversion"/>
  </si>
  <si>
    <t>B4 AWD Inscription</t>
    <phoneticPr fontId="2" type="noConversion"/>
  </si>
  <si>
    <t>B4 AWD Momentum</t>
    <phoneticPr fontId="2" type="noConversion"/>
  </si>
  <si>
    <t>B4 AWD R-Design</t>
    <phoneticPr fontId="2" type="noConversion"/>
  </si>
  <si>
    <t>GV70</t>
  </si>
  <si>
    <t>GV70</t>
    <phoneticPr fontId="2" type="noConversion"/>
  </si>
  <si>
    <t>가솔린 2.5 터보 2WD</t>
  </si>
  <si>
    <t>가솔린 2.5 터보 AWD</t>
  </si>
  <si>
    <t>가솔린 2.5 터보 스포츠 2WD</t>
  </si>
  <si>
    <t>가솔린 2.5 터보스포츠 AWD</t>
  </si>
  <si>
    <t>가솔린 3.5 터보 AWD</t>
  </si>
  <si>
    <t>가솔린 3.5 터보 스포츠 AWD</t>
  </si>
  <si>
    <t>디젤 2.2 2WD</t>
  </si>
  <si>
    <t>디젤 2.2 AWD</t>
  </si>
  <si>
    <t>디젤 2.2 스포츠 2WD</t>
  </si>
  <si>
    <t>디젤 2.2 스포츠 AWD</t>
  </si>
  <si>
    <t>GLB 35 4matic AMG</t>
  </si>
  <si>
    <t>GLB 200d</t>
  </si>
  <si>
    <t>G 400d</t>
  </si>
  <si>
    <t>승합차</t>
  </si>
  <si>
    <t>법인 플릿 할인시 잔가 상향 차종</t>
    <phoneticPr fontId="2" type="noConversion"/>
  </si>
  <si>
    <t>220 21년식</t>
    <phoneticPr fontId="2" type="noConversion"/>
  </si>
  <si>
    <t>450 4M AMG LINE 21년식</t>
    <phoneticPr fontId="2" type="noConversion"/>
  </si>
  <si>
    <t>300d 4M 21년식</t>
    <phoneticPr fontId="2" type="noConversion"/>
  </si>
  <si>
    <t>400d 4M 21년식</t>
    <phoneticPr fontId="2" type="noConversion"/>
  </si>
  <si>
    <t>580 4M 21년식</t>
    <phoneticPr fontId="2" type="noConversion"/>
  </si>
  <si>
    <t>43 4M 4door Coupe 21년식</t>
    <phoneticPr fontId="2" type="noConversion"/>
  </si>
  <si>
    <t>GLE 53 4M coupe AMG</t>
    <phoneticPr fontId="2" type="noConversion"/>
  </si>
  <si>
    <t>Turbo S</t>
  </si>
  <si>
    <t>Turbo S Cabriolet</t>
  </si>
  <si>
    <t>718 Cayman GTS 4.0</t>
    <phoneticPr fontId="2" type="noConversion"/>
  </si>
  <si>
    <t>3.0 가솔린 3.0 platinum</t>
  </si>
  <si>
    <t>C잔가</t>
    <phoneticPr fontId="2" type="noConversion"/>
  </si>
  <si>
    <t>임대잔가(A잔가)</t>
    <phoneticPr fontId="2" type="noConversion"/>
  </si>
  <si>
    <t>구매잔가(B)</t>
    <phoneticPr fontId="2" type="noConversion"/>
  </si>
  <si>
    <t>1.6터보(N라인) 스포츠 A/T</t>
    <phoneticPr fontId="2" type="noConversion"/>
  </si>
  <si>
    <t>all new 렉스턴 5인승 PRESTIGE 4WD</t>
  </si>
  <si>
    <t>렉스턴</t>
    <phoneticPr fontId="2" type="noConversion"/>
  </si>
  <si>
    <t>가솔린 터보 2.5 2WD 트렌디 (5인승) (A/T)</t>
    <phoneticPr fontId="2" type="noConversion"/>
  </si>
  <si>
    <t>가솔린 터보 2.5 4WD 트렌디 (5인승) (A/T)</t>
    <phoneticPr fontId="2" type="noConversion"/>
  </si>
  <si>
    <t>가솔린 터보 2.5 2WD트렌디 (6인승) (A/T)</t>
    <phoneticPr fontId="2" type="noConversion"/>
  </si>
  <si>
    <t>가솔린 터보 2.5 2WD트렌디 (7인승) (A/T)</t>
    <phoneticPr fontId="2" type="noConversion"/>
  </si>
  <si>
    <t>가솔린 터보 2.5 2WD프레스티지 (5인승) (A/T)</t>
    <phoneticPr fontId="2" type="noConversion"/>
  </si>
  <si>
    <t>가솔린 터보 2.5 2WD프레스티지 (6인승) (A/T)</t>
    <phoneticPr fontId="2" type="noConversion"/>
  </si>
  <si>
    <t>가솔린 터보 2.5 2WD프레스티지 (7인승) (A/T)</t>
    <phoneticPr fontId="2" type="noConversion"/>
  </si>
  <si>
    <t>가솔린 터보 2.5 2WD노블레스(5인승)</t>
    <phoneticPr fontId="2" type="noConversion"/>
  </si>
  <si>
    <t>가솔린 터보 2.5 2WD노블레스(6인승)</t>
    <phoneticPr fontId="2" type="noConversion"/>
  </si>
  <si>
    <t>가솔린 터보 2.5 2WD노블레스(7인승)</t>
    <phoneticPr fontId="2" type="noConversion"/>
  </si>
  <si>
    <t>가솔린 터보 2.5 2WD시그니처(5인승)</t>
    <phoneticPr fontId="2" type="noConversion"/>
  </si>
  <si>
    <t>가솔린 터보 2.5 2WD그래비티(5인승)</t>
    <phoneticPr fontId="2" type="noConversion"/>
  </si>
  <si>
    <t>가솔린 터보 2.5 2WD그래비티(6인승)</t>
    <phoneticPr fontId="2" type="noConversion"/>
  </si>
  <si>
    <t>가솔린 터보 2.5 2WD그래비티(7인승)</t>
    <phoneticPr fontId="2" type="noConversion"/>
  </si>
  <si>
    <t>가솔린 터보 2.5 4WD 트렌디 (6인승) (A/T)</t>
    <phoneticPr fontId="2" type="noConversion"/>
  </si>
  <si>
    <t>가솔린 터보 2.5 4WD 트렌디 (7인승) (A/T)</t>
    <phoneticPr fontId="2" type="noConversion"/>
  </si>
  <si>
    <t>가솔린 터보 2.5 4WD 프레스티지 (5인승) (A/T)</t>
    <phoneticPr fontId="2" type="noConversion"/>
  </si>
  <si>
    <t>가솔린 터보 2.5 4WD 프레스티지 (6인승) (A/T)</t>
    <phoneticPr fontId="2" type="noConversion"/>
  </si>
  <si>
    <t>가솔린 터보 2.5 4WD 프레스티지 (7인승) (A/T)</t>
    <phoneticPr fontId="2" type="noConversion"/>
  </si>
  <si>
    <t>가솔린 터보 2.5 4WD 노블레스(5인승)</t>
    <phoneticPr fontId="2" type="noConversion"/>
  </si>
  <si>
    <t>가솔린 터보 2.5 4WD 노블레스(6인승)</t>
    <phoneticPr fontId="2" type="noConversion"/>
  </si>
  <si>
    <t>가솔린 터보 2.5 4WD 노블레스(7인승)</t>
    <phoneticPr fontId="2" type="noConversion"/>
  </si>
  <si>
    <t>가솔린 터보 2.5 4WD 시그니처(5인승)</t>
    <phoneticPr fontId="2" type="noConversion"/>
  </si>
  <si>
    <t>가솔린 터보 2.5 4WD 그래비티(5인승)</t>
    <phoneticPr fontId="2" type="noConversion"/>
  </si>
  <si>
    <t>가솔린 터보 2.5 4WD 그래비티(6인승)</t>
    <phoneticPr fontId="2" type="noConversion"/>
  </si>
  <si>
    <t>가솔린 터보 2.5 4WD 그래비티(7인승)</t>
    <phoneticPr fontId="2" type="noConversion"/>
  </si>
  <si>
    <t>1.6 가솔린 터보 스마트 M/T</t>
    <phoneticPr fontId="2" type="noConversion"/>
  </si>
  <si>
    <t>1.6가솔린 터보 N스포츠 M/T</t>
    <phoneticPr fontId="2" type="noConversion"/>
  </si>
  <si>
    <t>1.6가솔린 터보 N 스포츠 A/T</t>
    <phoneticPr fontId="2" type="noConversion"/>
  </si>
  <si>
    <t>1.6가솔린 터보 N 인스퍼레이션 A/T</t>
    <phoneticPr fontId="2" type="noConversion"/>
  </si>
  <si>
    <t>가솔린 터보 2.5 2WD 프리미엄 (5인승) (A/T)</t>
    <phoneticPr fontId="2" type="noConversion"/>
  </si>
  <si>
    <t>가솔린 터보 2.5 2WD 프레스티지 (5인승) (A/T)</t>
    <phoneticPr fontId="2" type="noConversion"/>
  </si>
  <si>
    <t>가솔린 터보 2.5 2WD 프리미엄 초이스 (5인승) (A/T)</t>
    <phoneticPr fontId="2" type="noConversion"/>
  </si>
  <si>
    <t>가솔린 터보 2.5 2WD 캘리그래피 (5인승) (A/T)</t>
    <phoneticPr fontId="2" type="noConversion"/>
  </si>
  <si>
    <t>가솔린 터보 2.5 2WD 초이스 (7인승) (A/T)</t>
    <phoneticPr fontId="2" type="noConversion"/>
  </si>
  <si>
    <t>가솔린 터보 2.5 2WD 프레스티지 (7인승) (A/T)</t>
    <phoneticPr fontId="2" type="noConversion"/>
  </si>
  <si>
    <t>가솔린 터보 2.5 2WD 프리미엄 초이스 (7인승) (A/T)</t>
    <phoneticPr fontId="2" type="noConversion"/>
  </si>
  <si>
    <t>가솔린 터보 2.5 2WD 캘리그래피 (7인승) (A/T)</t>
    <phoneticPr fontId="2" type="noConversion"/>
  </si>
  <si>
    <t>가솔린 터보 2.5 4WD 프리미엄 (5인승) (A/T)</t>
    <phoneticPr fontId="2" type="noConversion"/>
  </si>
  <si>
    <t>가솔린 터보 2.5 4WD 프리미엄 초이스 (5인승) (A/T)</t>
    <phoneticPr fontId="2" type="noConversion"/>
  </si>
  <si>
    <t>가솔린 터보 2.5 4WD 캘리그래피 (5인승) (A/T)</t>
    <phoneticPr fontId="2" type="noConversion"/>
  </si>
  <si>
    <t>가솔린 터보 2.5 4WD 초이스 (7인승) (A/T)</t>
    <phoneticPr fontId="2" type="noConversion"/>
  </si>
  <si>
    <t>가솔린 터보 2.5 4WD 프리미엄 초이스 (7인승) (A/T)</t>
    <phoneticPr fontId="2" type="noConversion"/>
  </si>
  <si>
    <t>가솔린 터보 2.5 4WD 캘리그래피 (7인승) (A/T)</t>
    <phoneticPr fontId="2" type="noConversion"/>
  </si>
  <si>
    <t>가솔린 2.5 RWD 플래티넘</t>
    <phoneticPr fontId="2" type="noConversion"/>
  </si>
  <si>
    <t>가솔린 2.5 RWD 마스터즈</t>
    <phoneticPr fontId="2" type="noConversion"/>
  </si>
  <si>
    <t>가솔린 2.5 AWD 플래티넘</t>
    <phoneticPr fontId="2" type="noConversion"/>
  </si>
  <si>
    <t>가솔린 2.5 AWD 마스터즈</t>
    <phoneticPr fontId="2" type="noConversion"/>
  </si>
  <si>
    <t>가솔린 터보 3.3 RWD 마스터즈</t>
    <phoneticPr fontId="2" type="noConversion"/>
  </si>
  <si>
    <t>가솔린 터보 3.3 AWD 마스터즈</t>
    <phoneticPr fontId="2" type="noConversion"/>
  </si>
  <si>
    <t>가솔린 터보 1.6 모던 2wd a/t</t>
    <phoneticPr fontId="2" type="noConversion"/>
  </si>
  <si>
    <t>가솔린 터보 1.6 스마트 2wd a/t</t>
    <phoneticPr fontId="2" type="noConversion"/>
  </si>
  <si>
    <t>가솔린 터보 1.6 인스퍼레이션 2wd a/t</t>
    <phoneticPr fontId="2" type="noConversion"/>
  </si>
  <si>
    <t>가솔린 터보 1.6 스마트 4wd A/T</t>
    <phoneticPr fontId="2" type="noConversion"/>
  </si>
  <si>
    <t>가솔린 터보 1.6 모던 4WD A/T</t>
    <phoneticPr fontId="2" type="noConversion"/>
  </si>
  <si>
    <t>가솔린 터보 1.6 인스퍼레이션 4wd a/t</t>
    <phoneticPr fontId="2" type="noConversion"/>
  </si>
  <si>
    <t>가솔린 터보 1.6 N모던 2WD A/T</t>
    <phoneticPr fontId="2" type="noConversion"/>
  </si>
  <si>
    <t>가솔린 터보 1.6N 인스퍼레이션 2wD a/t</t>
    <phoneticPr fontId="2" type="noConversion"/>
  </si>
  <si>
    <t>가솔린 터보 1.6 N모던 4WD A/T</t>
    <phoneticPr fontId="2" type="noConversion"/>
  </si>
  <si>
    <t>가솔린 터보 1.6N 인스퍼레이션 4wd a/t</t>
    <phoneticPr fontId="2" type="noConversion"/>
  </si>
  <si>
    <t>가솔린 터보 2.0 모던 2wd a/t</t>
    <phoneticPr fontId="2" type="noConversion"/>
  </si>
  <si>
    <t>가솔린 터보 2.0 스마트 2wd a/t</t>
    <phoneticPr fontId="2" type="noConversion"/>
  </si>
  <si>
    <t>가솔린 터보 2.0 인스퍼레이션 2wd a/t</t>
    <phoneticPr fontId="2" type="noConversion"/>
  </si>
  <si>
    <t>가솔린 터보 2.0 스마트 4wd A/T</t>
    <phoneticPr fontId="2" type="noConversion"/>
  </si>
  <si>
    <t>가솔린 터보 2.0 모던 4WD A/T</t>
    <phoneticPr fontId="2" type="noConversion"/>
  </si>
  <si>
    <t>가솔린 터보 2.0 인스퍼레이션 4wd a/t</t>
    <phoneticPr fontId="2" type="noConversion"/>
  </si>
  <si>
    <t>디젤 올뉴 투싼 2WD 모던 A/T</t>
    <phoneticPr fontId="2" type="noConversion"/>
  </si>
  <si>
    <t>디젤 올뉴 투싼 2WD 프리미엄 A/T</t>
    <phoneticPr fontId="2" type="noConversion"/>
  </si>
  <si>
    <t>디젤 올뉴 투싼 2WD 인스퍼레이션 A/T</t>
    <phoneticPr fontId="2" type="noConversion"/>
  </si>
  <si>
    <t>디젤 올뉴 투싼 AWD 모던 A/T</t>
    <phoneticPr fontId="2" type="noConversion"/>
  </si>
  <si>
    <t>디젤 올뉴 투싼 AWD 프리미엄 A/T</t>
    <phoneticPr fontId="2" type="noConversion"/>
  </si>
  <si>
    <t>디젤 올뉴 투싼 AWD 인스퍼레이션 A/T</t>
    <phoneticPr fontId="2" type="noConversion"/>
  </si>
  <si>
    <t>가솔린 올뉴 투싼 2WD 모던 A/T</t>
    <phoneticPr fontId="2" type="noConversion"/>
  </si>
  <si>
    <t>가솔린 올뉴 투싼 2WD 프리미엄 A/T</t>
    <phoneticPr fontId="2" type="noConversion"/>
  </si>
  <si>
    <t>가솔린 올뉴 투싼 2WD 인스퍼레이션 A/T</t>
    <phoneticPr fontId="2" type="noConversion"/>
  </si>
  <si>
    <t>가솔린 올뉴 투싼 AWD 모던 A/T</t>
    <phoneticPr fontId="2" type="noConversion"/>
  </si>
  <si>
    <t>가솔린 올뉴 투싼 AWD 프리미엄 A/T</t>
    <phoneticPr fontId="2" type="noConversion"/>
  </si>
  <si>
    <t>가솔린 올뉴 투싼 AWD 인스퍼레이션 A/T</t>
    <phoneticPr fontId="2" type="noConversion"/>
  </si>
  <si>
    <t>가솔린 터보 1.2 LS A/T</t>
    <phoneticPr fontId="2" type="noConversion"/>
  </si>
  <si>
    <t>가솔린 터보 1.2  LT A/T</t>
    <phoneticPr fontId="2" type="noConversion"/>
  </si>
  <si>
    <t>디젤 2.2 5인승 2wd 럭셔리 A/T</t>
    <phoneticPr fontId="2" type="noConversion"/>
  </si>
  <si>
    <t>디젤 2.2 5인승 2wd 프레스티지 A/T</t>
    <phoneticPr fontId="2" type="noConversion"/>
  </si>
  <si>
    <t>디젤 2.2 5인승 4WD 럭셔리 A/t</t>
    <phoneticPr fontId="2" type="noConversion"/>
  </si>
  <si>
    <t>디젤 2.2 5인승 4WD 프레스티지 A/T</t>
    <phoneticPr fontId="2" type="noConversion"/>
  </si>
  <si>
    <t>디젤 2.2 5인승 4WD 더 블랙 A/T</t>
    <phoneticPr fontId="2" type="noConversion"/>
  </si>
  <si>
    <t>디젤 2.2 7인승 2wd 럭셔리 A/T</t>
    <phoneticPr fontId="2" type="noConversion"/>
  </si>
  <si>
    <t>디젤 2.2 7인승 2wd 프레스티지 A/T</t>
    <phoneticPr fontId="2" type="noConversion"/>
  </si>
  <si>
    <t>디젤 2.2 7인승 4WD 럭셔리 A/t</t>
    <phoneticPr fontId="2" type="noConversion"/>
  </si>
  <si>
    <t>디젤 2.2 7인승 4WD 프레스티지 A/T</t>
    <phoneticPr fontId="2" type="noConversion"/>
  </si>
  <si>
    <t>디젤 2.2 7인승 4WD 더 블랙 A/T</t>
    <phoneticPr fontId="2" type="noConversion"/>
  </si>
  <si>
    <t xml:space="preserve">Q8 55 TFSI Q Premium </t>
    <phoneticPr fontId="2" type="noConversion"/>
  </si>
  <si>
    <t>벤테이가</t>
    <phoneticPr fontId="2" type="noConversion"/>
  </si>
  <si>
    <t>벤테이가 V8</t>
    <phoneticPr fontId="2" type="noConversion"/>
  </si>
  <si>
    <t>S 400d 4matic (AMG LIne)</t>
  </si>
  <si>
    <t xml:space="preserve">S 580 4matic </t>
  </si>
  <si>
    <t>S 500 4matic (AMG LIne)</t>
    <phoneticPr fontId="2" type="noConversion"/>
  </si>
  <si>
    <t>S클래스</t>
    <phoneticPr fontId="2" type="noConversion"/>
  </si>
  <si>
    <t>X5</t>
    <phoneticPr fontId="2" type="noConversion"/>
  </si>
  <si>
    <t>X6</t>
    <phoneticPr fontId="2" type="noConversion"/>
  </si>
  <si>
    <t>Q7</t>
    <phoneticPr fontId="2" type="noConversion"/>
  </si>
  <si>
    <t>SQ5</t>
    <phoneticPr fontId="2" type="noConversion"/>
  </si>
  <si>
    <t>E350</t>
    <phoneticPr fontId="2" type="noConversion"/>
  </si>
  <si>
    <t>6GT</t>
    <phoneticPr fontId="2" type="noConversion"/>
  </si>
  <si>
    <t>GT</t>
    <phoneticPr fontId="2" type="noConversion"/>
  </si>
  <si>
    <t>CLS</t>
    <phoneticPr fontId="2" type="noConversion"/>
  </si>
  <si>
    <t>GLC</t>
    <phoneticPr fontId="2" type="noConversion"/>
  </si>
  <si>
    <t>a,b,c 최소값</t>
    <phoneticPr fontId="2" type="noConversion"/>
  </si>
  <si>
    <t>B잔가 순리스료 (벤츠 B잔가 잔가상향차량 전용)</t>
    <phoneticPr fontId="2" type="noConversion"/>
  </si>
  <si>
    <t>C개별잔가</t>
    <phoneticPr fontId="2" type="noConversion"/>
  </si>
  <si>
    <t>B개별잔가</t>
    <phoneticPr fontId="2" type="noConversion"/>
  </si>
  <si>
    <t>B잔가</t>
    <phoneticPr fontId="2" type="noConversion"/>
  </si>
  <si>
    <t>검증</t>
    <phoneticPr fontId="2" type="noConversion"/>
  </si>
  <si>
    <t>2.0 하이브리드 투어링</t>
    <phoneticPr fontId="2" type="noConversion"/>
  </si>
  <si>
    <t>K8</t>
    <phoneticPr fontId="2" type="noConversion"/>
  </si>
  <si>
    <t>가솔린 2.5</t>
    <phoneticPr fontId="2" type="noConversion"/>
  </si>
  <si>
    <t>가솔린 3.5</t>
    <phoneticPr fontId="2" type="noConversion"/>
  </si>
  <si>
    <t>EXPEDITON</t>
    <phoneticPr fontId="2" type="noConversion"/>
  </si>
  <si>
    <t>가솔린 터보 3.5</t>
    <phoneticPr fontId="2" type="noConversion"/>
  </si>
  <si>
    <t>ranger</t>
    <phoneticPr fontId="2" type="noConversion"/>
  </si>
  <si>
    <t>디젤</t>
    <phoneticPr fontId="2" type="noConversion"/>
  </si>
  <si>
    <t>B잔가군</t>
    <phoneticPr fontId="2" type="noConversion"/>
  </si>
  <si>
    <t>신규 등록일</t>
    <phoneticPr fontId="2" type="noConversion"/>
  </si>
  <si>
    <t>차량 삭제건</t>
    <phoneticPr fontId="2" type="noConversion"/>
  </si>
  <si>
    <t>금액 변경건</t>
    <phoneticPr fontId="2" type="noConversion"/>
  </si>
  <si>
    <t>신규등록</t>
    <phoneticPr fontId="2" type="noConversion"/>
  </si>
  <si>
    <t>V</t>
    <phoneticPr fontId="2" type="noConversion"/>
  </si>
  <si>
    <t>승용RV</t>
    <phoneticPr fontId="2" type="noConversion"/>
  </si>
  <si>
    <t>v</t>
    <phoneticPr fontId="2" type="noConversion"/>
  </si>
  <si>
    <t>모델코드</t>
    <phoneticPr fontId="2" type="noConversion"/>
  </si>
  <si>
    <t>중복X</t>
    <phoneticPr fontId="2" type="noConversion"/>
  </si>
  <si>
    <t>재규어 iRR상향</t>
    <phoneticPr fontId="2" type="noConversion"/>
  </si>
  <si>
    <t>MercedesBenz</t>
  </si>
  <si>
    <t>2만킬로 한정</t>
    <phoneticPr fontId="2" type="noConversion"/>
  </si>
  <si>
    <t>임대형 추가하향</t>
    <phoneticPr fontId="2" type="noConversion"/>
  </si>
  <si>
    <t>5월 운영조건</t>
    <phoneticPr fontId="2" type="noConversion"/>
  </si>
  <si>
    <t>벤츠 s-class 추가하향</t>
    <phoneticPr fontId="2" type="noConversion"/>
  </si>
  <si>
    <t>navigator</t>
    <phoneticPr fontId="2" type="noConversion"/>
  </si>
  <si>
    <t>V8</t>
    <phoneticPr fontId="2" type="noConversion"/>
  </si>
  <si>
    <t>잔가</t>
    <phoneticPr fontId="2" type="noConversion"/>
  </si>
  <si>
    <t>TRUE0</t>
    <phoneticPr fontId="2" type="noConversion"/>
  </si>
  <si>
    <t>할인금액</t>
    <phoneticPr fontId="2" type="noConversion"/>
  </si>
  <si>
    <t>4%이상 제외</t>
    <phoneticPr fontId="2" type="noConversion"/>
  </si>
  <si>
    <t>법인 플릿 할인시 잔가 상향 차종</t>
    <phoneticPr fontId="2" type="noConversion"/>
  </si>
  <si>
    <t>차종</t>
    <phoneticPr fontId="2" type="noConversion"/>
  </si>
  <si>
    <t>모델</t>
    <phoneticPr fontId="2" type="noConversion"/>
  </si>
  <si>
    <t>GLS-Class</t>
    <phoneticPr fontId="2" type="noConversion"/>
  </si>
  <si>
    <t>AMG GT</t>
    <phoneticPr fontId="2" type="noConversion"/>
  </si>
  <si>
    <t>GLE-Class</t>
    <phoneticPr fontId="2" type="noConversion"/>
  </si>
  <si>
    <t>580 4M 21년식</t>
    <phoneticPr fontId="2" type="noConversion"/>
  </si>
  <si>
    <t>43 4M 4door Coupe 21년식</t>
    <phoneticPr fontId="2" type="noConversion"/>
  </si>
  <si>
    <t>T</t>
    <phoneticPr fontId="2" type="noConversion"/>
  </si>
  <si>
    <t>B 잔가+1 추가상향</t>
    <phoneticPr fontId="2" type="noConversion"/>
  </si>
  <si>
    <t>C 잔가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</si>
  <si>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</si>
  <si>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</si>
  <si>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</si>
  <si>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</si>
  <si>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</si>
  <si>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</si>
  <si>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N</t>
    <phoneticPr fontId="2" type="noConversion"/>
  </si>
  <si>
    <t>U</t>
    <phoneticPr fontId="2" type="noConversion"/>
  </si>
  <si>
    <t>W</t>
    <phoneticPr fontId="2" type="noConversion"/>
  </si>
  <si>
    <t>X</t>
    <phoneticPr fontId="2" type="noConversion"/>
  </si>
  <si>
    <t>Z</t>
    <phoneticPr fontId="2" type="noConversion"/>
  </si>
  <si>
    <t>스타리아</t>
    <phoneticPr fontId="2" type="noConversion"/>
  </si>
  <si>
    <t>2.2 디젤 투어러 2WD 11인승 스마트</t>
    <phoneticPr fontId="2" type="noConversion"/>
  </si>
  <si>
    <t>2.2 디젤 투어러 2WD 11인승 모던</t>
    <phoneticPr fontId="2" type="noConversion"/>
  </si>
  <si>
    <t>2.2 디젤 투어러 2WD 9인승 모던</t>
    <phoneticPr fontId="2" type="noConversion"/>
  </si>
  <si>
    <t>2.2 디젤 라운지  2WD 9인승 프레스티지</t>
    <phoneticPr fontId="2" type="noConversion"/>
  </si>
  <si>
    <t>2.2 디젤 라운지  2WD 9인승 인스퍼레이션</t>
    <phoneticPr fontId="2" type="noConversion"/>
  </si>
  <si>
    <t>2.2 디젤 라운지  2WD 7인승 인스퍼레이션</t>
    <phoneticPr fontId="2" type="noConversion"/>
  </si>
  <si>
    <t>2.2 디젤 카고 2WD 3인승 스마트</t>
    <phoneticPr fontId="2" type="noConversion"/>
  </si>
  <si>
    <t>2.2 디젤 카고 2WD 5인승 스마트</t>
  </si>
  <si>
    <t>2.2 디젤 카고 2WD 3인승 모던</t>
    <phoneticPr fontId="2" type="noConversion"/>
  </si>
  <si>
    <t>2.2 디젤 카고 2WD 5인승 모던</t>
    <phoneticPr fontId="2" type="noConversion"/>
  </si>
  <si>
    <t>승합차</t>
    <phoneticPr fontId="2" type="noConversion"/>
  </si>
  <si>
    <t>21_05</t>
    <phoneticPr fontId="2" type="noConversion"/>
  </si>
  <si>
    <t>하이브리드</t>
    <phoneticPr fontId="2" type="noConversion"/>
  </si>
  <si>
    <t>화물차</t>
    <phoneticPr fontId="2" type="noConversion"/>
  </si>
  <si>
    <t>모델</t>
    <phoneticPr fontId="9" type="noConversion"/>
  </si>
  <si>
    <t>수입차 IRR추가하향</t>
    <phoneticPr fontId="2" type="noConversion"/>
  </si>
  <si>
    <t>K8 하이브리드</t>
    <phoneticPr fontId="2" type="noConversion"/>
  </si>
  <si>
    <t>터보 1.6 노블레스 라이트</t>
    <phoneticPr fontId="2" type="noConversion"/>
  </si>
  <si>
    <t>터보 1.6 노블레스</t>
    <phoneticPr fontId="2" type="noConversion"/>
  </si>
  <si>
    <t>터보 1.6 시그니처</t>
    <phoneticPr fontId="2" type="noConversion"/>
  </si>
  <si>
    <t>S580 4M 마이바흐</t>
    <phoneticPr fontId="2" type="noConversion"/>
  </si>
  <si>
    <t>마이바흐 GLS</t>
    <phoneticPr fontId="2" type="noConversion"/>
  </si>
  <si>
    <t>GLS 600 4matic</t>
    <phoneticPr fontId="2" type="noConversion"/>
  </si>
  <si>
    <t>▶ 전기차 자동차세는 이용자 부담 선택 필수</t>
    <phoneticPr fontId="2" type="noConversion"/>
  </si>
  <si>
    <t>Y</t>
    <phoneticPr fontId="2" type="noConversion"/>
  </si>
  <si>
    <t>7월</t>
    <phoneticPr fontId="2" type="noConversion"/>
  </si>
  <si>
    <t>D250 S A/T</t>
    <phoneticPr fontId="2" type="noConversion"/>
  </si>
  <si>
    <t>420i convertible M sport package</t>
    <phoneticPr fontId="2" type="noConversion"/>
  </si>
  <si>
    <t>S5</t>
    <phoneticPr fontId="2" type="noConversion"/>
  </si>
  <si>
    <t>GLC 300E 4MATIC Coupe A/T</t>
  </si>
  <si>
    <t>GLC 300E 4MATIC A/T</t>
  </si>
  <si>
    <t>N</t>
    <phoneticPr fontId="2" type="noConversion"/>
  </si>
  <si>
    <t>승용 RV여부</t>
    <phoneticPr fontId="2" type="noConversion"/>
  </si>
  <si>
    <t>대형 SUV</t>
    <phoneticPr fontId="2" type="noConversion"/>
  </si>
  <si>
    <t>중형 SUV</t>
    <phoneticPr fontId="2" type="noConversion"/>
  </si>
  <si>
    <t>RV판단기준</t>
    <phoneticPr fontId="2" type="noConversion"/>
  </si>
  <si>
    <t>승용RV</t>
    <phoneticPr fontId="2" type="noConversion"/>
  </si>
  <si>
    <t>KA4 3.5 가솔린 하이리무진 시그니처 (9인승)</t>
  </si>
  <si>
    <t>KA4 3.5 가솔린 하이리무진 시그니처 (7인승)</t>
  </si>
  <si>
    <t>KA4 3.5 가솔린 프레스티지 (11인승)</t>
  </si>
  <si>
    <t>KA4 3.5 가솔린 시그니처 (11인승)</t>
  </si>
  <si>
    <t>KA4 3.5 가솔린 노블레스 (9인승)</t>
  </si>
  <si>
    <t>KA4 3.5 가솔린 노블레스 (7인승)</t>
  </si>
  <si>
    <t>KA4 3.5 가솔린 노블레스 (11인승)</t>
  </si>
  <si>
    <t>KA4 2.2 디젤 하이리무진 시그니처 (9인승)</t>
  </si>
  <si>
    <t>KA4 2.2 디젤 하이리무진 시그니처 (7인승)</t>
  </si>
  <si>
    <t>KA4 2.2 디젤 시그니처 (11인승)</t>
  </si>
  <si>
    <t>KA4 2.2 디젤 노블레스 (9인승)</t>
  </si>
  <si>
    <t>KA4 2.2 디젤 노블레스 (7인승)</t>
  </si>
  <si>
    <t>KA4 2.2 디젤 노블레스 (11인승)</t>
  </si>
  <si>
    <t>MQ4 HEV 1.6 프레스티지 4WD (5인승)</t>
  </si>
  <si>
    <t>MQ4 HEV 1.6 노블레스 4WD (5인승)</t>
  </si>
  <si>
    <t>MQ4 HEV 1.6 시그니처 4WD (5인승)</t>
  </si>
  <si>
    <t>MQ4 HEV 1.6 시그니처 그래비티 4WD (5인승)</t>
  </si>
  <si>
    <t>MQ4 HEV 1.6 프레스티지 2WD (5인승)</t>
  </si>
  <si>
    <t>MQ4 HEV 1.6 노블레스 2WD (5인승)</t>
  </si>
  <si>
    <t>MQ4 HEV 1.6 시그니처 2WD (5인승)</t>
  </si>
  <si>
    <t>MQ4 HEV 1.6 시그니처 그래비티 2WD (5인승)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</si>
  <si>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</si>
  <si>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 xml:space="preserve">                                       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</si>
  <si>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</si>
  <si>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모델명</t>
    <phoneticPr fontId="2" type="noConversion"/>
  </si>
  <si>
    <t>A3</t>
    <phoneticPr fontId="2" type="noConversion"/>
  </si>
  <si>
    <t>DBS</t>
    <phoneticPr fontId="2" type="noConversion"/>
  </si>
  <si>
    <t>M Series M4</t>
    <phoneticPr fontId="2" type="noConversion"/>
  </si>
  <si>
    <t>M Series M5 Sedan</t>
    <phoneticPr fontId="2" type="noConversion"/>
  </si>
  <si>
    <t>ODYSSEY</t>
    <phoneticPr fontId="2" type="noConversion"/>
  </si>
  <si>
    <t>PILOT</t>
    <phoneticPr fontId="2" type="noConversion"/>
  </si>
  <si>
    <t>고스트</t>
    <phoneticPr fontId="2" type="noConversion"/>
  </si>
  <si>
    <t>밴티지</t>
    <phoneticPr fontId="2" type="noConversion"/>
  </si>
  <si>
    <t>알페온</t>
    <phoneticPr fontId="2" type="noConversion"/>
  </si>
  <si>
    <t>카마로</t>
    <phoneticPr fontId="2" type="noConversion"/>
  </si>
  <si>
    <t>포르토피노</t>
    <phoneticPr fontId="2" type="noConversion"/>
  </si>
  <si>
    <t>6월 운영조건(제거)</t>
    <phoneticPr fontId="2" type="noConversion"/>
  </si>
  <si>
    <t>스포티지 하이브리드</t>
    <phoneticPr fontId="2" type="noConversion"/>
  </si>
  <si>
    <t>1.6 하이브리드 시그니처</t>
    <phoneticPr fontId="2" type="noConversion"/>
  </si>
  <si>
    <t>8월</t>
    <phoneticPr fontId="2" type="noConversion"/>
  </si>
  <si>
    <t>1.6 하이브리드 프레스티지</t>
    <phoneticPr fontId="2" type="noConversion"/>
  </si>
  <si>
    <t>BMW</t>
    <phoneticPr fontId="2" type="noConversion"/>
  </si>
  <si>
    <t>X2 M35i</t>
    <phoneticPr fontId="2" type="noConversion"/>
  </si>
  <si>
    <t>SQ5 TFSI</t>
    <phoneticPr fontId="2" type="noConversion"/>
  </si>
  <si>
    <t>50Quattro</t>
    <phoneticPr fontId="2" type="noConversion"/>
  </si>
  <si>
    <t>21_10월</t>
    <phoneticPr fontId="2" type="noConversion"/>
  </si>
  <si>
    <t>M135i Xdrive</t>
    <phoneticPr fontId="2" type="noConversion"/>
  </si>
  <si>
    <t>MINI</t>
    <phoneticPr fontId="2" type="noConversion"/>
  </si>
  <si>
    <t>21_11월</t>
    <phoneticPr fontId="2" type="noConversion"/>
  </si>
  <si>
    <t>21_11월</t>
  </si>
  <si>
    <t>450 4M AMG LINE 22년식</t>
    <phoneticPr fontId="2" type="noConversion"/>
  </si>
  <si>
    <t>300d 4M 22년식</t>
    <phoneticPr fontId="2" type="noConversion"/>
  </si>
  <si>
    <t>400d 4M 22년식</t>
    <phoneticPr fontId="2" type="noConversion"/>
  </si>
  <si>
    <t>신규등록</t>
  </si>
  <si>
    <t>잔가율</t>
  </si>
  <si>
    <t>BENZ</t>
  </si>
  <si>
    <t>Audi</t>
  </si>
  <si>
    <t>BMW</t>
    <phoneticPr fontId="2" type="noConversion"/>
  </si>
  <si>
    <t>6</t>
    <phoneticPr fontId="2" type="noConversion"/>
  </si>
  <si>
    <t>업비트 2WD</t>
    <phoneticPr fontId="2" type="noConversion"/>
  </si>
  <si>
    <t>11월</t>
    <phoneticPr fontId="2" type="noConversion"/>
  </si>
  <si>
    <t>업비트 4WD</t>
    <phoneticPr fontId="2" type="noConversion"/>
  </si>
  <si>
    <t>E300d 4M Coupe</t>
  </si>
  <si>
    <t>EQS</t>
    <phoneticPr fontId="2" type="noConversion"/>
  </si>
  <si>
    <t>JEEP</t>
    <phoneticPr fontId="2" type="noConversion"/>
  </si>
  <si>
    <t>22_02월</t>
    <phoneticPr fontId="2" type="noConversion"/>
  </si>
  <si>
    <t>250 AMG Package</t>
    <phoneticPr fontId="2" type="noConversion"/>
  </si>
  <si>
    <t>250 AMG Package Plus</t>
    <phoneticPr fontId="2" type="noConversion"/>
  </si>
  <si>
    <t>22_2월</t>
    <phoneticPr fontId="2" type="noConversion"/>
  </si>
  <si>
    <t>Golf</t>
    <phoneticPr fontId="2" type="noConversion"/>
  </si>
  <si>
    <t>2.0 TDI Premium</t>
    <phoneticPr fontId="2" type="noConversion"/>
  </si>
  <si>
    <t>2.0 TDI Prestige</t>
    <phoneticPr fontId="2" type="noConversion"/>
  </si>
  <si>
    <t>Y</t>
    <phoneticPr fontId="2" type="noConversion"/>
  </si>
  <si>
    <t>22_2월</t>
    <phoneticPr fontId="2" type="noConversion"/>
  </si>
  <si>
    <t>x5 xDrive 40i xLine (7인승)</t>
    <phoneticPr fontId="2" type="noConversion"/>
  </si>
  <si>
    <t>GV80</t>
    <phoneticPr fontId="2" type="noConversion"/>
  </si>
  <si>
    <t>G90</t>
    <phoneticPr fontId="2" type="noConversion"/>
  </si>
  <si>
    <t>G70</t>
    <phoneticPr fontId="2" type="noConversion"/>
  </si>
  <si>
    <t>A</t>
  </si>
  <si>
    <t>S680 4M 마이바흐</t>
    <phoneticPr fontId="2" type="noConversion"/>
  </si>
  <si>
    <t>22_06</t>
    <phoneticPr fontId="2" type="noConversion"/>
  </si>
  <si>
    <t>Targa 4 GTS</t>
    <phoneticPr fontId="2" type="noConversion"/>
  </si>
  <si>
    <t>22_06</t>
    <phoneticPr fontId="2" type="noConversion"/>
  </si>
  <si>
    <t>1.6 가솔린 시그니처</t>
    <phoneticPr fontId="2" type="noConversion"/>
  </si>
  <si>
    <t>1.6 가솔린 프레스티지</t>
    <phoneticPr fontId="2" type="noConversion"/>
  </si>
  <si>
    <t>22_6월</t>
    <phoneticPr fontId="2" type="noConversion"/>
  </si>
  <si>
    <t>Urus</t>
    <phoneticPr fontId="2" type="noConversion"/>
  </si>
  <si>
    <t>22_06</t>
    <phoneticPr fontId="2" type="noConversion"/>
  </si>
  <si>
    <t>카니발</t>
    <phoneticPr fontId="2" type="noConversion"/>
  </si>
  <si>
    <t>EV6</t>
    <phoneticPr fontId="2" type="noConversion"/>
  </si>
  <si>
    <t>아이오닉5</t>
    <phoneticPr fontId="2" type="noConversion"/>
  </si>
  <si>
    <t>EQB</t>
    <phoneticPr fontId="2" type="noConversion"/>
  </si>
  <si>
    <t>300 4MATIC AMG Line(KRC)</t>
    <phoneticPr fontId="2" type="noConversion"/>
  </si>
  <si>
    <t>전기차</t>
    <phoneticPr fontId="2" type="noConversion"/>
  </si>
  <si>
    <t>P530 AB LWB(7seat)</t>
    <phoneticPr fontId="2" type="noConversion"/>
  </si>
  <si>
    <t>P530 AB SWB</t>
    <phoneticPr fontId="2" type="noConversion"/>
  </si>
  <si>
    <t>M850i xDrive GranCoupe</t>
  </si>
  <si>
    <t>D300 R-DYN HSE</t>
  </si>
  <si>
    <t>350h Luxury</t>
  </si>
  <si>
    <t>350h Premium</t>
  </si>
  <si>
    <t>450h+ Premium</t>
  </si>
  <si>
    <t>450h+ F SPORT</t>
  </si>
  <si>
    <t>22년_09월</t>
    <phoneticPr fontId="2" type="noConversion"/>
  </si>
  <si>
    <t>Q4</t>
    <phoneticPr fontId="2" type="noConversion"/>
  </si>
  <si>
    <t>전기차</t>
    <phoneticPr fontId="2" type="noConversion"/>
  </si>
  <si>
    <t>승용차</t>
    <phoneticPr fontId="2" type="noConversion"/>
  </si>
  <si>
    <t>오토</t>
    <phoneticPr fontId="2" type="noConversion"/>
  </si>
  <si>
    <t>GT3</t>
    <phoneticPr fontId="2" type="noConversion"/>
  </si>
  <si>
    <t>EQE</t>
    <phoneticPr fontId="2" type="noConversion"/>
  </si>
  <si>
    <t>350+</t>
    <phoneticPr fontId="2" type="noConversion"/>
  </si>
  <si>
    <t>22_10</t>
    <phoneticPr fontId="2" type="noConversion"/>
  </si>
  <si>
    <t>I</t>
  </si>
  <si>
    <t>B</t>
  </si>
  <si>
    <t>J</t>
  </si>
  <si>
    <t>U</t>
  </si>
  <si>
    <t>D</t>
  </si>
  <si>
    <t>M</t>
  </si>
  <si>
    <t>L</t>
  </si>
  <si>
    <t>G</t>
  </si>
  <si>
    <t>P</t>
  </si>
  <si>
    <t>H</t>
  </si>
  <si>
    <t>K</t>
  </si>
  <si>
    <t>O</t>
  </si>
  <si>
    <t>T</t>
  </si>
  <si>
    <t>R</t>
  </si>
  <si>
    <t>Q</t>
  </si>
  <si>
    <t>c</t>
  </si>
  <si>
    <t>c</t>
    <phoneticPr fontId="2" type="noConversion"/>
  </si>
  <si>
    <t>E</t>
    <phoneticPr fontId="2" type="noConversion"/>
  </si>
  <si>
    <t>320i Touring M sport</t>
    <phoneticPr fontId="2" type="noConversion"/>
  </si>
  <si>
    <t>X3 30e M sport pro xDrive</t>
  </si>
  <si>
    <t>I</t>
    <phoneticPr fontId="2" type="noConversion"/>
  </si>
  <si>
    <t>i7</t>
    <phoneticPr fontId="2" type="noConversion"/>
  </si>
  <si>
    <t>xDrive60 DPE EX</t>
    <phoneticPr fontId="2" type="noConversion"/>
  </si>
  <si>
    <t>xDrive60 DPE  M Sport</t>
    <phoneticPr fontId="2" type="noConversion"/>
  </si>
  <si>
    <t>S580 e 4m</t>
    <phoneticPr fontId="2" type="noConversion"/>
  </si>
  <si>
    <t>L</t>
    <phoneticPr fontId="2" type="noConversion"/>
  </si>
  <si>
    <t>EQS 53 AMG</t>
    <phoneticPr fontId="2" type="noConversion"/>
  </si>
  <si>
    <t>J</t>
    <phoneticPr fontId="2" type="noConversion"/>
  </si>
  <si>
    <t>D300 Dynamic D300 HSE</t>
  </si>
  <si>
    <t>P360 Dynamic HSE</t>
  </si>
  <si>
    <t>P360 AUTOBIOGRAPHY</t>
  </si>
  <si>
    <t>H</t>
    <phoneticPr fontId="2" type="noConversion"/>
  </si>
  <si>
    <t>Q</t>
    <phoneticPr fontId="2" type="noConversion"/>
  </si>
  <si>
    <t>X7 xDrive 40i M sport 7인승</t>
    <phoneticPr fontId="2" type="noConversion"/>
  </si>
  <si>
    <t>X7 M60i</t>
    <phoneticPr fontId="2" type="noConversion"/>
  </si>
  <si>
    <t>수입차 BENZ IRR 하향 + 전략 4사 임대운영 0.1%상향</t>
    <phoneticPr fontId="2" type="noConversion"/>
  </si>
  <si>
    <t>ROLLSROYCE</t>
    <phoneticPr fontId="2" type="noConversion"/>
  </si>
  <si>
    <t>PORSCHE</t>
    <phoneticPr fontId="2" type="noConversion"/>
  </si>
  <si>
    <t>Ferrari</t>
    <phoneticPr fontId="2" type="noConversion"/>
  </si>
  <si>
    <t>Lamborghini</t>
    <phoneticPr fontId="2" type="noConversion"/>
  </si>
  <si>
    <t>BENTLEY</t>
    <phoneticPr fontId="2" type="noConversion"/>
  </si>
  <si>
    <t>경기</t>
    <phoneticPr fontId="2" type="noConversion"/>
  </si>
  <si>
    <t>★경기 선택시 하이브리드,전기차 공채 면제 주의★</t>
    <phoneticPr fontId="2" type="noConversion"/>
  </si>
  <si>
    <t>S450 4M</t>
    <phoneticPr fontId="2" type="noConversion"/>
  </si>
  <si>
    <t>Crown</t>
  </si>
  <si>
    <t>16</t>
  </si>
  <si>
    <t>23년 3월 v3</t>
    <phoneticPr fontId="2" type="noConversion"/>
  </si>
  <si>
    <t>★ 할인가 정확한 금액입력 필수</t>
    <phoneticPr fontId="2" type="noConversion"/>
  </si>
  <si>
    <t>iX</t>
    <phoneticPr fontId="2" type="noConversion"/>
  </si>
  <si>
    <t>iX xDrive 50 Sport Plus</t>
  </si>
  <si>
    <t>iX3</t>
    <phoneticPr fontId="2" type="noConversion"/>
  </si>
  <si>
    <t>BMW</t>
    <phoneticPr fontId="2" type="noConversion"/>
  </si>
  <si>
    <t>iX M60</t>
    <phoneticPr fontId="2" type="noConversion"/>
  </si>
  <si>
    <t>350+ 4m</t>
    <phoneticPr fontId="2" type="noConversion"/>
  </si>
  <si>
    <t>EQS 580 4Matic</t>
  </si>
  <si>
    <t>EQS 450 4Matic</t>
  </si>
  <si>
    <t>H</t>
    <phoneticPr fontId="2" type="noConversion"/>
  </si>
  <si>
    <t>D</t>
    <phoneticPr fontId="2" type="noConversion"/>
  </si>
  <si>
    <t>O</t>
    <phoneticPr fontId="2" type="noConversion"/>
  </si>
  <si>
    <t>EQA</t>
    <phoneticPr fontId="2" type="noConversion"/>
  </si>
  <si>
    <t>○ 수입신차(비제휴사) / 국산신차</t>
  </si>
  <si>
    <t>[단위:IRR,%]</t>
  </si>
  <si>
    <t>NICE점수</t>
  </si>
  <si>
    <t>12개월</t>
  </si>
  <si>
    <t>24개월</t>
  </si>
  <si>
    <t>36개월</t>
  </si>
  <si>
    <t>48개월</t>
  </si>
  <si>
    <t>60개월</t>
  </si>
  <si>
    <t>※ 수수료 2.0%고정(미포함)</t>
  </si>
  <si>
    <t>□ 오토론 금리</t>
  </si>
  <si>
    <t>○ 수입차_간접(비제휴사,인증중고(1년 이내))</t>
  </si>
  <si>
    <t>보증인미입보</t>
  </si>
  <si>
    <t>689-607</t>
  </si>
  <si>
    <t>836-791</t>
  </si>
  <si>
    <t>1000-926</t>
  </si>
  <si>
    <t>925-877</t>
  </si>
  <si>
    <t>876-837</t>
  </si>
  <si>
    <t>745-690</t>
  </si>
  <si>
    <t>790-746</t>
  </si>
  <si>
    <t>SL-Class</t>
    <phoneticPr fontId="2" type="noConversion"/>
  </si>
  <si>
    <t>SL 63 AMG 4Matic+</t>
  </si>
  <si>
    <t>K</t>
    <phoneticPr fontId="2" type="noConversion"/>
  </si>
  <si>
    <t>X Series XM</t>
    <phoneticPr fontId="2" type="noConversion"/>
  </si>
  <si>
    <t>Q</t>
    <phoneticPr fontId="2" type="noConversion"/>
  </si>
  <si>
    <t>Grecale</t>
  </si>
  <si>
    <t xml:space="preserve"> Bronco</t>
  </si>
  <si>
    <t>4 Door Outer Banks</t>
  </si>
  <si>
    <t>750e xDrive M Spt</t>
    <phoneticPr fontId="2" type="noConversion"/>
  </si>
  <si>
    <t>750e xDrive DPE</t>
    <phoneticPr fontId="2" type="noConversion"/>
  </si>
  <si>
    <t>O</t>
    <phoneticPr fontId="2" type="noConversion"/>
  </si>
  <si>
    <t>xDrive 20i Xline</t>
    <phoneticPr fontId="2" type="noConversion"/>
  </si>
  <si>
    <t>xDrive 18d X Line</t>
    <phoneticPr fontId="2" type="noConversion"/>
  </si>
  <si>
    <t xml:space="preserve"> M60i</t>
    <phoneticPr fontId="2" type="noConversion"/>
  </si>
  <si>
    <t>Q</t>
    <phoneticPr fontId="2" type="noConversion"/>
  </si>
  <si>
    <t>X6 M60i</t>
    <phoneticPr fontId="2" type="noConversion"/>
  </si>
  <si>
    <t>M4 Competition M xDrive Convertible</t>
    <phoneticPr fontId="2" type="noConversion"/>
  </si>
  <si>
    <t>M</t>
    <phoneticPr fontId="2" type="noConversion"/>
  </si>
  <si>
    <t>X Series X1</t>
    <phoneticPr fontId="2" type="noConversion"/>
  </si>
  <si>
    <t xml:space="preserve">Q8 50 TDI Q Premium </t>
    <phoneticPr fontId="2" type="noConversion"/>
  </si>
  <si>
    <t>A7 55 TFSI e Quattro Premium</t>
    <phoneticPr fontId="2" type="noConversion"/>
  </si>
  <si>
    <t>G</t>
    <phoneticPr fontId="2" type="noConversion"/>
  </si>
  <si>
    <t>EQS SUV</t>
    <phoneticPr fontId="2" type="noConversion"/>
  </si>
  <si>
    <t>S 450d 4matic (AMG LIne)</t>
    <phoneticPr fontId="2" type="noConversion"/>
  </si>
  <si>
    <t>EQE SUV</t>
    <phoneticPr fontId="2" type="noConversion"/>
  </si>
  <si>
    <t>350 4m</t>
    <phoneticPr fontId="2" type="noConversion"/>
  </si>
  <si>
    <t>500 4m</t>
    <phoneticPr fontId="2" type="noConversion"/>
  </si>
  <si>
    <t>450d 4Matic Coupe</t>
    <phoneticPr fontId="2" type="noConversion"/>
  </si>
  <si>
    <t>N</t>
    <phoneticPr fontId="2" type="noConversion"/>
  </si>
  <si>
    <t>승용차</t>
    <phoneticPr fontId="2" type="noConversion"/>
  </si>
  <si>
    <t>N</t>
    <phoneticPr fontId="2" type="noConversion"/>
  </si>
  <si>
    <t>승용차</t>
    <phoneticPr fontId="2" type="noConversion"/>
  </si>
  <si>
    <t>승용RV</t>
    <phoneticPr fontId="2" type="noConversion"/>
  </si>
  <si>
    <t>eDrive50 M Sport</t>
    <phoneticPr fontId="2" type="noConversion"/>
  </si>
  <si>
    <t>GLS 450d 4matic</t>
    <phoneticPr fontId="2" type="noConversion"/>
  </si>
  <si>
    <t>53 4m</t>
    <phoneticPr fontId="2" type="noConversion"/>
  </si>
  <si>
    <t>I</t>
    <phoneticPr fontId="2" type="noConversion"/>
  </si>
  <si>
    <t>iX1</t>
    <phoneticPr fontId="2" type="noConversion"/>
  </si>
  <si>
    <t>Q</t>
    <phoneticPr fontId="2" type="noConversion"/>
  </si>
  <si>
    <t>SQ7</t>
    <phoneticPr fontId="2" type="noConversion"/>
  </si>
  <si>
    <t>SQ7 TFSI</t>
    <phoneticPr fontId="2" type="noConversion"/>
  </si>
  <si>
    <t>N</t>
    <phoneticPr fontId="2" type="noConversion"/>
  </si>
  <si>
    <t>40 TFSI</t>
    <phoneticPr fontId="2" type="noConversion"/>
  </si>
  <si>
    <t>i5</t>
    <phoneticPr fontId="2" type="noConversion"/>
  </si>
  <si>
    <t>eDrive40</t>
    <phoneticPr fontId="2" type="noConversion"/>
  </si>
  <si>
    <t>화물차</t>
    <phoneticPr fontId="2" type="noConversion"/>
  </si>
  <si>
    <t>xDrive30</t>
    <phoneticPr fontId="2" type="noConversion"/>
  </si>
  <si>
    <t>1.2 turbo RS</t>
    <phoneticPr fontId="2" type="noConversion"/>
  </si>
  <si>
    <t>T</t>
    <phoneticPr fontId="2" type="noConversion"/>
  </si>
  <si>
    <t>1톤 더블캡 2WD</t>
    <phoneticPr fontId="2" type="noConversion"/>
  </si>
  <si>
    <t>LPG</t>
    <phoneticPr fontId="2" type="noConversion"/>
  </si>
  <si>
    <t>N</t>
    <phoneticPr fontId="2" type="noConversion"/>
  </si>
  <si>
    <t>T</t>
    <phoneticPr fontId="2" type="noConversion"/>
  </si>
  <si>
    <t>2024.02 삭제</t>
    <phoneticPr fontId="2" type="noConversion"/>
  </si>
  <si>
    <t>J</t>
    <phoneticPr fontId="2" type="noConversion"/>
  </si>
  <si>
    <t>잔가수정(한국자동차)</t>
    <phoneticPr fontId="2" type="noConversion"/>
  </si>
  <si>
    <t>잔가수정(카루스)</t>
    <phoneticPr fontId="2" type="noConversion"/>
  </si>
  <si>
    <t>잔가업(수정)</t>
    <phoneticPr fontId="2" type="noConversion"/>
  </si>
  <si>
    <t>O&gt;J</t>
    <phoneticPr fontId="2" type="noConversion"/>
  </si>
  <si>
    <t>H&gt;I</t>
    <phoneticPr fontId="2" type="noConversion"/>
  </si>
  <si>
    <t>표준차종</t>
    <phoneticPr fontId="2" type="noConversion"/>
  </si>
  <si>
    <t>기어방식</t>
    <phoneticPr fontId="2" type="noConversion"/>
  </si>
  <si>
    <t>-</t>
    <phoneticPr fontId="2" type="noConversion"/>
  </si>
  <si>
    <t>G</t>
    <phoneticPr fontId="2" type="noConversion"/>
  </si>
  <si>
    <t>F&gt;L</t>
    <phoneticPr fontId="2" type="noConversion"/>
  </si>
  <si>
    <t>하이브리드</t>
    <phoneticPr fontId="2" type="noConversion"/>
  </si>
  <si>
    <t>G&gt;C</t>
    <phoneticPr fontId="2" type="noConversion"/>
  </si>
  <si>
    <t>Q</t>
    <phoneticPr fontId="2" type="noConversion"/>
  </si>
  <si>
    <t>C&gt;D</t>
    <phoneticPr fontId="2" type="noConversion"/>
  </si>
  <si>
    <t>X6 xDrive 30d LCI M Sport</t>
    <phoneticPr fontId="2" type="noConversion"/>
  </si>
  <si>
    <t>30d xDrive M Sport Package</t>
    <phoneticPr fontId="2" type="noConversion"/>
  </si>
  <si>
    <t>B</t>
    <phoneticPr fontId="2" type="noConversion"/>
  </si>
  <si>
    <t xml:space="preserve">M70 xDrive </t>
    <phoneticPr fontId="2" type="noConversion"/>
  </si>
  <si>
    <t>M50</t>
    <phoneticPr fontId="2" type="noConversion"/>
  </si>
  <si>
    <t>토레스</t>
    <phoneticPr fontId="2" type="noConversion"/>
  </si>
  <si>
    <t>T7 4WD</t>
    <phoneticPr fontId="2" type="noConversion"/>
  </si>
  <si>
    <t>Z</t>
    <phoneticPr fontId="2" type="noConversion"/>
  </si>
  <si>
    <t>T7 2WD</t>
    <phoneticPr fontId="2" type="noConversion"/>
  </si>
  <si>
    <t>T5 4WD</t>
    <phoneticPr fontId="2" type="noConversion"/>
  </si>
  <si>
    <t>T5 2WD</t>
    <phoneticPr fontId="2" type="noConversion"/>
  </si>
  <si>
    <t>하이리무진 가솔린 3.5 시그니처 (7인승)</t>
    <phoneticPr fontId="2" type="noConversion"/>
  </si>
  <si>
    <t>O&gt;B</t>
    <phoneticPr fontId="2" type="noConversion"/>
  </si>
  <si>
    <r>
      <t xml:space="preserve">2.2 </t>
    </r>
    <r>
      <rPr>
        <sz val="11"/>
        <color rgb="FF222222"/>
        <rFont val="맑은 고딕"/>
        <family val="3"/>
        <charset val="129"/>
      </rPr>
      <t>디젤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프레스티지</t>
    </r>
    <r>
      <rPr>
        <sz val="11"/>
        <color rgb="FF222222"/>
        <rFont val="Calibri"/>
        <family val="2"/>
      </rPr>
      <t xml:space="preserve"> (9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</t>
    </r>
    <phoneticPr fontId="2" type="noConversion"/>
  </si>
  <si>
    <r>
      <t xml:space="preserve">2.2 </t>
    </r>
    <r>
      <rPr>
        <sz val="11"/>
        <color rgb="FF222222"/>
        <rFont val="맑은 고딕"/>
        <family val="3"/>
        <charset val="129"/>
      </rPr>
      <t>디젤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프레스티지</t>
    </r>
    <r>
      <rPr>
        <sz val="11"/>
        <color rgb="FF222222"/>
        <rFont val="Calibri"/>
        <family val="2"/>
      </rPr>
      <t xml:space="preserve"> (11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</t>
    </r>
    <phoneticPr fontId="2" type="noConversion"/>
  </si>
  <si>
    <r>
      <t xml:space="preserve">KA4 2.2 </t>
    </r>
    <r>
      <rPr>
        <sz val="11"/>
        <color rgb="FF222222"/>
        <rFont val="맑은 고딕"/>
        <family val="3"/>
        <charset val="129"/>
      </rPr>
      <t>디젤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아웃도어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노블레스</t>
    </r>
    <r>
      <rPr>
        <sz val="11"/>
        <color rgb="FF222222"/>
        <rFont val="Calibri"/>
        <family val="2"/>
      </rPr>
      <t xml:space="preserve"> (7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</t>
    </r>
    <phoneticPr fontId="2" type="noConversion"/>
  </si>
  <si>
    <r>
      <t xml:space="preserve">3.5 </t>
    </r>
    <r>
      <rPr>
        <sz val="11"/>
        <color rgb="FF222222"/>
        <rFont val="맑은 고딕"/>
        <family val="3"/>
        <charset val="129"/>
      </rPr>
      <t>가솔린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프레스티지</t>
    </r>
    <r>
      <rPr>
        <sz val="11"/>
        <color rgb="FF222222"/>
        <rFont val="Calibri"/>
        <family val="2"/>
      </rPr>
      <t xml:space="preserve"> (9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</t>
    </r>
    <phoneticPr fontId="2" type="noConversion"/>
  </si>
  <si>
    <t>O&gt;L</t>
    <phoneticPr fontId="2" type="noConversion"/>
  </si>
  <si>
    <r>
      <t xml:space="preserve">3.5 </t>
    </r>
    <r>
      <rPr>
        <sz val="11"/>
        <color rgb="FF222222"/>
        <rFont val="맑은 고딕"/>
        <family val="3"/>
        <charset val="129"/>
      </rPr>
      <t>가솔린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아웃도어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노블레스</t>
    </r>
    <r>
      <rPr>
        <sz val="11"/>
        <color rgb="FF222222"/>
        <rFont val="Calibri"/>
        <family val="2"/>
      </rPr>
      <t xml:space="preserve"> (7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</t>
    </r>
    <phoneticPr fontId="2" type="noConversion"/>
  </si>
  <si>
    <r>
      <t xml:space="preserve">3.5 </t>
    </r>
    <r>
      <rPr>
        <sz val="11"/>
        <color rgb="FF222222"/>
        <rFont val="맑은 고딕"/>
        <family val="3"/>
        <charset val="129"/>
      </rPr>
      <t>가솔린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시그니처</t>
    </r>
    <r>
      <rPr>
        <sz val="11"/>
        <color rgb="FF222222"/>
        <rFont val="Calibri"/>
        <family val="2"/>
      </rPr>
      <t xml:space="preserve"> (7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</t>
    </r>
    <phoneticPr fontId="2" type="noConversion"/>
  </si>
  <si>
    <r>
      <t xml:space="preserve">3.5 </t>
    </r>
    <r>
      <rPr>
        <sz val="11"/>
        <color rgb="FF222222"/>
        <rFont val="맑은 고딕"/>
        <family val="3"/>
        <charset val="129"/>
      </rPr>
      <t>가솔린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시그니처</t>
    </r>
    <r>
      <rPr>
        <sz val="11"/>
        <color rgb="FF222222"/>
        <rFont val="Calibri"/>
        <family val="2"/>
      </rPr>
      <t xml:space="preserve"> (9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</t>
    </r>
    <phoneticPr fontId="2" type="noConversion"/>
  </si>
  <si>
    <t>1.0 밴프레스티지</t>
    <phoneticPr fontId="2" type="noConversion"/>
  </si>
  <si>
    <t>I</t>
    <phoneticPr fontId="2" type="noConversion"/>
  </si>
  <si>
    <t>C</t>
    <phoneticPr fontId="2" type="noConversion"/>
  </si>
  <si>
    <t>G</t>
    <phoneticPr fontId="2" type="noConversion"/>
  </si>
  <si>
    <t>I&gt;G</t>
    <phoneticPr fontId="2" type="noConversion"/>
  </si>
  <si>
    <t>G&gt;I</t>
    <phoneticPr fontId="2" type="noConversion"/>
  </si>
  <si>
    <t>G &gt; I</t>
    <phoneticPr fontId="2" type="noConversion"/>
  </si>
  <si>
    <t>F &gt; L</t>
    <phoneticPr fontId="2" type="noConversion"/>
  </si>
  <si>
    <t>T &gt; M</t>
    <phoneticPr fontId="2" type="noConversion"/>
  </si>
  <si>
    <t>I</t>
    <phoneticPr fontId="2" type="noConversion"/>
  </si>
  <si>
    <r>
      <t xml:space="preserve">2.2 </t>
    </r>
    <r>
      <rPr>
        <sz val="11"/>
        <color rgb="FF222222"/>
        <rFont val="맑은 고딕"/>
        <family val="3"/>
        <charset val="129"/>
      </rPr>
      <t>디젤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시그니처</t>
    </r>
    <r>
      <rPr>
        <sz val="11"/>
        <color rgb="FF222222"/>
        <rFont val="Calibri"/>
        <family val="2"/>
      </rPr>
      <t xml:space="preserve"> (9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</t>
    </r>
    <phoneticPr fontId="2" type="noConversion"/>
  </si>
  <si>
    <r>
      <t xml:space="preserve">2.2 </t>
    </r>
    <r>
      <rPr>
        <sz val="11"/>
        <color rgb="FF222222"/>
        <rFont val="맑은 고딕"/>
        <family val="3"/>
        <charset val="129"/>
      </rPr>
      <t>디젤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시그니처</t>
    </r>
    <r>
      <rPr>
        <sz val="11"/>
        <color rgb="FF222222"/>
        <rFont val="Calibri"/>
        <family val="2"/>
      </rPr>
      <t xml:space="preserve"> (7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</t>
    </r>
    <phoneticPr fontId="2" type="noConversion"/>
  </si>
  <si>
    <t>R</t>
    <phoneticPr fontId="2" type="noConversion"/>
  </si>
  <si>
    <t>Z</t>
    <phoneticPr fontId="2" type="noConversion"/>
  </si>
  <si>
    <t>O&gt;R</t>
    <phoneticPr fontId="2" type="noConversion"/>
  </si>
  <si>
    <t xml:space="preserve"> </t>
    <phoneticPr fontId="2" type="noConversion"/>
  </si>
  <si>
    <t>가솔린 2.5T 익스클루시브</t>
    <phoneticPr fontId="2" type="noConversion"/>
  </si>
  <si>
    <t xml:space="preserve"> 2.2 디젤 캘리그래피 5인</t>
  </si>
  <si>
    <t xml:space="preserve"> 2.2 디젤 프리미엄 초이스 7인</t>
  </si>
  <si>
    <t xml:space="preserve"> 2.2 디젤 프리미엄 7인</t>
  </si>
  <si>
    <t xml:space="preserve"> 2.2 디젤 프레스티지 7인</t>
  </si>
  <si>
    <t xml:space="preserve"> 2.2 디젤 프리미엄 초이스 5인</t>
  </si>
  <si>
    <t xml:space="preserve"> 2.2 디젤 캘리그래피 7인</t>
  </si>
  <si>
    <t xml:space="preserve"> 2.2 디젤 프레스트지 5인</t>
  </si>
  <si>
    <t xml:space="preserve"> 2.2 디젤 프리미엄 5인</t>
  </si>
  <si>
    <t xml:space="preserve"> 2.2 디젤 익스클루시브 (5인승)</t>
  </si>
  <si>
    <t>N</t>
    <phoneticPr fontId="2" type="noConversion"/>
  </si>
  <si>
    <t>렉스턴 스포츠 칸 쿨멘</t>
    <phoneticPr fontId="2" type="noConversion"/>
  </si>
  <si>
    <t>디젤2.2 4WD 와일드</t>
    <phoneticPr fontId="2" type="noConversion"/>
  </si>
  <si>
    <t>디젤2.2 4WD 노블레스</t>
    <phoneticPr fontId="2" type="noConversion"/>
  </si>
  <si>
    <t>디젤2.2 4WD 프레스티지</t>
    <phoneticPr fontId="2" type="noConversion"/>
  </si>
  <si>
    <t>디젤2.2 4WD 와일드 플러스</t>
    <phoneticPr fontId="2" type="noConversion"/>
  </si>
  <si>
    <t>디젤2.2 2WD 와일드</t>
    <phoneticPr fontId="2" type="noConversion"/>
  </si>
  <si>
    <t>디젤2.2 2WD 노블레스</t>
    <phoneticPr fontId="2" type="noConversion"/>
  </si>
  <si>
    <t>디젤2.2 2WD 프레스티지</t>
    <phoneticPr fontId="2" type="noConversion"/>
  </si>
  <si>
    <t>디젤2.2 2WD 와일드 플러스</t>
    <phoneticPr fontId="2" type="noConversion"/>
  </si>
  <si>
    <t>렉스턴 스포츠 쿨멘</t>
    <phoneticPr fontId="2" type="noConversion"/>
  </si>
  <si>
    <t>H&gt;P</t>
    <phoneticPr fontId="2" type="noConversion"/>
  </si>
  <si>
    <t>E200 Avantgarde</t>
    <phoneticPr fontId="2" type="noConversion"/>
  </si>
  <si>
    <t>E220d 4MATIC Exclusive</t>
    <phoneticPr fontId="2" type="noConversion"/>
  </si>
  <si>
    <t>A&gt;C</t>
    <phoneticPr fontId="2" type="noConversion"/>
  </si>
  <si>
    <t>F&gt;E</t>
    <phoneticPr fontId="2" type="noConversion"/>
  </si>
  <si>
    <t>i4 그란쿠페</t>
    <phoneticPr fontId="2" type="noConversion"/>
  </si>
  <si>
    <t>M50 Pro</t>
    <phoneticPr fontId="2" type="noConversion"/>
  </si>
  <si>
    <t>M60</t>
    <phoneticPr fontId="2" type="noConversion"/>
  </si>
  <si>
    <t>M60 Pro</t>
    <phoneticPr fontId="2" type="noConversion"/>
  </si>
  <si>
    <t>50e</t>
    <phoneticPr fontId="2" type="noConversion"/>
  </si>
  <si>
    <t>E&gt;J</t>
    <phoneticPr fontId="2" type="noConversion"/>
  </si>
  <si>
    <t>J&gt;E</t>
    <phoneticPr fontId="2" type="noConversion"/>
  </si>
  <si>
    <t>E&gt;U</t>
    <phoneticPr fontId="2" type="noConversion"/>
  </si>
  <si>
    <t>O</t>
    <phoneticPr fontId="2" type="noConversion"/>
  </si>
  <si>
    <t>스포트백 S Quattro</t>
    <phoneticPr fontId="2" type="noConversion"/>
  </si>
  <si>
    <t>S Quattro</t>
    <phoneticPr fontId="2" type="noConversion"/>
  </si>
  <si>
    <t>35 TDI Sportback</t>
    <phoneticPr fontId="2" type="noConversion"/>
  </si>
  <si>
    <t>35 TDI premium Sportback</t>
    <phoneticPr fontId="2" type="noConversion"/>
  </si>
  <si>
    <t>40 TFSI Sportback</t>
    <phoneticPr fontId="2" type="noConversion"/>
  </si>
  <si>
    <t>e-tron 40 스포트백</t>
    <phoneticPr fontId="2" type="noConversion"/>
  </si>
  <si>
    <t>e-tron 40 Premium 스포트백</t>
    <phoneticPr fontId="2" type="noConversion"/>
  </si>
  <si>
    <t>e-tron 40</t>
    <phoneticPr fontId="2" type="noConversion"/>
  </si>
  <si>
    <t>e-tron 40 Premium</t>
    <phoneticPr fontId="2" type="noConversion"/>
  </si>
  <si>
    <t>40 TDI Quattro 스포트백</t>
    <phoneticPr fontId="2" type="noConversion"/>
  </si>
  <si>
    <t>40 TDI Quattro Premium 스포트백</t>
    <phoneticPr fontId="2" type="noConversion"/>
  </si>
  <si>
    <t xml:space="preserve"> 45 TFSI Q</t>
  </si>
  <si>
    <t xml:space="preserve"> 45 TFSI Q premium</t>
  </si>
  <si>
    <t xml:space="preserve"> 45 TFSI Q 스포트백</t>
    <phoneticPr fontId="2" type="noConversion"/>
  </si>
  <si>
    <t xml:space="preserve"> 45 TFSI Q premium 스포트백</t>
    <phoneticPr fontId="2" type="noConversion"/>
  </si>
  <si>
    <t>M</t>
    <phoneticPr fontId="2" type="noConversion"/>
  </si>
  <si>
    <t>SQ5 TFSI</t>
    <phoneticPr fontId="2" type="noConversion"/>
  </si>
  <si>
    <t>SQ5 TFSI 스포트백</t>
    <phoneticPr fontId="2" type="noConversion"/>
  </si>
  <si>
    <t>Y</t>
    <phoneticPr fontId="2" type="noConversion"/>
  </si>
  <si>
    <t>배기량2359&gt;1598</t>
    <phoneticPr fontId="2" type="noConversion"/>
  </si>
  <si>
    <t>I</t>
    <phoneticPr fontId="2" type="noConversion"/>
  </si>
  <si>
    <t>O&gt;I</t>
    <phoneticPr fontId="2" type="noConversion"/>
  </si>
  <si>
    <t>O&gt;I</t>
    <phoneticPr fontId="2" type="noConversion"/>
  </si>
  <si>
    <t>O</t>
    <phoneticPr fontId="2" type="noConversion"/>
  </si>
  <si>
    <t>T&gt;O</t>
    <phoneticPr fontId="2" type="noConversion"/>
  </si>
  <si>
    <t>G90 3.5T 48V 2WD</t>
    <phoneticPr fontId="2" type="noConversion"/>
  </si>
  <si>
    <t>G90 3.5T 48V 2WD+프레스티지 컬렉션</t>
    <phoneticPr fontId="2" type="noConversion"/>
  </si>
  <si>
    <t>Z</t>
    <phoneticPr fontId="2" type="noConversion"/>
  </si>
  <si>
    <t>K</t>
    <phoneticPr fontId="2" type="noConversion"/>
  </si>
  <si>
    <t>G90 3.5T 48V  AWD</t>
    <phoneticPr fontId="2" type="noConversion"/>
  </si>
  <si>
    <t>G90 3.5T 48V AWD+프레스티지 컬렉션</t>
    <phoneticPr fontId="2" type="noConversion"/>
  </si>
  <si>
    <t>P</t>
    <phoneticPr fontId="2" type="noConversion"/>
  </si>
  <si>
    <t>1.6 2WD 익스클루시브 HEV</t>
    <phoneticPr fontId="2" type="noConversion"/>
  </si>
  <si>
    <t>1.6 2WD 캘리그래피 HEV</t>
    <phoneticPr fontId="2" type="noConversion"/>
  </si>
  <si>
    <t>1.6 2WD 프레스티지 HEV</t>
    <phoneticPr fontId="2" type="noConversion"/>
  </si>
  <si>
    <t>1.6 2WD 프레스티지 초이스 HEV</t>
    <phoneticPr fontId="2" type="noConversion"/>
  </si>
  <si>
    <t>1.6 AWD 익스클루시브 HEV</t>
    <phoneticPr fontId="2" type="noConversion"/>
  </si>
  <si>
    <t>1.6 AWD 캘리그래피 HEV</t>
    <phoneticPr fontId="2" type="noConversion"/>
  </si>
  <si>
    <t>1.6 AWD 프레스티지 HEV</t>
    <phoneticPr fontId="2" type="noConversion"/>
  </si>
  <si>
    <t>1.6 AWD 프레스티지 초이스 HEV</t>
    <phoneticPr fontId="2" type="noConversion"/>
  </si>
  <si>
    <r>
      <t xml:space="preserve">3.5 </t>
    </r>
    <r>
      <rPr>
        <sz val="11"/>
        <color rgb="FF222222"/>
        <rFont val="맑은 고딕"/>
        <family val="3"/>
        <charset val="129"/>
      </rPr>
      <t>하이리무진</t>
    </r>
    <r>
      <rPr>
        <sz val="11"/>
        <color rgb="FF222222"/>
        <rFont val="Calibri"/>
        <family val="2"/>
      </rPr>
      <t xml:space="preserve"> </t>
    </r>
    <r>
      <rPr>
        <sz val="11"/>
        <color rgb="FF222222"/>
        <rFont val="맑은 고딕"/>
        <family val="3"/>
        <charset val="129"/>
      </rPr>
      <t>시그니처</t>
    </r>
    <r>
      <rPr>
        <sz val="11"/>
        <color rgb="FF222222"/>
        <rFont val="Calibri"/>
        <family val="2"/>
      </rPr>
      <t xml:space="preserve"> (4</t>
    </r>
    <r>
      <rPr>
        <sz val="11"/>
        <color rgb="FF222222"/>
        <rFont val="맑은 고딕"/>
        <family val="3"/>
        <charset val="129"/>
      </rPr>
      <t>인승</t>
    </r>
    <r>
      <rPr>
        <sz val="11"/>
        <color rgb="FF222222"/>
        <rFont val="Calibri"/>
        <family val="2"/>
      </rPr>
      <t>) HEV</t>
    </r>
    <phoneticPr fontId="2" type="noConversion"/>
  </si>
  <si>
    <t>하이리무진 1.6터보 시그니처 (9인승) HEV</t>
    <phoneticPr fontId="2" type="noConversion"/>
  </si>
  <si>
    <t>하이리무진 1.6터보 시그니처 (7인승) HEV</t>
    <phoneticPr fontId="2" type="noConversion"/>
  </si>
  <si>
    <t>하이브리드 1.6터보 시그니처 (9인승) HEV</t>
    <phoneticPr fontId="2" type="noConversion"/>
  </si>
  <si>
    <t>감면조건</t>
    <phoneticPr fontId="2" type="noConversion"/>
  </si>
  <si>
    <t>카루스</t>
    <phoneticPr fontId="2" type="noConversion"/>
  </si>
  <si>
    <t>xDrive50e LCI xLine</t>
    <phoneticPr fontId="2" type="noConversion"/>
  </si>
  <si>
    <t>45e&gt;50e 변경</t>
    <phoneticPr fontId="2" type="noConversion"/>
  </si>
  <si>
    <t>xDrive50e LCI M Sport Package Pro</t>
    <phoneticPr fontId="2" type="noConversion"/>
  </si>
  <si>
    <t>50e xDrive xLine LCI (P1)</t>
    <phoneticPr fontId="2" type="noConversion"/>
  </si>
  <si>
    <t>GLE 400e 4matic Coupe</t>
    <phoneticPr fontId="2" type="noConversion"/>
  </si>
  <si>
    <t>450d 4Matic</t>
    <phoneticPr fontId="2" type="noConversion"/>
  </si>
  <si>
    <t>GLS 600 4Matic Manufaktur</t>
    <phoneticPr fontId="2" type="noConversion"/>
  </si>
  <si>
    <t>0001</t>
    <phoneticPr fontId="2" type="noConversion"/>
  </si>
  <si>
    <t>63 S 4matic+쿠페</t>
    <phoneticPr fontId="2" type="noConversion"/>
  </si>
  <si>
    <t>43 4matic+쿠페</t>
    <phoneticPr fontId="2" type="noConversion"/>
  </si>
  <si>
    <t xml:space="preserve">sDrive 20i M Sport </t>
    <phoneticPr fontId="2" type="noConversion"/>
  </si>
  <si>
    <t>sDrive 20i Xline</t>
    <phoneticPr fontId="2" type="noConversion"/>
  </si>
  <si>
    <t>base</t>
    <phoneticPr fontId="2" type="noConversion"/>
  </si>
  <si>
    <t>4S</t>
    <phoneticPr fontId="2" type="noConversion"/>
  </si>
  <si>
    <t>Turbo</t>
    <phoneticPr fontId="2" type="noConversion"/>
  </si>
  <si>
    <t>Turbo S</t>
    <phoneticPr fontId="2" type="noConversion"/>
  </si>
  <si>
    <t>크로스 투리스모 Turbo</t>
    <phoneticPr fontId="2" type="noConversion"/>
  </si>
  <si>
    <t>크로스 투리스모 4</t>
    <phoneticPr fontId="2" type="noConversion"/>
  </si>
  <si>
    <t>크로스 투리스모 4S</t>
    <phoneticPr fontId="2" type="noConversion"/>
  </si>
  <si>
    <t>Turbo S E-Hybrid</t>
    <phoneticPr fontId="2" type="noConversion"/>
  </si>
  <si>
    <t>P550e Dynamic HSE</t>
    <phoneticPr fontId="2" type="noConversion"/>
  </si>
  <si>
    <t xml:space="preserve">Discovery </t>
  </si>
  <si>
    <t>S3 2.0 TFSI</t>
    <phoneticPr fontId="2" type="noConversion"/>
  </si>
  <si>
    <t>S4 3.0 TFSI</t>
    <phoneticPr fontId="2" type="noConversion"/>
  </si>
  <si>
    <t>S</t>
    <phoneticPr fontId="2" type="noConversion"/>
  </si>
  <si>
    <t>2.2 디젤 AWD</t>
    <phoneticPr fontId="2" type="noConversion"/>
  </si>
  <si>
    <t xml:space="preserve">2.2 디젤 2WD </t>
    <phoneticPr fontId="2" type="noConversion"/>
  </si>
  <si>
    <t>가솔린 터보 2.5 AWD</t>
    <phoneticPr fontId="2" type="noConversion"/>
  </si>
  <si>
    <t>가솔린 터보 3.5 2WD</t>
    <phoneticPr fontId="2" type="noConversion"/>
  </si>
  <si>
    <t>가솔린 터보 2.5 2WD</t>
    <phoneticPr fontId="2" type="noConversion"/>
  </si>
  <si>
    <t>가솔린 터보 3.5 AWD</t>
    <phoneticPr fontId="2" type="noConversion"/>
  </si>
  <si>
    <t>E300 4MATIC Exclusive</t>
    <phoneticPr fontId="2" type="noConversion"/>
  </si>
  <si>
    <t>대상</t>
    <phoneticPr fontId="2" type="noConversion"/>
  </si>
  <si>
    <t>마이너스</t>
    <phoneticPr fontId="2" type="noConversion"/>
  </si>
  <si>
    <t>13대상</t>
    <phoneticPr fontId="2" type="noConversion"/>
  </si>
  <si>
    <t>2023년</t>
    <phoneticPr fontId="2" type="noConversion"/>
  </si>
  <si>
    <t>" 선택</t>
    <phoneticPr fontId="2" type="noConversion"/>
  </si>
  <si>
    <t>▲ '23년식 차량의 경우 "2023년" 선택 必</t>
    <phoneticPr fontId="2" type="noConversion"/>
  </si>
  <si>
    <t>A200d 세단</t>
    <phoneticPr fontId="2" type="noConversion"/>
  </si>
  <si>
    <t>A250 4matic  세단</t>
    <phoneticPr fontId="2" type="noConversion"/>
  </si>
  <si>
    <t>AMG A 35 4매틱 세단</t>
    <phoneticPr fontId="2" type="noConversion"/>
  </si>
  <si>
    <t>AMG A 45 4매틱+</t>
  </si>
  <si>
    <t>AMG CLA 45 S 4매틱+</t>
  </si>
  <si>
    <t>CLA 250 4매틱</t>
  </si>
  <si>
    <t>AMG CLS 53 4매틱+</t>
  </si>
  <si>
    <t>CLS 300 d 4매틱</t>
  </si>
  <si>
    <t>CLS 450 4매틱</t>
  </si>
  <si>
    <t>AMG C 43 4매틱 쿠페</t>
  </si>
  <si>
    <t>EQA 250 일렉트릭 아트</t>
  </si>
  <si>
    <t>320d</t>
    <phoneticPr fontId="2" type="noConversion"/>
  </si>
  <si>
    <t>잔가군</t>
    <phoneticPr fontId="2" type="noConversion"/>
  </si>
  <si>
    <t>모터원</t>
    <phoneticPr fontId="9" type="noConversion"/>
  </si>
  <si>
    <t>※ 필요한 항목_은지</t>
    <phoneticPr fontId="2" type="noConversion"/>
  </si>
  <si>
    <t>※ 추후 필요한 항목_은지</t>
    <phoneticPr fontId="2" type="noConversion"/>
  </si>
  <si>
    <t>※ 삭제</t>
    <phoneticPr fontId="2" type="noConversion"/>
  </si>
  <si>
    <t>2024년</t>
    <phoneticPr fontId="2" type="noConversion"/>
  </si>
  <si>
    <t xml:space="preserve">S 580 4matic </t>
    <phoneticPr fontId="2" type="noConversion"/>
  </si>
  <si>
    <t>프로모션여부</t>
    <phoneticPr fontId="2" type="noConversion"/>
  </si>
  <si>
    <t>Panamera 4 Executive</t>
    <phoneticPr fontId="2" type="noConversion"/>
  </si>
  <si>
    <t>Cayenne coupe turbo GT</t>
    <phoneticPr fontId="2" type="noConversion"/>
  </si>
  <si>
    <t>Carrera 4 GTS 카브리올레</t>
    <phoneticPr fontId="2" type="noConversion"/>
  </si>
  <si>
    <t>Carrera 4 카브리올레</t>
    <phoneticPr fontId="2" type="noConversion"/>
  </si>
  <si>
    <t>carrera 4s 카브리올레</t>
    <phoneticPr fontId="2" type="noConversion"/>
  </si>
  <si>
    <t>Marcan Turbo</t>
    <phoneticPr fontId="2" type="noConversion"/>
  </si>
  <si>
    <t>718 Boxster GTS 4.0</t>
    <phoneticPr fontId="2" type="noConversion"/>
  </si>
  <si>
    <t>BOXSTER</t>
    <phoneticPr fontId="2" type="noConversion"/>
  </si>
  <si>
    <t>GTS</t>
    <phoneticPr fontId="2" type="noConversion"/>
  </si>
  <si>
    <t>B4 AWD 플러스 브라이트</t>
    <phoneticPr fontId="2" type="noConversion"/>
  </si>
  <si>
    <t>B4 AWD 얼티메이트 브라이트</t>
    <phoneticPr fontId="2" type="noConversion"/>
  </si>
  <si>
    <t>B4 AWD 다크에디션</t>
    <phoneticPr fontId="2" type="noConversion"/>
  </si>
  <si>
    <t>B5 AWD 플러스 브라이트</t>
    <phoneticPr fontId="2" type="noConversion"/>
  </si>
  <si>
    <t>B5 AWD 얼티메이트 브라이트</t>
    <phoneticPr fontId="2" type="noConversion"/>
  </si>
  <si>
    <t>B6 AWD 얼티메이트 브라이트</t>
    <phoneticPr fontId="2" type="noConversion"/>
  </si>
  <si>
    <t>T8 AWD 얼티메이트 브라이트</t>
    <phoneticPr fontId="2" type="noConversion"/>
  </si>
  <si>
    <t>B6 AWD 플러스 브라이트</t>
    <phoneticPr fontId="2" type="noConversion"/>
  </si>
  <si>
    <t>B5 얼티메이트 브라이트</t>
    <phoneticPr fontId="2" type="noConversion"/>
  </si>
  <si>
    <t>C40 리차지</t>
    <phoneticPr fontId="2" type="noConversion"/>
  </si>
  <si>
    <t>트윈 얼티메이트</t>
    <phoneticPr fontId="2" type="noConversion"/>
  </si>
  <si>
    <t>350h</t>
    <phoneticPr fontId="2" type="noConversion"/>
  </si>
  <si>
    <t>450h</t>
    <phoneticPr fontId="2" type="noConversion"/>
  </si>
  <si>
    <t>500h</t>
    <phoneticPr fontId="2" type="noConversion"/>
  </si>
  <si>
    <t>XSE</t>
    <phoneticPr fontId="2" type="noConversion"/>
  </si>
  <si>
    <t>하이브리드 2WD</t>
    <phoneticPr fontId="2" type="noConversion"/>
  </si>
  <si>
    <t>하이브리드 AWD</t>
    <phoneticPr fontId="2" type="noConversion"/>
  </si>
  <si>
    <t>HIGHLAND</t>
  </si>
  <si>
    <t>리미티드</t>
    <phoneticPr fontId="2" type="noConversion"/>
  </si>
  <si>
    <t>플래티넘</t>
    <phoneticPr fontId="2" type="noConversion"/>
  </si>
  <si>
    <t>4.0 S</t>
    <phoneticPr fontId="2" type="noConversion"/>
  </si>
  <si>
    <t>테크니카</t>
    <phoneticPr fontId="2" type="noConversion"/>
  </si>
  <si>
    <t>로마</t>
    <phoneticPr fontId="2" type="noConversion"/>
  </si>
  <si>
    <t>컨버터블 GT</t>
    <phoneticPr fontId="2" type="noConversion"/>
  </si>
  <si>
    <t>SF90 스트라달레</t>
    <phoneticPr fontId="2" type="noConversion"/>
  </si>
  <si>
    <t>V12</t>
    <phoneticPr fontId="2" type="noConversion"/>
  </si>
  <si>
    <t>F8 스파이더</t>
    <phoneticPr fontId="2" type="noConversion"/>
  </si>
  <si>
    <t>EWB</t>
    <phoneticPr fontId="2" type="noConversion"/>
  </si>
  <si>
    <t>팬텀</t>
    <phoneticPr fontId="2" type="noConversion"/>
  </si>
  <si>
    <t>SWB</t>
    <phoneticPr fontId="2" type="noConversion"/>
  </si>
  <si>
    <t>스펙터</t>
    <phoneticPr fontId="2" type="noConversion"/>
  </si>
  <si>
    <t>쿠페</t>
    <phoneticPr fontId="2" type="noConversion"/>
  </si>
  <si>
    <t>아투라</t>
    <phoneticPr fontId="2" type="noConversion"/>
  </si>
  <si>
    <t>V6</t>
    <phoneticPr fontId="2" type="noConversion"/>
  </si>
  <si>
    <t>DBX</t>
    <phoneticPr fontId="2" type="noConversion"/>
  </si>
  <si>
    <t>V8 DBX 707</t>
    <phoneticPr fontId="2" type="noConversion"/>
  </si>
  <si>
    <t>V12 볼란테</t>
    <phoneticPr fontId="2" type="noConversion"/>
  </si>
  <si>
    <t>볼란테 4.0 V8</t>
    <phoneticPr fontId="2" type="noConversion"/>
  </si>
  <si>
    <t>A6 45 TDI</t>
    <phoneticPr fontId="2" type="noConversion"/>
  </si>
  <si>
    <t>A6 45 TFSI</t>
    <phoneticPr fontId="2" type="noConversion"/>
  </si>
  <si>
    <t>A6 50 TDI</t>
    <phoneticPr fontId="2" type="noConversion"/>
  </si>
  <si>
    <t>RS6</t>
    <phoneticPr fontId="2" type="noConversion"/>
  </si>
  <si>
    <t>35 TDI</t>
    <phoneticPr fontId="2" type="noConversion"/>
  </si>
  <si>
    <t>40 TDI</t>
    <phoneticPr fontId="2" type="noConversion"/>
  </si>
  <si>
    <t>S4</t>
    <phoneticPr fontId="2" type="noConversion"/>
  </si>
  <si>
    <t>Coupe 45 TFSI</t>
    <phoneticPr fontId="2" type="noConversion"/>
  </si>
  <si>
    <t>RS5</t>
    <phoneticPr fontId="2" type="noConversion"/>
  </si>
  <si>
    <t>RS7</t>
    <phoneticPr fontId="2" type="noConversion"/>
  </si>
  <si>
    <t>S3</t>
    <phoneticPr fontId="2" type="noConversion"/>
  </si>
  <si>
    <t>40 TFSI 프리미엄</t>
    <phoneticPr fontId="2" type="noConversion"/>
  </si>
  <si>
    <t>Q7 45 TDI</t>
    <phoneticPr fontId="2" type="noConversion"/>
  </si>
  <si>
    <t>Q7 50 TDI</t>
    <phoneticPr fontId="2" type="noConversion"/>
  </si>
  <si>
    <t>Q7 55 TFSI</t>
    <phoneticPr fontId="2" type="noConversion"/>
  </si>
  <si>
    <t>Coupe S5 3.0 TFSI</t>
    <phoneticPr fontId="2" type="noConversion"/>
  </si>
  <si>
    <t>L 60 TFSI Quattro (5인승)</t>
    <phoneticPr fontId="2" type="noConversion"/>
  </si>
  <si>
    <t>L 60 TFSI Quattro (4인승)</t>
    <phoneticPr fontId="2" type="noConversion"/>
  </si>
  <si>
    <t>RS3</t>
    <phoneticPr fontId="2" type="noConversion"/>
  </si>
  <si>
    <t>TFSI</t>
    <phoneticPr fontId="2" type="noConversion"/>
  </si>
  <si>
    <t>스포트백 TFSI</t>
    <phoneticPr fontId="2" type="noConversion"/>
  </si>
  <si>
    <t>아반트 TFSI 콰트로</t>
    <phoneticPr fontId="2" type="noConversion"/>
  </si>
  <si>
    <t>아반트 퍼포먼스</t>
    <phoneticPr fontId="2" type="noConversion"/>
  </si>
  <si>
    <t>퍼포먼스</t>
    <phoneticPr fontId="2" type="noConversion"/>
  </si>
  <si>
    <t>TFSI 콰트로</t>
    <phoneticPr fontId="2" type="noConversion"/>
  </si>
  <si>
    <t>RSQ8</t>
    <phoneticPr fontId="2" type="noConversion"/>
  </si>
  <si>
    <t>4.0 TFSI 콰트로</t>
    <phoneticPr fontId="2" type="noConversion"/>
  </si>
  <si>
    <t>90 D250 XS 에디션</t>
    <phoneticPr fontId="2" type="noConversion"/>
  </si>
  <si>
    <t>110 D250 SE</t>
    <phoneticPr fontId="2" type="noConversion"/>
  </si>
  <si>
    <t>110 D300 X-다이나믹 HSE</t>
    <phoneticPr fontId="2" type="noConversion"/>
  </si>
  <si>
    <t>130 D300 X-다이나믹 HSE</t>
    <phoneticPr fontId="2" type="noConversion"/>
  </si>
  <si>
    <t>90 P400 X</t>
    <phoneticPr fontId="2" type="noConversion"/>
  </si>
  <si>
    <t>110 P400 X</t>
    <phoneticPr fontId="2" type="noConversion"/>
  </si>
  <si>
    <t>130 P400 X-다이나믹 HSE</t>
    <phoneticPr fontId="2" type="noConversion"/>
  </si>
  <si>
    <t>110 P300 X-다이나믹 SE</t>
    <phoneticPr fontId="2" type="noConversion"/>
  </si>
  <si>
    <t>P250 S</t>
    <phoneticPr fontId="2" type="noConversion"/>
  </si>
  <si>
    <t>P250 Dynamic SE</t>
    <phoneticPr fontId="2" type="noConversion"/>
  </si>
  <si>
    <t>P400e Dynamic SE</t>
    <phoneticPr fontId="2" type="noConversion"/>
  </si>
  <si>
    <t>P400 Dynamic HSE</t>
    <phoneticPr fontId="2" type="noConversion"/>
  </si>
  <si>
    <t>P250 다이나믹 SE</t>
    <phoneticPr fontId="2" type="noConversion"/>
  </si>
  <si>
    <t>AB P615 SV</t>
    <phoneticPr fontId="2" type="noConversion"/>
  </si>
  <si>
    <t>D350 LWB</t>
    <phoneticPr fontId="2" type="noConversion"/>
  </si>
  <si>
    <t>P530 AB LWB(5seat)</t>
    <phoneticPr fontId="2" type="noConversion"/>
  </si>
  <si>
    <t>0976</t>
  </si>
  <si>
    <t>0977</t>
  </si>
  <si>
    <t>0981</t>
  </si>
  <si>
    <t>0982</t>
  </si>
  <si>
    <t>0983</t>
  </si>
  <si>
    <t>0984</t>
  </si>
  <si>
    <t>0990</t>
  </si>
  <si>
    <t>1000</t>
  </si>
  <si>
    <t>Range Rover Evoque</t>
    <phoneticPr fontId="2" type="noConversion"/>
  </si>
  <si>
    <t>검토용1</t>
    <phoneticPr fontId="2" type="noConversion"/>
  </si>
  <si>
    <t>검토용2</t>
  </si>
  <si>
    <t>검토용3</t>
  </si>
  <si>
    <t>0002</t>
    <phoneticPr fontId="2" type="noConversion"/>
  </si>
  <si>
    <t>P550e SWB</t>
    <phoneticPr fontId="2" type="noConversion"/>
  </si>
  <si>
    <t>1군</t>
  </si>
  <si>
    <t>2군</t>
  </si>
  <si>
    <t>3군</t>
  </si>
  <si>
    <t>4군</t>
  </si>
  <si>
    <t>5군</t>
  </si>
  <si>
    <t>6군</t>
  </si>
  <si>
    <t>7군</t>
  </si>
  <si>
    <t>8군</t>
  </si>
  <si>
    <t>9군</t>
  </si>
  <si>
    <t>10군</t>
  </si>
  <si>
    <t>11군</t>
  </si>
  <si>
    <t>12군</t>
  </si>
  <si>
    <t>13군</t>
  </si>
  <si>
    <t>14군</t>
  </si>
  <si>
    <t>15군</t>
  </si>
  <si>
    <t>16군</t>
  </si>
  <si>
    <t>17군</t>
  </si>
  <si>
    <t>18군</t>
  </si>
  <si>
    <t>19군</t>
  </si>
  <si>
    <t>20군</t>
  </si>
  <si>
    <t>21군</t>
  </si>
  <si>
    <t>22군</t>
  </si>
  <si>
    <t>23군</t>
  </si>
  <si>
    <t>24군</t>
  </si>
  <si>
    <t>25군</t>
  </si>
  <si>
    <t>Cayenne turbo GT</t>
    <phoneticPr fontId="2" type="noConversion"/>
  </si>
  <si>
    <t>하이브리드</t>
    <phoneticPr fontId="2" type="noConversion"/>
  </si>
  <si>
    <t>630i xDrive GT</t>
    <phoneticPr fontId="2" type="noConversion"/>
  </si>
  <si>
    <t>640i xDrive GT</t>
    <phoneticPr fontId="2" type="noConversion"/>
  </si>
  <si>
    <t>620d GT</t>
    <phoneticPr fontId="2" type="noConversion"/>
  </si>
  <si>
    <t>GLE 53 AMG 4Matic+</t>
    <phoneticPr fontId="2" type="noConversion"/>
  </si>
  <si>
    <t>Z</t>
    <phoneticPr fontId="2" type="noConversion"/>
  </si>
  <si>
    <t>승용RV</t>
    <phoneticPr fontId="2" type="noConversion"/>
  </si>
  <si>
    <t>승용차</t>
    <phoneticPr fontId="2" type="noConversion"/>
  </si>
  <si>
    <t>검토©</t>
    <phoneticPr fontId="2" type="noConversion"/>
  </si>
  <si>
    <t>19</t>
  </si>
  <si>
    <t>20</t>
  </si>
  <si>
    <t>18</t>
  </si>
  <si>
    <t>아우토슈타트/스투트가르트</t>
    <phoneticPr fontId="9" type="noConversion"/>
  </si>
  <si>
    <t>경남자동차</t>
    <phoneticPr fontId="2" type="noConversion"/>
  </si>
  <si>
    <t>16군</t>
    <phoneticPr fontId="2" type="noConversion"/>
  </si>
  <si>
    <t>중앙 / 한성모터스</t>
    <phoneticPr fontId="9" type="noConversion"/>
  </si>
  <si>
    <t>아이언오토 / KCC오토(벤츠)</t>
    <phoneticPr fontId="9" type="noConversion"/>
  </si>
  <si>
    <t>디올뉴 프리미엄</t>
    <phoneticPr fontId="2" type="noConversion"/>
  </si>
  <si>
    <t>디올뉴 익스클루시브</t>
    <phoneticPr fontId="2" type="noConversion"/>
  </si>
  <si>
    <t>디올뉴 캘리그래피</t>
    <phoneticPr fontId="2" type="noConversion"/>
  </si>
  <si>
    <t>디올뉴 2.5 2WD</t>
    <phoneticPr fontId="2" type="noConversion"/>
  </si>
  <si>
    <t>디올뉴 3.5 2WD</t>
    <phoneticPr fontId="2" type="noConversion"/>
  </si>
  <si>
    <t>디올뉴 3.5 4WD</t>
    <phoneticPr fontId="2" type="noConversion"/>
  </si>
  <si>
    <t>삼천리모터스</t>
    <phoneticPr fontId="2" type="noConversion"/>
  </si>
  <si>
    <t>16군</t>
    <phoneticPr fontId="2" type="noConversion"/>
  </si>
  <si>
    <t>7군</t>
    <phoneticPr fontId="2" type="noConversion"/>
  </si>
  <si>
    <t>EQS450+ AMG Line</t>
    <phoneticPr fontId="2" type="noConversion"/>
  </si>
  <si>
    <t>EQS580+ AMG Line</t>
    <phoneticPr fontId="2" type="noConversion"/>
  </si>
  <si>
    <t>EQS350</t>
    <phoneticPr fontId="2" type="noConversion"/>
  </si>
  <si>
    <t>120i M Sport Package</t>
  </si>
  <si>
    <t>M440i xDrive Coupe</t>
  </si>
  <si>
    <t>M440i xDrive Convertible</t>
  </si>
  <si>
    <t>M850i xDrive Coupe</t>
  </si>
  <si>
    <t>xDrive 20i xLine</t>
  </si>
  <si>
    <t>xDrive 20i M Sport Package</t>
  </si>
  <si>
    <t>xDrive 20d xline</t>
  </si>
  <si>
    <t>xDrive 20d M Sport Package</t>
  </si>
  <si>
    <t>xDrive 30d M Sport Package</t>
  </si>
  <si>
    <t>xDrive 30e xline</t>
  </si>
  <si>
    <t>xDrive 30e M Sport Package</t>
  </si>
  <si>
    <t>Cabriolet 45 TFSI Quattro Premium</t>
  </si>
  <si>
    <t>420i Coupe M Sport Package</t>
    <phoneticPr fontId="2" type="noConversion"/>
  </si>
  <si>
    <t>C잔가</t>
    <phoneticPr fontId="9" type="noConversion"/>
  </si>
  <si>
    <t>17군</t>
    <phoneticPr fontId="2" type="noConversion"/>
  </si>
  <si>
    <t>2.0 GTI</t>
    <phoneticPr fontId="2" type="noConversion"/>
  </si>
  <si>
    <t>무연</t>
    <phoneticPr fontId="2" type="noConversion"/>
  </si>
  <si>
    <t>13군</t>
    <phoneticPr fontId="2" type="noConversion"/>
  </si>
  <si>
    <t>1.5 TSI Premium</t>
    <phoneticPr fontId="2" type="noConversion"/>
  </si>
  <si>
    <t>1.5 TSI Prestige</t>
    <phoneticPr fontId="2" type="noConversion"/>
  </si>
  <si>
    <t>15군</t>
    <phoneticPr fontId="2" type="noConversion"/>
  </si>
  <si>
    <t>2.0 TSI</t>
    <phoneticPr fontId="2" type="noConversion"/>
  </si>
  <si>
    <t>10군</t>
    <phoneticPr fontId="2" type="noConversion"/>
  </si>
  <si>
    <t>14군</t>
    <phoneticPr fontId="2" type="noConversion"/>
  </si>
  <si>
    <t>C 300 4매틱 AMG 라인</t>
    <phoneticPr fontId="2" type="noConversion"/>
  </si>
  <si>
    <t>C 300 4매틱 아방가르드</t>
    <phoneticPr fontId="2" type="noConversion"/>
  </si>
  <si>
    <t>9군</t>
    <phoneticPr fontId="2" type="noConversion"/>
  </si>
  <si>
    <t>22군</t>
    <phoneticPr fontId="2" type="noConversion"/>
  </si>
  <si>
    <t>11군</t>
    <phoneticPr fontId="2" type="noConversion"/>
  </si>
  <si>
    <t>43 4MATIC Coupe</t>
    <phoneticPr fontId="2" type="noConversion"/>
  </si>
  <si>
    <t xml:space="preserve"> 300e 4MATIC Coupe</t>
  </si>
  <si>
    <t>GLE 53 AMG 4Matic+ 쿠페</t>
    <phoneticPr fontId="2" type="noConversion"/>
  </si>
  <si>
    <t>S 450d 4matic</t>
    <phoneticPr fontId="2" type="noConversion"/>
  </si>
  <si>
    <t>S 500 4matic</t>
    <phoneticPr fontId="2" type="noConversion"/>
  </si>
  <si>
    <t>S63 E 퍼포먼스</t>
    <phoneticPr fontId="2" type="noConversion"/>
  </si>
  <si>
    <t>x5 xDrive 40i m sport</t>
    <phoneticPr fontId="2" type="noConversion"/>
  </si>
  <si>
    <t>x5 xDrive 40d M스포츠 프로</t>
    <phoneticPr fontId="2" type="noConversion"/>
  </si>
  <si>
    <t>x5 xDrive 40d M스포츠 프로 LCI</t>
    <phoneticPr fontId="2" type="noConversion"/>
  </si>
  <si>
    <t>8군</t>
    <phoneticPr fontId="2" type="noConversion"/>
  </si>
  <si>
    <t>3 Series</t>
    <phoneticPr fontId="2" type="noConversion"/>
  </si>
  <si>
    <t>320i Touring</t>
    <phoneticPr fontId="2" type="noConversion"/>
  </si>
  <si>
    <t>320d Touring M Sport package</t>
    <phoneticPr fontId="2" type="noConversion"/>
  </si>
  <si>
    <t>320d Touring</t>
    <phoneticPr fontId="2" type="noConversion"/>
  </si>
  <si>
    <t>420i Gran Coupe M sport</t>
    <phoneticPr fontId="2" type="noConversion"/>
  </si>
  <si>
    <t>420i Gran Coupe M sport 퍼포먼스 패키지</t>
    <phoneticPr fontId="2" type="noConversion"/>
  </si>
  <si>
    <t>4 Series</t>
    <phoneticPr fontId="2" type="noConversion"/>
  </si>
  <si>
    <t>420d Gran Coupe M 스포츠</t>
    <phoneticPr fontId="2" type="noConversion"/>
  </si>
  <si>
    <t>420d Gran Coupe M 스포츠 퍼포먼스 패키지</t>
    <phoneticPr fontId="2" type="noConversion"/>
  </si>
  <si>
    <t>120i Sport</t>
    <phoneticPr fontId="2" type="noConversion"/>
  </si>
  <si>
    <t>M35i x드라이브</t>
    <phoneticPr fontId="2" type="noConversion"/>
  </si>
  <si>
    <t>12군</t>
    <phoneticPr fontId="2" type="noConversion"/>
  </si>
  <si>
    <t>M2 Coupe</t>
    <phoneticPr fontId="2" type="noConversion"/>
  </si>
  <si>
    <t>M Series M3</t>
    <phoneticPr fontId="2" type="noConversion"/>
  </si>
  <si>
    <t>M Series M2</t>
    <phoneticPr fontId="2" type="noConversion"/>
  </si>
  <si>
    <t xml:space="preserve">M3 Competition M xDrive </t>
    <phoneticPr fontId="2" type="noConversion"/>
  </si>
  <si>
    <t xml:space="preserve">M3 투어링 Competition M xDrive </t>
    <phoneticPr fontId="2" type="noConversion"/>
  </si>
  <si>
    <t>M4 Competition M xDrive</t>
    <phoneticPr fontId="2" type="noConversion"/>
  </si>
  <si>
    <t>M5 Competition</t>
    <phoneticPr fontId="2" type="noConversion"/>
  </si>
  <si>
    <t>8 Series</t>
    <phoneticPr fontId="2" type="noConversion"/>
  </si>
  <si>
    <t>20군</t>
    <phoneticPr fontId="2" type="noConversion"/>
  </si>
  <si>
    <t>16군</t>
    <phoneticPr fontId="2" type="noConversion"/>
  </si>
  <si>
    <t>AMG E 53 4M Coupe</t>
    <phoneticPr fontId="2" type="noConversion"/>
  </si>
  <si>
    <t>AMG E 53 4M</t>
    <phoneticPr fontId="2" type="noConversion"/>
  </si>
  <si>
    <t>랩터</t>
    <phoneticPr fontId="2" type="noConversion"/>
  </si>
  <si>
    <t>와일드트랙</t>
    <phoneticPr fontId="2" type="noConversion"/>
  </si>
  <si>
    <t>18군</t>
    <phoneticPr fontId="2" type="noConversion"/>
  </si>
  <si>
    <t>14군</t>
    <phoneticPr fontId="2" type="noConversion"/>
  </si>
  <si>
    <t>승용차</t>
    <phoneticPr fontId="2" type="noConversion"/>
  </si>
  <si>
    <t>ExPlorer FHEV</t>
    <phoneticPr fontId="2" type="noConversion"/>
  </si>
  <si>
    <t>3.3 FHEV</t>
    <phoneticPr fontId="2" type="noConversion"/>
  </si>
  <si>
    <t>CT5</t>
    <phoneticPr fontId="2" type="noConversion"/>
  </si>
  <si>
    <t>스포츠</t>
    <phoneticPr fontId="2" type="noConversion"/>
  </si>
  <si>
    <t>프리미엄 럭셔리</t>
    <phoneticPr fontId="2" type="noConversion"/>
  </si>
  <si>
    <t>XT4</t>
    <phoneticPr fontId="2" type="noConversion"/>
  </si>
  <si>
    <t xml:space="preserve"> </t>
    <phoneticPr fontId="2" type="noConversion"/>
  </si>
  <si>
    <t>13군</t>
    <phoneticPr fontId="2" type="noConversion"/>
  </si>
  <si>
    <t>승용RV</t>
    <phoneticPr fontId="2" type="noConversion"/>
  </si>
  <si>
    <t>2WD 하이브리드 투어링</t>
    <phoneticPr fontId="2" type="noConversion"/>
  </si>
  <si>
    <t>4WD 하이브리드 투어링</t>
    <phoneticPr fontId="2" type="noConversion"/>
  </si>
  <si>
    <t>CR-V</t>
    <phoneticPr fontId="2" type="noConversion"/>
  </si>
  <si>
    <t>10군</t>
    <phoneticPr fontId="2" type="noConversion"/>
  </si>
  <si>
    <t>1.5 터보</t>
    <phoneticPr fontId="2" type="noConversion"/>
  </si>
  <si>
    <t>17군</t>
    <phoneticPr fontId="2" type="noConversion"/>
  </si>
  <si>
    <t>엘리트</t>
    <phoneticPr fontId="2" type="noConversion"/>
  </si>
  <si>
    <t>블랙라벨</t>
    <phoneticPr fontId="2" type="noConversion"/>
  </si>
  <si>
    <t>리저브</t>
    <phoneticPr fontId="2" type="noConversion"/>
  </si>
  <si>
    <t>블랙라벨</t>
    <phoneticPr fontId="2" type="noConversion"/>
  </si>
  <si>
    <t>제트 패키지</t>
    <phoneticPr fontId="2" type="noConversion"/>
  </si>
  <si>
    <t>루비콘</t>
    <phoneticPr fontId="2" type="noConversion"/>
  </si>
  <si>
    <t xml:space="preserve"> L 써밋 리저브 3.6</t>
  </si>
  <si>
    <t xml:space="preserve"> L 오버랜드 3.6</t>
  </si>
  <si>
    <t xml:space="preserve"> 리미티드 4xe</t>
  </si>
  <si>
    <t xml:space="preserve"> 써밋 리저브 4xe</t>
  </si>
  <si>
    <t xml:space="preserve"> 오버랜드</t>
  </si>
  <si>
    <t>리미티드 1.3 FWD</t>
    <phoneticPr fontId="2" type="noConversion"/>
  </si>
  <si>
    <t>무연</t>
    <phoneticPr fontId="2" type="noConversion"/>
  </si>
  <si>
    <t>하이브리드</t>
    <phoneticPr fontId="2" type="noConversion"/>
  </si>
  <si>
    <t xml:space="preserve"> 리미티드 3.6</t>
    <phoneticPr fontId="2" type="noConversion"/>
  </si>
  <si>
    <t>루비콘 2도어</t>
    <phoneticPr fontId="2" type="noConversion"/>
  </si>
  <si>
    <t>사하라 4도어 파워탑</t>
    <phoneticPr fontId="2" type="noConversion"/>
  </si>
  <si>
    <t>사하라 4도어 하드탑</t>
    <phoneticPr fontId="2" type="noConversion"/>
  </si>
  <si>
    <t>루비콘 4도어 파워탑</t>
    <phoneticPr fontId="2" type="noConversion"/>
  </si>
  <si>
    <t>루비콘 4도어 하드탑</t>
    <phoneticPr fontId="2" type="noConversion"/>
  </si>
  <si>
    <t>사하라 4도어 하드탑 4xe</t>
    <phoneticPr fontId="2" type="noConversion"/>
  </si>
  <si>
    <t>사하라 4도어 파워탑 4xe</t>
    <phoneticPr fontId="2" type="noConversion"/>
  </si>
  <si>
    <t>스포츠 S 4도어 하드탑</t>
    <phoneticPr fontId="2" type="noConversion"/>
  </si>
  <si>
    <t>모데나</t>
  </si>
  <si>
    <t>트로페오</t>
  </si>
  <si>
    <t>GT 하이브리드</t>
  </si>
  <si>
    <t>모데나 S Q4</t>
  </si>
  <si>
    <t>모데나 S</t>
  </si>
  <si>
    <t>모데나 Q4</t>
    <phoneticPr fontId="2" type="noConversion"/>
  </si>
  <si>
    <t>MC20</t>
    <phoneticPr fontId="2" type="noConversion"/>
  </si>
  <si>
    <t>V6</t>
    <phoneticPr fontId="2" type="noConversion"/>
  </si>
  <si>
    <t>첼로 V6</t>
    <phoneticPr fontId="2" type="noConversion"/>
  </si>
  <si>
    <t>GT 라인 1.5 블루Hdi</t>
    <phoneticPr fontId="2" type="noConversion"/>
  </si>
  <si>
    <t>알뤼르 1.5 블루Hdi</t>
    <phoneticPr fontId="2" type="noConversion"/>
  </si>
  <si>
    <t>GT</t>
    <phoneticPr fontId="2" type="noConversion"/>
  </si>
  <si>
    <t>알뤼르</t>
    <phoneticPr fontId="2" type="noConversion"/>
  </si>
  <si>
    <t>GT 라인 일렉트릭</t>
    <phoneticPr fontId="2" type="noConversion"/>
  </si>
  <si>
    <t>알뤼르 일렉트릭</t>
    <phoneticPr fontId="2" type="noConversion"/>
  </si>
  <si>
    <t>전기차</t>
    <phoneticPr fontId="2" type="noConversion"/>
  </si>
  <si>
    <t>승용차</t>
    <phoneticPr fontId="2" type="noConversion"/>
  </si>
  <si>
    <t>18군</t>
    <phoneticPr fontId="2" type="noConversion"/>
  </si>
  <si>
    <t>22군</t>
    <phoneticPr fontId="2" type="noConversion"/>
  </si>
  <si>
    <t>1.5 블루HDi 알뤼르</t>
  </si>
  <si>
    <t>디젤</t>
    <phoneticPr fontId="2" type="noConversion"/>
  </si>
  <si>
    <t>1.2 퓨어테크 GT</t>
  </si>
  <si>
    <t>1.2 퓨어테크 알뤼르</t>
  </si>
  <si>
    <t>1.5 블루HDi 알뤼르</t>
    <phoneticPr fontId="2" type="noConversion"/>
  </si>
  <si>
    <t>1.2 알뤼르</t>
    <phoneticPr fontId="2" type="noConversion"/>
  </si>
  <si>
    <t>1.2 GT</t>
    <phoneticPr fontId="2" type="noConversion"/>
  </si>
  <si>
    <t>쿠퍼 S 클래식</t>
  </si>
  <si>
    <t>쿠퍼 클래식</t>
  </si>
  <si>
    <t>JCW 언톨드 에디션</t>
    <phoneticPr fontId="2" type="noConversion"/>
  </si>
  <si>
    <t>쿠퍼 S 언톨드 에디션</t>
    <phoneticPr fontId="2" type="noConversion"/>
  </si>
  <si>
    <t>15군</t>
    <phoneticPr fontId="2" type="noConversion"/>
  </si>
  <si>
    <t>쿠퍼 클래식</t>
    <phoneticPr fontId="2" type="noConversion"/>
  </si>
  <si>
    <t>레졸루트 에디션 쿠퍼 S 컨버터블</t>
    <phoneticPr fontId="2" type="noConversion"/>
  </si>
  <si>
    <t>JCW</t>
    <phoneticPr fontId="2" type="noConversion"/>
  </si>
  <si>
    <t>JCW 올포</t>
    <phoneticPr fontId="2" type="noConversion"/>
  </si>
  <si>
    <t xml:space="preserve"> CLUBMAN</t>
  </si>
  <si>
    <t xml:space="preserve"> CONVERTIBLE</t>
  </si>
  <si>
    <t xml:space="preserve"> COUNTRYMAN</t>
  </si>
  <si>
    <t>JCW 올포 (2세대)</t>
    <phoneticPr fontId="2" type="noConversion"/>
  </si>
  <si>
    <t>쿠퍼 S 언차티드 에디션 (2세대)</t>
    <phoneticPr fontId="2" type="noConversion"/>
  </si>
  <si>
    <t>쿠퍼 S 올포 클래식 (2세대)</t>
    <phoneticPr fontId="2" type="noConversion"/>
  </si>
  <si>
    <t>쿠퍼 S 하이랜드 에디션 (2세대)</t>
    <phoneticPr fontId="2" type="noConversion"/>
  </si>
  <si>
    <t>쿠퍼 하이랜드 에디션 (2세대)</t>
    <phoneticPr fontId="2" type="noConversion"/>
  </si>
  <si>
    <t>쿠퍼 언차티드 에디션 (2세대)</t>
    <phoneticPr fontId="2" type="noConversion"/>
  </si>
  <si>
    <t>쿠퍼 클래식 (2세대)</t>
    <phoneticPr fontId="2" type="noConversion"/>
  </si>
  <si>
    <t>S 올포 클래식 (3세대)</t>
    <phoneticPr fontId="2" type="noConversion"/>
  </si>
  <si>
    <t>S 올포 페이버드 (3세대)</t>
    <phoneticPr fontId="2" type="noConversion"/>
  </si>
  <si>
    <t>JCW 올포 (3세대)</t>
    <phoneticPr fontId="2" type="noConversion"/>
  </si>
  <si>
    <t>쿠퍼 S 클래식</t>
    <phoneticPr fontId="2" type="noConversion"/>
  </si>
  <si>
    <t>HATCH</t>
    <phoneticPr fontId="2" type="noConversion"/>
  </si>
  <si>
    <t>SE</t>
    <phoneticPr fontId="2" type="noConversion"/>
  </si>
  <si>
    <t>일렉트릭 쿠퍼 SE T1 (1세대)</t>
    <phoneticPr fontId="2" type="noConversion"/>
  </si>
  <si>
    <t>일렉트릭 쿠퍼 SE  (1세대)</t>
    <phoneticPr fontId="2" type="noConversion"/>
  </si>
  <si>
    <t>일렉트릭 쿠퍼 레졸루트 에디션 (1세대)</t>
    <phoneticPr fontId="2" type="noConversion"/>
  </si>
  <si>
    <t>3도어 쿠퍼 클래식 (3세대)</t>
    <phoneticPr fontId="2" type="noConversion"/>
  </si>
  <si>
    <t>3도어 쿠퍼 클래식 플러스 (3세대)</t>
    <phoneticPr fontId="2" type="noConversion"/>
  </si>
  <si>
    <t>3도어 쿠퍼 S 클래식 (3세대)</t>
    <phoneticPr fontId="2" type="noConversion"/>
  </si>
  <si>
    <t>3도어 메이필드 에디션 (3세대)</t>
    <phoneticPr fontId="2" type="noConversion"/>
  </si>
  <si>
    <t>3도어 쿠퍼 JCW (3세대)</t>
    <phoneticPr fontId="2" type="noConversion"/>
  </si>
  <si>
    <t>5도어 쿠퍼 클래식 (3세대)</t>
    <phoneticPr fontId="2" type="noConversion"/>
  </si>
  <si>
    <t>5도어 쿠퍼 S 클래식 (3세대)</t>
    <phoneticPr fontId="2" type="noConversion"/>
  </si>
  <si>
    <t>5도어 메이필드 에디션 (3세대)</t>
    <phoneticPr fontId="2" type="noConversion"/>
  </si>
  <si>
    <t>플러그인 하이브리드 SE</t>
  </si>
  <si>
    <t>플러그인 하이브리드 XSE</t>
  </si>
  <si>
    <t>하이브리드 LE</t>
  </si>
  <si>
    <t>하이브리드 XLE</t>
  </si>
  <si>
    <t xml:space="preserve"> 2.4 듀얼 부스트 하이브리드</t>
  </si>
  <si>
    <t xml:space="preserve"> 2.5 하이브리드</t>
  </si>
  <si>
    <t>하이브리드 2WD XLE</t>
  </si>
  <si>
    <t>하이브리드 4WD LTD</t>
  </si>
  <si>
    <t>GR</t>
    <phoneticPr fontId="2" type="noConversion"/>
  </si>
  <si>
    <t>GR 수프라 3.0</t>
    <phoneticPr fontId="2" type="noConversion"/>
  </si>
  <si>
    <t>86 스탠다드</t>
    <phoneticPr fontId="2" type="noConversion"/>
  </si>
  <si>
    <t>86 프리미엄</t>
    <phoneticPr fontId="2" type="noConversion"/>
  </si>
  <si>
    <t>24군</t>
    <phoneticPr fontId="2" type="noConversion"/>
  </si>
  <si>
    <t>알파드</t>
    <phoneticPr fontId="2" type="noConversion"/>
  </si>
  <si>
    <t>2.5 하이브리드</t>
    <phoneticPr fontId="2" type="noConversion"/>
  </si>
  <si>
    <t>19군</t>
    <phoneticPr fontId="2" type="noConversion"/>
  </si>
  <si>
    <t>11군</t>
    <phoneticPr fontId="2" type="noConversion"/>
  </si>
  <si>
    <t>RZ</t>
    <phoneticPr fontId="2" type="noConversion"/>
  </si>
  <si>
    <t>450e 수프림</t>
    <phoneticPr fontId="2" type="noConversion"/>
  </si>
  <si>
    <t>450e 럭셔리</t>
    <phoneticPr fontId="2" type="noConversion"/>
  </si>
  <si>
    <t>500 컨버터블</t>
    <phoneticPr fontId="2" type="noConversion"/>
  </si>
  <si>
    <t>300h F 스포츠</t>
  </si>
  <si>
    <t>300h F 스포츠 디자인 패키지</t>
  </si>
  <si>
    <t>300h 럭셔리 플러스</t>
  </si>
  <si>
    <t>300h 이그제큐티브</t>
  </si>
  <si>
    <t>LS 500h Supreme AWD</t>
    <phoneticPr fontId="2" type="noConversion"/>
  </si>
  <si>
    <t>500 Supreme AWD</t>
    <phoneticPr fontId="2" type="noConversion"/>
  </si>
  <si>
    <t>250h</t>
    <phoneticPr fontId="2" type="noConversion"/>
  </si>
  <si>
    <t>250h F Sports</t>
    <phoneticPr fontId="2" type="noConversion"/>
  </si>
  <si>
    <t>250h AWD</t>
    <phoneticPr fontId="2" type="noConversion"/>
  </si>
  <si>
    <t>V60</t>
    <phoneticPr fontId="2" type="noConversion"/>
  </si>
  <si>
    <t>크로스컨트리 B5 플러스</t>
    <phoneticPr fontId="2" type="noConversion"/>
  </si>
  <si>
    <t>크로스컨트리 B5 얼티메이트</t>
    <phoneticPr fontId="2" type="noConversion"/>
  </si>
  <si>
    <t>V90</t>
    <phoneticPr fontId="2" type="noConversion"/>
  </si>
  <si>
    <t>크로스컨트리 B5 AWD 얼티메이트</t>
    <phoneticPr fontId="2" type="noConversion"/>
  </si>
  <si>
    <t>클로스컨트리 B5 AWD 플러스</t>
    <phoneticPr fontId="2" type="noConversion"/>
  </si>
  <si>
    <t>0857</t>
  </si>
  <si>
    <t>0858</t>
  </si>
  <si>
    <t>0859</t>
  </si>
  <si>
    <t>0860</t>
  </si>
  <si>
    <t>0865</t>
  </si>
  <si>
    <t>0866</t>
  </si>
  <si>
    <t>0867</t>
  </si>
  <si>
    <t>0868</t>
  </si>
  <si>
    <t>0872</t>
  </si>
  <si>
    <t>0873</t>
  </si>
  <si>
    <t>0980</t>
  </si>
  <si>
    <t>0986</t>
  </si>
  <si>
    <t>0987</t>
  </si>
  <si>
    <t>0989</t>
  </si>
  <si>
    <t>1001</t>
  </si>
  <si>
    <t>1020</t>
  </si>
  <si>
    <t>1044</t>
  </si>
  <si>
    <t>1051</t>
  </si>
  <si>
    <t>1052</t>
  </si>
  <si>
    <t>1058</t>
  </si>
  <si>
    <t>1059</t>
  </si>
  <si>
    <t>1075</t>
  </si>
  <si>
    <t>1271</t>
  </si>
  <si>
    <t>1272</t>
  </si>
  <si>
    <t>1273</t>
  </si>
  <si>
    <t>1274</t>
  </si>
  <si>
    <t>1275</t>
  </si>
  <si>
    <t>1276</t>
  </si>
  <si>
    <t>1319</t>
  </si>
  <si>
    <t>1321</t>
  </si>
  <si>
    <t>1322</t>
  </si>
  <si>
    <t>1323</t>
  </si>
  <si>
    <t>1324</t>
  </si>
  <si>
    <t>1348</t>
  </si>
  <si>
    <t>1365</t>
  </si>
  <si>
    <t>1369</t>
  </si>
  <si>
    <t>1371</t>
  </si>
  <si>
    <t>1379</t>
  </si>
  <si>
    <t>1380</t>
  </si>
  <si>
    <t>1382</t>
  </si>
  <si>
    <t>1383</t>
  </si>
  <si>
    <t>1385</t>
  </si>
  <si>
    <t>1386</t>
  </si>
  <si>
    <t>1388</t>
  </si>
  <si>
    <t>1391</t>
  </si>
  <si>
    <t>1393</t>
  </si>
  <si>
    <t>1394</t>
  </si>
  <si>
    <t>1395</t>
  </si>
  <si>
    <t>4군</t>
    <phoneticPr fontId="2" type="noConversion"/>
  </si>
  <si>
    <t>프로모션 -2</t>
    <phoneticPr fontId="2" type="noConversion"/>
  </si>
  <si>
    <t>프로모션 -1</t>
    <phoneticPr fontId="2" type="noConversion"/>
  </si>
  <si>
    <t>5군</t>
    <phoneticPr fontId="2" type="noConversion"/>
  </si>
  <si>
    <t>프로모션 -2</t>
    <phoneticPr fontId="2" type="noConversion"/>
  </si>
  <si>
    <t>9군</t>
    <phoneticPr fontId="2" type="noConversion"/>
  </si>
  <si>
    <t>프로모션 -3</t>
    <phoneticPr fontId="2" type="noConversion"/>
  </si>
  <si>
    <t>6군</t>
    <phoneticPr fontId="2" type="noConversion"/>
  </si>
  <si>
    <t>11군</t>
    <phoneticPr fontId="2" type="noConversion"/>
  </si>
  <si>
    <t>리릭</t>
    <phoneticPr fontId="2" type="noConversion"/>
  </si>
  <si>
    <t>스포츠</t>
    <phoneticPr fontId="2" type="noConversion"/>
  </si>
  <si>
    <t>전기차</t>
    <phoneticPr fontId="2" type="noConversion"/>
  </si>
  <si>
    <t>16군</t>
    <phoneticPr fontId="2" type="noConversion"/>
  </si>
  <si>
    <t>13군</t>
    <phoneticPr fontId="2" type="noConversion"/>
  </si>
  <si>
    <t>8군</t>
    <phoneticPr fontId="2" type="noConversion"/>
  </si>
  <si>
    <t>10군</t>
    <phoneticPr fontId="2" type="noConversion"/>
  </si>
  <si>
    <t>프로모션 -6</t>
    <phoneticPr fontId="2" type="noConversion"/>
  </si>
  <si>
    <t>14군</t>
    <phoneticPr fontId="2" type="noConversion"/>
  </si>
  <si>
    <t>프로모션 -1</t>
    <phoneticPr fontId="2" type="noConversion"/>
  </si>
  <si>
    <t>18군</t>
    <phoneticPr fontId="2" type="noConversion"/>
  </si>
  <si>
    <t>6군</t>
    <phoneticPr fontId="2" type="noConversion"/>
  </si>
  <si>
    <t>7군</t>
    <phoneticPr fontId="2" type="noConversion"/>
  </si>
  <si>
    <t>프로모션 -4</t>
    <phoneticPr fontId="2" type="noConversion"/>
  </si>
  <si>
    <t>20군</t>
    <phoneticPr fontId="2" type="noConversion"/>
  </si>
  <si>
    <t>15군</t>
    <phoneticPr fontId="2" type="noConversion"/>
  </si>
  <si>
    <t>프로모션 -7</t>
    <phoneticPr fontId="2" type="noConversion"/>
  </si>
  <si>
    <t>스타 / 한성자동차</t>
    <phoneticPr fontId="9" type="noConversion"/>
  </si>
  <si>
    <t>218d 어드밴티지 액티브투어러</t>
    <phoneticPr fontId="2" type="noConversion"/>
  </si>
  <si>
    <t>218d 럭셔리 액티브투어러</t>
    <phoneticPr fontId="2" type="noConversion"/>
  </si>
  <si>
    <t>220i 어드밴티지 액티브투어러</t>
    <phoneticPr fontId="2" type="noConversion"/>
  </si>
  <si>
    <t>220i 럭셔리 액티브투어러</t>
    <phoneticPr fontId="2" type="noConversion"/>
  </si>
  <si>
    <t>220i M Sport Package 그란쿠페</t>
    <phoneticPr fontId="2" type="noConversion"/>
  </si>
  <si>
    <t>220i sport  그란쿠페</t>
    <phoneticPr fontId="2" type="noConversion"/>
  </si>
  <si>
    <t>M235i xDrive 그란쿠페</t>
    <phoneticPr fontId="2" type="noConversion"/>
  </si>
  <si>
    <t> M240i xDrive  쿠페</t>
    <phoneticPr fontId="2" type="noConversion"/>
  </si>
  <si>
    <t>2 Series</t>
    <phoneticPr fontId="2" type="noConversion"/>
  </si>
  <si>
    <t>N</t>
    <phoneticPr fontId="2" type="noConversion"/>
  </si>
  <si>
    <t>10군</t>
    <phoneticPr fontId="2" type="noConversion"/>
  </si>
  <si>
    <t>P360 R-Dynamic SE</t>
    <phoneticPr fontId="2" type="noConversion"/>
  </si>
  <si>
    <t>P300 SE</t>
    <phoneticPr fontId="2" type="noConversion"/>
  </si>
  <si>
    <t>CLE</t>
    <phoneticPr fontId="2" type="noConversion"/>
  </si>
  <si>
    <t>CLE 450 4Matic 쿠페</t>
    <phoneticPr fontId="2" type="noConversion"/>
  </si>
  <si>
    <t>CLE 200 쿠페</t>
    <phoneticPr fontId="2" type="noConversion"/>
  </si>
  <si>
    <t>CLE 450 4Matic 카브리올레</t>
    <phoneticPr fontId="2" type="noConversion"/>
  </si>
  <si>
    <t>CLE 200 카브리올레</t>
    <phoneticPr fontId="2" type="noConversion"/>
  </si>
  <si>
    <t>C 200 아방가르드</t>
    <phoneticPr fontId="2" type="noConversion"/>
  </si>
  <si>
    <t>C 200 AMG 라인</t>
    <phoneticPr fontId="2" type="noConversion"/>
  </si>
  <si>
    <t>A 220 세단</t>
    <phoneticPr fontId="2" type="noConversion"/>
  </si>
  <si>
    <t>A 220 해치백</t>
    <phoneticPr fontId="2" type="noConversion"/>
  </si>
  <si>
    <t>24년 7월 v1</t>
    <phoneticPr fontId="2" type="noConversion"/>
  </si>
  <si>
    <t>최종견적진행시 담당자확인 필수
이한빛 010-8300-8686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</si>
</sst>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(* #,##0_);_(* \(#,##0\);_(* &quot;-&quot;_);_(@_)"/>
    <numFmt numFmtId="43" formatCode="_(* #,##0.00_);_(* \(#,##0.00\);_(* &quot;-&quot;??_);_(@_)"/>
    <numFmt numFmtId="176" formatCode="&quot;₩&quot;#,##0;[Red]\-&quot;₩&quot;#,##0"/>
    <numFmt numFmtId="177" formatCode="_-&quot;₩&quot;* #,##0_-;\-&quot;₩&quot;* #,##0_-;_-&quot;₩&quot;* &quot;-&quot;_-;_-@_-"/>
    <numFmt numFmtId="178" formatCode="_-* #,##0_-;\-* #,##0_-;_-* &quot;-&quot;_-;_-@_-"/>
    <numFmt numFmtId="179" formatCode="_-* #,##0.00_-;\-* #,##0.00_-;_-* &quot;-&quot;??_-;_-@_-"/>
    <numFmt numFmtId="180" formatCode="####\c\c"/>
    <numFmt numFmtId="181" formatCode="##&quot;개&quot;&quot;월&quot;"/>
    <numFmt numFmtId="182" formatCode="0.0%"/>
    <numFmt numFmtId="183" formatCode="000#"/>
    <numFmt numFmtId="184" formatCode="#,##0_ "/>
    <numFmt numFmtId="185" formatCode="00#"/>
    <numFmt numFmtId="186" formatCode="0.0000000%"/>
    <numFmt numFmtId="187" formatCode="_-* #,##0_-;\-* #,##0_-;_-* &quot;-&quot;??_-;_-@_-"/>
    <numFmt numFmtId="188" formatCode="0.0000%"/>
    <numFmt numFmtId="189" formatCode="0.000%"/>
    <numFmt numFmtId="190" formatCode="_-* #,##0.0_-;\-* #,##0.0_-;_-* &quot;-&quot;_-;_-@_-"/>
    <numFmt numFmtId="191" formatCode="[$-F800]dddd\,\ mmmm\ dd\,\ yyyy"/>
    <numFmt numFmtId="192" formatCode="0_);\(0\)"/>
    <numFmt numFmtId="193" formatCode="_-[$€-2]* #,##0.00_-;\-[$€-2]* #,##0.00_-;_-[$€-2]* &quot;-&quot;??_-"/>
    <numFmt numFmtId="194" formatCode="&quot;₩&quot;#,##0_);[Red]\(&quot;₩&quot;#,##0\)"/>
    <numFmt numFmtId="195" formatCode="0_);[Red]\(0\)"/>
    <numFmt numFmtId="196" formatCode="mm&quot;월&quot;\ dd&quot;일&quot;"/>
    <numFmt numFmtId="197" formatCode="###,###,###,###,###,##0"/>
    <numFmt numFmtId="198" formatCode="#,###,###,###,##0"/>
  </numFmts>
  <fonts count="14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.5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.5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±¼¸²A¼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Tahoma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color theme="1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신한세빛 L"/>
      <family val="3"/>
      <charset val="129"/>
    </font>
    <font>
      <sz val="11"/>
      <name val="굴림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2"/>
      <name val="뼻뮝"/>
      <family val="1"/>
      <charset val="129"/>
    </font>
    <font>
      <sz val="10"/>
      <color theme="1"/>
      <name val="Tahoma"/>
      <family val="2"/>
    </font>
    <font>
      <sz val="11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굴림체"/>
      <family val="3"/>
      <charset val="129"/>
    </font>
    <font>
      <sz val="11"/>
      <color theme="1"/>
      <name val="굴림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theme="1"/>
      <name val="돋움"/>
      <family val="3"/>
      <charset val="129"/>
    </font>
    <font>
      <sz val="14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Calibri"/>
      <family val="2"/>
    </font>
    <font>
      <b/>
      <sz val="11.5"/>
      <color rgb="FFFF0000"/>
      <name val="맑은 고딕"/>
      <family val="3"/>
      <charset val="129"/>
      <scheme val="minor"/>
    </font>
    <font>
      <sz val="9"/>
      <name val="굴림"/>
      <family val="3"/>
      <charset val="129"/>
    </font>
    <font>
      <sz val="8"/>
      <name val="맑은 고딕"/>
      <family val="2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color theme="0"/>
      <name val="굴림체"/>
      <family val="3"/>
      <charset val="129"/>
    </font>
    <font>
      <b/>
      <sz val="12"/>
      <color rgb="FFFF0000"/>
      <name val="굴림체"/>
      <family val="3"/>
      <charset val="129"/>
    </font>
    <font>
      <b/>
      <sz val="11"/>
      <color rgb="FFFF0000"/>
      <name val="굴림체"/>
      <family val="3"/>
      <charset val="129"/>
    </font>
    <font>
      <b/>
      <sz val="12"/>
      <name val="굴림체"/>
      <family val="3"/>
      <charset val="129"/>
    </font>
    <font>
      <sz val="10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sz val="9"/>
      <color theme="1"/>
      <name val="굴림체"/>
      <family val="3"/>
      <charset val="129"/>
    </font>
    <font>
      <sz val="11"/>
      <color theme="0"/>
      <name val="굴림체"/>
      <family val="3"/>
      <charset val="129"/>
    </font>
    <font>
      <b/>
      <sz val="10"/>
      <color theme="1"/>
      <name val="굴림체"/>
      <family val="3"/>
      <charset val="129"/>
    </font>
    <font>
      <sz val="12"/>
      <color theme="1"/>
      <name val="굴림체"/>
      <family val="3"/>
      <charset val="129"/>
    </font>
    <font>
      <b/>
      <sz val="14"/>
      <color rgb="FFFF0000"/>
      <name val="굴림체"/>
      <family val="3"/>
      <charset val="129"/>
    </font>
    <font>
      <sz val="8"/>
      <color theme="1"/>
      <name val="굴림체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8"/>
      <color theme="1"/>
      <name val="HY견고딕"/>
      <family val="1"/>
      <charset val="129"/>
    </font>
    <font>
      <b/>
      <sz val="10"/>
      <color rgb="FF0070C0"/>
      <name val="맑은 고딕"/>
      <family val="3"/>
      <charset val="129"/>
      <scheme val="minor"/>
    </font>
    <font>
      <sz val="11"/>
      <color rgb="FFFF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1"/>
      <color rgb="FFFF0000"/>
      <name val="맑은 고딕"/>
      <family val="3"/>
      <charset val="129"/>
      <scheme val="major"/>
    </font>
    <font>
      <b/>
      <sz val="10"/>
      <color theme="0"/>
      <name val="굴림체"/>
      <family val="3"/>
      <charset val="129"/>
    </font>
    <font>
      <b/>
      <u/>
      <sz val="12"/>
      <color rgb="FFFF0000"/>
      <name val="굴림체"/>
      <family val="3"/>
      <charset val="129"/>
    </font>
    <font>
      <b/>
      <sz val="10"/>
      <color rgb="FFFFFF00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.5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rgb="FFFFFFFF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1"/>
      <color rgb="FF000000"/>
      <name val="굴림"/>
      <family val="3"/>
      <charset val="129"/>
    </font>
    <font>
      <sz val="11.5"/>
      <color theme="1"/>
      <name val="맑은 고딕"/>
      <family val="3"/>
      <charset val="129"/>
      <scheme val="minor"/>
    </font>
    <font>
      <b/>
      <sz val="10"/>
      <color rgb="FFFF0000"/>
      <name val="굴림체"/>
      <family val="3"/>
      <charset val="129"/>
    </font>
    <font>
      <sz val="11"/>
      <color indexed="8"/>
      <name val="맑은 고딕"/>
      <family val="2"/>
      <scheme val="minor"/>
    </font>
    <font>
      <sz val="11"/>
      <color rgb="FF222222"/>
      <name val="Calibri"/>
      <family val="2"/>
    </font>
    <font>
      <b/>
      <sz val="15"/>
      <color theme="1"/>
      <name val="굴림체"/>
      <family val="3"/>
      <charset val="129"/>
    </font>
    <font>
      <sz val="11"/>
      <color rgb="FF00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70C0"/>
      <name val="굴림체"/>
      <family val="3"/>
      <charset val="129"/>
    </font>
    <font>
      <sz val="12"/>
      <name val="맑은 고딕"/>
      <family val="3"/>
      <charset val="129"/>
      <scheme val="minor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b/>
      <sz val="11"/>
      <color rgb="FFFF0000"/>
      <name val="돋움"/>
      <family val="3"/>
      <charset val="129"/>
    </font>
    <font>
      <sz val="11"/>
      <color rgb="FF222222"/>
      <name val="맑은 고딕"/>
      <family val="3"/>
      <charset val="129"/>
    </font>
    <font>
      <sz val="11"/>
      <color rgb="FF222222"/>
      <name val="맑은 고딕"/>
      <family val="2"/>
      <charset val="129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16"/>
      <color rgb="FFFF0000"/>
      <name val="굴림체"/>
      <family val="3"/>
      <charset val="129"/>
    </font>
  </fonts>
  <fills count="6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8A3B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</patternFill>
    </fill>
    <fill>
      <patternFill patternType="solid">
        <fgColor rgb="FFF4F0EB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67">
    <border>
      <left/>
      <right/>
      <top/>
      <bottom/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4" tint="-0.499984740745262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4" tint="-0.499984740745262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-0.24994659260841701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/>
      <top style="thin">
        <color theme="3" tint="0.59996337778862885"/>
      </top>
      <bottom/>
      <diagonal/>
    </border>
    <border>
      <left/>
      <right/>
      <top style="thin">
        <color theme="4" tint="-0.24994659260841701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4" tint="-0.24994659260841701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4" tint="-0.24994659260841701"/>
      </top>
      <bottom style="thin">
        <color theme="3" tint="0.59996337778862885"/>
      </bottom>
      <diagonal/>
    </border>
    <border>
      <left/>
      <right/>
      <top style="thin">
        <color theme="4" tint="-0.24994659260841701"/>
      </top>
      <bottom style="thin">
        <color theme="3" tint="0.59996337778862885"/>
      </bottom>
      <diagonal/>
    </border>
    <border>
      <left style="thin">
        <color theme="3" tint="0.59996337778862885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3" tint="0.59996337778862885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0.59996337778862885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0.39994506668294322"/>
      </right>
      <top style="thin">
        <color theme="4" tint="-0.24994659260841701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-0.24994659260841701"/>
      </bottom>
      <diagonal/>
    </border>
    <border>
      <left/>
      <right/>
      <top style="thin">
        <color theme="4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-0.24994659260841701"/>
      </top>
      <bottom style="thin">
        <color theme="4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4" tint="0.39991454817346722"/>
      </right>
      <top style="thin">
        <color theme="4" tint="-0.24994659260841701"/>
      </top>
      <bottom style="thin">
        <color theme="4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theme="4" tint="-0.24994659260841701"/>
      </top>
      <bottom style="hair">
        <color theme="4" tint="-0.24994659260841701"/>
      </bottom>
      <diagonal/>
    </border>
    <border>
      <left/>
      <right style="thin">
        <color theme="4" tint="0.39994506668294322"/>
      </right>
      <top style="hair">
        <color theme="4" tint="-0.24994659260841701"/>
      </top>
      <bottom style="hair">
        <color theme="4" tint="-0.24994659260841701"/>
      </bottom>
      <diagonal/>
    </border>
    <border>
      <left/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/>
      <right/>
      <top style="hair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0.39994506668294322"/>
      </right>
      <top style="hair">
        <color theme="4" tint="-0.24994659260841701"/>
      </top>
      <bottom style="thin">
        <color theme="4" tint="-0.24994659260841701"/>
      </bottom>
      <diagonal/>
    </border>
    <border>
      <left/>
      <right style="hair">
        <color theme="4" tint="-0.24994659260841701"/>
      </right>
      <top style="hair">
        <color theme="4" tint="-0.24994659260841701"/>
      </top>
      <bottom style="thin">
        <color theme="4" tint="-0.24994659260841701"/>
      </bottom>
      <diagonal/>
    </border>
    <border>
      <left style="hair">
        <color theme="4" tint="-0.24994659260841701"/>
      </left>
      <right/>
      <top style="hair">
        <color theme="4" tint="-0.24994659260841701"/>
      </top>
      <bottom style="hair">
        <color theme="4" tint="-0.24994659260841701"/>
      </bottom>
      <diagonal/>
    </border>
    <border>
      <left style="hair">
        <color theme="4" tint="-0.24994659260841701"/>
      </left>
      <right/>
      <top style="hair">
        <color theme="4" tint="-0.24994659260841701"/>
      </top>
      <bottom style="thin">
        <color theme="4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/>
      <right style="thin">
        <color theme="3" tint="0.59996337778862885"/>
      </right>
      <top/>
      <bottom style="thin">
        <color theme="3" tint="-0.24994659260841701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59996337778862885"/>
      </right>
      <top style="thin">
        <color theme="4" tint="-0.24994659260841701"/>
      </top>
      <bottom/>
      <diagonal/>
    </border>
    <border>
      <left/>
      <right style="thin">
        <color theme="3" tint="0.59996337778862885"/>
      </right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59996337778862885"/>
      </right>
      <top/>
      <bottom style="thin">
        <color theme="3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-0.24994659260841701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3" tint="0.59996337778862885"/>
      </top>
      <bottom style="thin">
        <color theme="4" tint="-0.499984740745262"/>
      </bottom>
      <diagonal/>
    </border>
    <border>
      <left/>
      <right style="thin">
        <color theme="0"/>
      </right>
      <top style="thin">
        <color theme="3" tint="0.59996337778862885"/>
      </top>
      <bottom style="thin">
        <color theme="4" tint="-0.499984740745262"/>
      </bottom>
      <diagonal/>
    </border>
    <border>
      <left/>
      <right style="thin">
        <color theme="4" tint="-0.24994659260841701"/>
      </right>
      <top style="thin">
        <color theme="3" tint="0.59996337778862885"/>
      </top>
      <bottom/>
      <diagonal/>
    </border>
    <border>
      <left/>
      <right style="thin">
        <color theme="4" tint="-0.24994659260841701"/>
      </right>
      <top/>
      <bottom style="thin">
        <color theme="3" tint="0.5999633777886288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indexed="64"/>
      </top>
      <bottom style="thin">
        <color theme="4" tint="-0.499984740745262"/>
      </bottom>
      <diagonal/>
    </border>
    <border>
      <left/>
      <right/>
      <top style="thin">
        <color indexed="64"/>
      </top>
      <bottom style="thin">
        <color theme="4" tint="-0.499984740745262"/>
      </bottom>
      <diagonal/>
    </border>
    <border>
      <left/>
      <right style="thin">
        <color theme="3" tint="0.59996337778862885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indexed="64"/>
      </top>
      <bottom style="thin">
        <color theme="3" tint="0.59996337778862885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</borders>
  <cellStyleXfs count="42804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4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48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0" fontId="18" fillId="9" borderId="45" applyNumberFormat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0" borderId="46" applyNumberFormat="0" applyAlignment="0" applyProtection="0">
      <alignment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1" fillId="0" borderId="43" applyNumberFormat="0" applyFill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45" applyNumberFormat="0" applyAlignment="0" applyProtection="0">
      <alignment vertical="center"/>
    </xf>
    <xf numFmtId="0" fontId="37" fillId="10" borderId="46" applyNumberFormat="0" applyAlignment="0" applyProtection="0">
      <alignment vertical="center"/>
    </xf>
    <xf numFmtId="0" fontId="38" fillId="10" borderId="45" applyNumberFormat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40" fillId="11" borderId="48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50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91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91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91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91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191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91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91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91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91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91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191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91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91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91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1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91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91" fontId="10" fillId="36" borderId="0" applyNumberFormat="0" applyBorder="0" applyAlignment="0" applyProtection="0">
      <alignment vertical="center"/>
    </xf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8" fillId="0" borderId="0"/>
    <xf numFmtId="0" fontId="50" fillId="0" borderId="0"/>
    <xf numFmtId="0" fontId="51" fillId="0" borderId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38" fontId="53" fillId="48" borderId="0" applyNumberFormat="0" applyBorder="0" applyAlignment="0" applyProtection="0"/>
    <xf numFmtId="0" fontId="54" fillId="0" borderId="0">
      <alignment horizontal="left"/>
    </xf>
    <xf numFmtId="0" fontId="55" fillId="0" borderId="85" applyNumberFormat="0" applyAlignment="0" applyProtection="0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6" fillId="49" borderId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10" fontId="53" fillId="48" borderId="62" applyNumberFormat="0" applyBorder="0" applyAlignment="0" applyProtection="0"/>
    <xf numFmtId="0" fontId="57" fillId="0" borderId="73"/>
    <xf numFmtId="192" fontId="58" fillId="0" borderId="0"/>
    <xf numFmtId="0" fontId="59" fillId="0" borderId="0"/>
    <xf numFmtId="0" fontId="52" fillId="0" borderId="0"/>
    <xf numFmtId="10" fontId="52" fillId="0" borderId="0" applyFont="0" applyFill="0" applyBorder="0" applyAlignment="0" applyProtection="0"/>
    <xf numFmtId="0" fontId="57" fillId="0" borderId="0"/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91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1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91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91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91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91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1" fontId="11" fillId="0" borderId="0" applyNumberFormat="0" applyFill="0" applyBorder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2" fillId="10" borderId="45" applyNumberFormat="0" applyAlignment="0" applyProtection="0">
      <alignment vertical="center"/>
    </xf>
    <xf numFmtId="191" fontId="12" fillId="10" borderId="4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91" fontId="13" fillId="7" borderId="0" applyNumberFormat="0" applyBorder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1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0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191" fontId="5" fillId="12" borderId="49" applyNumberFormat="0" applyFont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61" fillId="0" borderId="0"/>
    <xf numFmtId="191" fontId="5" fillId="12" borderId="49" applyNumberFormat="0" applyFont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61" fillId="0" borderId="0"/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191" fontId="5" fillId="12" borderId="49" applyNumberFormat="0" applyFont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1" fillId="0" borderId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1" fillId="0" borderId="0"/>
    <xf numFmtId="9" fontId="6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1" fillId="0" borderId="0"/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1" fillId="0" borderId="0"/>
    <xf numFmtId="9" fontId="1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61" fillId="0" borderId="0"/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1" fillId="0" borderId="0"/>
    <xf numFmtId="9" fontId="5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1" fillId="0" borderId="0"/>
    <xf numFmtId="0" fontId="61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/>
    <xf numFmtId="0" fontId="61" fillId="0" borderId="0"/>
    <xf numFmtId="9" fontId="64" fillId="0" borderId="0" applyFont="0" applyFill="0" applyBorder="0" applyAlignment="0" applyProtection="0"/>
    <xf numFmtId="9" fontId="6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1" fillId="0" borderId="0"/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1" fillId="0" borderId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1" fillId="0" borderId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1" fillId="0" borderId="0"/>
    <xf numFmtId="9" fontId="65" fillId="0" borderId="0" applyFont="0" applyFill="0" applyBorder="0" applyAlignment="0" applyProtection="0">
      <alignment vertical="center"/>
    </xf>
    <xf numFmtId="0" fontId="61" fillId="0" borderId="0"/>
    <xf numFmtId="9" fontId="6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1" fillId="0" borderId="0"/>
    <xf numFmtId="9" fontId="1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1" fillId="0" borderId="0"/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61" fillId="0" borderId="0"/>
    <xf numFmtId="9" fontId="61" fillId="0" borderId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1" fillId="0" borderId="0"/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1" fillId="0" borderId="0"/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61" fillId="0" borderId="0"/>
    <xf numFmtId="0" fontId="3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1" fontId="15" fillId="8" borderId="0" applyNumberFormat="0" applyBorder="0" applyAlignment="0" applyProtection="0">
      <alignment vertical="center"/>
    </xf>
    <xf numFmtId="0" fontId="67" fillId="0" borderId="0"/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61" fillId="0" borderId="0"/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91" fontId="16" fillId="0" borderId="0" applyNumberFormat="0" applyFill="0" applyBorder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61" fillId="0" borderId="0"/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0" fontId="7" fillId="11" borderId="48" applyNumberFormat="0" applyAlignment="0" applyProtection="0">
      <alignment vertical="center"/>
    </xf>
    <xf numFmtId="191" fontId="7" fillId="11" borderId="48" applyNumberFormat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0" fontId="61" fillId="0" borderId="0"/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0" fontId="61" fillId="0" borderId="0"/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0" fontId="61" fillId="0" borderId="0"/>
    <xf numFmtId="178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5" fillId="0" borderId="0" applyFont="0" applyFill="0" applyBorder="0" applyAlignment="0" applyProtection="0">
      <alignment vertical="center"/>
    </xf>
    <xf numFmtId="0" fontId="61" fillId="0" borderId="0"/>
    <xf numFmtId="41" fontId="5" fillId="0" borderId="0" applyFont="0" applyFill="0" applyBorder="0" applyAlignment="0" applyProtection="0">
      <alignment vertical="center"/>
    </xf>
    <xf numFmtId="0" fontId="61" fillId="0" borderId="0"/>
    <xf numFmtId="0" fontId="61" fillId="0" borderId="0"/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0" fontId="61" fillId="0" borderId="0"/>
    <xf numFmtId="178" fontId="63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8" fillId="0" borderId="0" applyFont="0" applyFill="0" applyBorder="0" applyAlignment="0" applyProtection="0"/>
    <xf numFmtId="178" fontId="63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/>
    <xf numFmtId="0" fontId="61" fillId="0" borderId="0"/>
    <xf numFmtId="178" fontId="5" fillId="0" borderId="0" applyFont="0" applyFill="0" applyBorder="0" applyAlignment="0" applyProtection="0">
      <alignment vertical="center"/>
    </xf>
    <xf numFmtId="178" fontId="62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/>
    <xf numFmtId="178" fontId="68" fillId="0" borderId="0" applyFont="0" applyFill="0" applyBorder="0" applyAlignment="0" applyProtection="0">
      <alignment vertical="center"/>
    </xf>
    <xf numFmtId="178" fontId="6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0" fontId="61" fillId="0" borderId="0"/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60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0" fontId="61" fillId="0" borderId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61" fillId="0" borderId="0"/>
    <xf numFmtId="43" fontId="61" fillId="0" borderId="0"/>
    <xf numFmtId="43" fontId="61" fillId="0" borderId="0"/>
    <xf numFmtId="0" fontId="61" fillId="0" borderId="0"/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8" fillId="0" borderId="0" applyFont="0" applyFill="0" applyBorder="0" applyAlignment="0" applyProtection="0"/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8" fontId="60" fillId="0" borderId="0" applyFont="0" applyFill="0" applyBorder="0" applyAlignment="0" applyProtection="0">
      <alignment vertical="center"/>
    </xf>
    <xf numFmtId="178" fontId="60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6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5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63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65" fillId="0" borderId="0" applyFont="0" applyFill="0" applyBorder="0" applyAlignment="0" applyProtection="0">
      <alignment vertical="center"/>
    </xf>
    <xf numFmtId="178" fontId="65" fillId="0" borderId="0" applyFont="0" applyFill="0" applyBorder="0" applyAlignment="0" applyProtection="0">
      <alignment vertical="center"/>
    </xf>
    <xf numFmtId="0" fontId="61" fillId="0" borderId="0"/>
    <xf numFmtId="0" fontId="61" fillId="0" borderId="0"/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6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178" fontId="66" fillId="0" borderId="0" applyFont="0" applyFill="0" applyBorder="0" applyAlignment="0" applyProtection="0">
      <alignment vertical="center"/>
    </xf>
    <xf numFmtId="178" fontId="69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0" fontId="61" fillId="0" borderId="0"/>
    <xf numFmtId="43" fontId="61" fillId="0" borderId="0"/>
    <xf numFmtId="0" fontId="61" fillId="0" borderId="0"/>
    <xf numFmtId="178" fontId="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43" fontId="61" fillId="0" borderId="0"/>
    <xf numFmtId="43" fontId="61" fillId="0" borderId="0"/>
    <xf numFmtId="0" fontId="61" fillId="0" borderId="0"/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0" fontId="61" fillId="0" borderId="0"/>
    <xf numFmtId="178" fontId="1" fillId="0" borderId="0" applyFont="0" applyFill="0" applyBorder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61" fillId="0" borderId="0"/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191" fontId="17" fillId="0" borderId="47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59" fillId="0" borderId="0"/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3" fillId="0" borderId="50" applyNumberFormat="0" applyFill="0" applyAlignment="0" applyProtection="0">
      <alignment vertical="center"/>
    </xf>
    <xf numFmtId="191" fontId="3" fillId="0" borderId="50" applyNumberFormat="0" applyFill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61" fillId="0" borderId="0"/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191" fontId="18" fillId="9" borderId="45" applyNumberFormat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61" fillId="0" borderId="0"/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191" fontId="19" fillId="0" borderId="4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61" fillId="0" borderId="0"/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191" fontId="20" fillId="0" borderId="43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61" fillId="0" borderId="0"/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191" fontId="21" fillId="0" borderId="4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61" fillId="0" borderId="0"/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91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61" fillId="0" borderId="0"/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1" fontId="22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61" fillId="0" borderId="0"/>
    <xf numFmtId="0" fontId="3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191" fontId="23" fillId="6" borderId="0" applyNumberFormat="0" applyBorder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61" fillId="0" borderId="0"/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24" fillId="10" borderId="46" applyNumberFormat="0" applyAlignment="0" applyProtection="0">
      <alignment vertical="center"/>
    </xf>
    <xf numFmtId="191" fontId="24" fillId="10" borderId="46" applyNumberFormat="0" applyAlignment="0" applyProtection="0">
      <alignment vertical="center"/>
    </xf>
    <xf numFmtId="0" fontId="61" fillId="0" borderId="0"/>
    <xf numFmtId="177" fontId="8" fillId="0" borderId="0" applyFont="0" applyFill="0" applyBorder="0" applyAlignment="0" applyProtection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>
      <alignment vertical="center"/>
    </xf>
    <xf numFmtId="0" fontId="69" fillId="0" borderId="0"/>
    <xf numFmtId="0" fontId="59" fillId="0" borderId="0"/>
    <xf numFmtId="191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7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>
      <alignment vertical="center"/>
    </xf>
    <xf numFmtId="0" fontId="61" fillId="0" borderId="0"/>
    <xf numFmtId="0" fontId="61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61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70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70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63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70" fillId="0" borderId="0">
      <alignment vertical="center"/>
    </xf>
    <xf numFmtId="191" fontId="70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7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70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70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63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0" borderId="0"/>
    <xf numFmtId="0" fontId="1" fillId="0" borderId="0">
      <alignment vertical="center"/>
    </xf>
    <xf numFmtId="193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72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72" fillId="0" borderId="0">
      <alignment vertical="center"/>
    </xf>
    <xf numFmtId="0" fontId="72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91" fontId="8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1" fillId="0" borderId="0"/>
    <xf numFmtId="0" fontId="1" fillId="0" borderId="0">
      <alignment vertical="center"/>
    </xf>
    <xf numFmtId="0" fontId="73" fillId="0" borderId="0" applyBorder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61" fillId="0" borderId="0"/>
    <xf numFmtId="0" fontId="1" fillId="0" borderId="0">
      <alignment vertical="center"/>
    </xf>
    <xf numFmtId="0" fontId="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8" fillId="0" borderId="0">
      <alignment vertical="center"/>
    </xf>
    <xf numFmtId="0" fontId="5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5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8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" fillId="0" borderId="0">
      <alignment vertical="center"/>
    </xf>
    <xf numFmtId="0" fontId="59" fillId="0" borderId="0"/>
    <xf numFmtId="0" fontId="62" fillId="0" borderId="0">
      <alignment vertical="center"/>
    </xf>
    <xf numFmtId="0" fontId="5" fillId="0" borderId="0">
      <alignment vertical="center"/>
    </xf>
    <xf numFmtId="0" fontId="61" fillId="0" borderId="0"/>
    <xf numFmtId="0" fontId="5" fillId="0" borderId="0"/>
    <xf numFmtId="0" fontId="5" fillId="0" borderId="0">
      <alignment vertical="center"/>
    </xf>
    <xf numFmtId="0" fontId="59" fillId="0" borderId="0"/>
    <xf numFmtId="0" fontId="1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" fillId="0" borderId="0">
      <alignment vertical="center"/>
    </xf>
    <xf numFmtId="191" fontId="5" fillId="0" borderId="0">
      <alignment vertical="center"/>
    </xf>
    <xf numFmtId="0" fontId="5" fillId="0" borderId="0"/>
    <xf numFmtId="191" fontId="5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8" fillId="0" borderId="0">
      <alignment vertical="center"/>
    </xf>
    <xf numFmtId="0" fontId="72" fillId="0" borderId="0">
      <alignment vertical="center"/>
    </xf>
    <xf numFmtId="0" fontId="61" fillId="0" borderId="0"/>
    <xf numFmtId="0" fontId="72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91" fontId="70" fillId="0" borderId="0">
      <alignment vertical="center"/>
    </xf>
    <xf numFmtId="0" fontId="61" fillId="0" borderId="0"/>
    <xf numFmtId="0" fontId="61" fillId="0" borderId="0"/>
    <xf numFmtId="0" fontId="68" fillId="0" borderId="0"/>
    <xf numFmtId="0" fontId="68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1" fillId="0" borderId="0"/>
    <xf numFmtId="0" fontId="61" fillId="0" borderId="0"/>
    <xf numFmtId="0" fontId="8" fillId="0" borderId="0">
      <alignment vertical="center"/>
    </xf>
    <xf numFmtId="0" fontId="8" fillId="0" borderId="0">
      <alignment vertical="center"/>
    </xf>
    <xf numFmtId="0" fontId="59" fillId="0" borderId="0"/>
    <xf numFmtId="0" fontId="5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5" fillId="0" borderId="0"/>
    <xf numFmtId="191" fontId="5" fillId="0" borderId="0">
      <alignment vertical="center"/>
    </xf>
    <xf numFmtId="191" fontId="5" fillId="0" borderId="0">
      <alignment vertical="center"/>
    </xf>
    <xf numFmtId="0" fontId="5" fillId="0" borderId="0"/>
    <xf numFmtId="0" fontId="59" fillId="0" borderId="0"/>
    <xf numFmtId="0" fontId="5" fillId="0" borderId="0"/>
    <xf numFmtId="0" fontId="8" fillId="0" borderId="0">
      <alignment vertical="center"/>
    </xf>
    <xf numFmtId="0" fontId="59" fillId="0" borderId="0"/>
    <xf numFmtId="0" fontId="8" fillId="0" borderId="0">
      <alignment vertical="center"/>
    </xf>
    <xf numFmtId="0" fontId="69" fillId="0" borderId="0"/>
    <xf numFmtId="0" fontId="5" fillId="0" borderId="0">
      <alignment vertical="center"/>
    </xf>
    <xf numFmtId="0" fontId="5" fillId="0" borderId="0">
      <alignment vertical="center"/>
    </xf>
    <xf numFmtId="191" fontId="70" fillId="0" borderId="0">
      <alignment vertical="center"/>
    </xf>
    <xf numFmtId="191" fontId="70" fillId="0" borderId="0">
      <alignment vertical="center"/>
    </xf>
    <xf numFmtId="0" fontId="5" fillId="0" borderId="0">
      <alignment vertical="center"/>
    </xf>
    <xf numFmtId="0" fontId="59" fillId="0" borderId="0"/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59" fillId="0" borderId="0"/>
    <xf numFmtId="0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8" fillId="0" borderId="0">
      <alignment vertical="center"/>
    </xf>
    <xf numFmtId="0" fontId="59" fillId="0" borderId="0"/>
    <xf numFmtId="0" fontId="5" fillId="0" borderId="0">
      <alignment vertical="center"/>
    </xf>
    <xf numFmtId="0" fontId="74" fillId="0" borderId="0">
      <alignment vertical="center"/>
    </xf>
    <xf numFmtId="0" fontId="59" fillId="0" borderId="0"/>
    <xf numFmtId="0" fontId="8" fillId="0" borderId="0">
      <alignment vertical="center"/>
    </xf>
    <xf numFmtId="0" fontId="59" fillId="0" borderId="0"/>
    <xf numFmtId="0" fontId="5" fillId="0" borderId="0">
      <alignment vertical="center"/>
    </xf>
    <xf numFmtId="0" fontId="8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1" fillId="0" borderId="0">
      <alignment vertical="center"/>
    </xf>
    <xf numFmtId="0" fontId="59" fillId="0" borderId="0"/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59" fillId="0" borderId="0"/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91" fontId="1" fillId="0" borderId="0">
      <alignment vertical="center"/>
    </xf>
    <xf numFmtId="0" fontId="59" fillId="0" borderId="0"/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1" fillId="0" borderId="0">
      <alignment vertical="center"/>
    </xf>
    <xf numFmtId="0" fontId="59" fillId="0" borderId="0"/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1" fillId="0" borderId="0"/>
    <xf numFmtId="0" fontId="8" fillId="0" borderId="0">
      <alignment vertical="center"/>
    </xf>
    <xf numFmtId="0" fontId="59" fillId="0" borderId="0"/>
    <xf numFmtId="191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91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65" fillId="0" borderId="0">
      <alignment vertical="center"/>
    </xf>
    <xf numFmtId="0" fontId="59" fillId="0" borderId="0"/>
    <xf numFmtId="0" fontId="66" fillId="0" borderId="0">
      <alignment vertical="center"/>
    </xf>
    <xf numFmtId="0" fontId="59" fillId="0" borderId="0"/>
    <xf numFmtId="0" fontId="66" fillId="0" borderId="0">
      <alignment vertical="center"/>
    </xf>
    <xf numFmtId="0" fontId="61" fillId="0" borderId="0"/>
    <xf numFmtId="191" fontId="5" fillId="0" borderId="0">
      <alignment vertical="center"/>
    </xf>
    <xf numFmtId="191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>
      <alignment vertical="center"/>
    </xf>
    <xf numFmtId="0" fontId="6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65" fillId="0" borderId="0">
      <alignment vertical="center"/>
    </xf>
    <xf numFmtId="0" fontId="59" fillId="0" borderId="0"/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1" fillId="0" borderId="0">
      <alignment vertical="center"/>
    </xf>
    <xf numFmtId="0" fontId="59" fillId="0" borderId="0"/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>
      <alignment vertical="center"/>
    </xf>
    <xf numFmtId="0" fontId="6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191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>
      <alignment vertical="center"/>
    </xf>
    <xf numFmtId="0" fontId="69" fillId="0" borderId="0"/>
    <xf numFmtId="0" fontId="59" fillId="0" borderId="0"/>
    <xf numFmtId="191" fontId="5" fillId="0" borderId="0">
      <alignment vertical="center"/>
    </xf>
    <xf numFmtId="0" fontId="5" fillId="0" borderId="0"/>
    <xf numFmtId="0" fontId="5" fillId="0" borderId="0"/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69" fillId="0" borderId="0"/>
    <xf numFmtId="0" fontId="59" fillId="0" borderId="0"/>
    <xf numFmtId="191" fontId="5" fillId="0" borderId="0">
      <alignment vertical="center"/>
    </xf>
    <xf numFmtId="0" fontId="5" fillId="0" borderId="0"/>
    <xf numFmtId="0" fontId="5" fillId="0" borderId="0"/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191" fontId="5" fillId="0" borderId="0">
      <alignment vertical="center"/>
    </xf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191" fontId="70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0" fontId="5" fillId="0" borderId="0">
      <alignment vertical="center"/>
    </xf>
    <xf numFmtId="191" fontId="5" fillId="0" borderId="0">
      <alignment vertical="center"/>
    </xf>
    <xf numFmtId="191" fontId="5" fillId="0" borderId="0">
      <alignment vertical="center"/>
    </xf>
    <xf numFmtId="0" fontId="61" fillId="0" borderId="0"/>
    <xf numFmtId="0" fontId="61" fillId="0" borderId="0"/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75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93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99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1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4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2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3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5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0" fontId="82" fillId="0" borderId="0"/>
    <xf numFmtId="178" fontId="1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178" fontId="64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64" fillId="0" borderId="0">
      <alignment vertical="center"/>
    </xf>
    <xf numFmtId="0" fontId="8" fillId="0" borderId="0"/>
    <xf numFmtId="177" fontId="1" fillId="0" borderId="0" applyFont="0" applyFill="0" applyBorder="0" applyAlignment="0" applyProtection="0">
      <alignment vertical="center"/>
    </xf>
    <xf numFmtId="178" fontId="79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</cellStyleXfs>
  <cellXfs count="9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5" fillId="38" borderId="0" xfId="0" applyFont="1" applyFill="1" applyAlignment="1" applyProtection="1">
      <alignment horizontal="center" vertical="center"/>
      <protection locked="0"/>
    </xf>
    <xf numFmtId="0" fontId="0" fillId="0" borderId="53" xfId="0" applyBorder="1">
      <alignment vertical="center"/>
    </xf>
    <xf numFmtId="185" fontId="0" fillId="0" borderId="0" xfId="0" applyNumberFormat="1">
      <alignment vertical="center"/>
    </xf>
    <xf numFmtId="0" fontId="0" fillId="0" borderId="54" xfId="0" applyBorder="1">
      <alignment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178" fontId="0" fillId="0" borderId="38" xfId="1" applyFont="1" applyBorder="1" applyAlignment="1">
      <alignment horizontal="center" vertical="center"/>
    </xf>
    <xf numFmtId="178" fontId="0" fillId="0" borderId="39" xfId="1" applyFont="1" applyBorder="1" applyAlignment="1">
      <alignment horizontal="center" vertical="center"/>
    </xf>
    <xf numFmtId="182" fontId="0" fillId="0" borderId="38" xfId="2" applyNumberFormat="1" applyFont="1" applyBorder="1" applyAlignment="1">
      <alignment horizontal="center" vertical="center"/>
    </xf>
    <xf numFmtId="182" fontId="0" fillId="0" borderId="39" xfId="2" applyNumberFormat="1" applyFont="1" applyBorder="1" applyAlignment="1">
      <alignment horizontal="center" vertical="center"/>
    </xf>
    <xf numFmtId="0" fontId="0" fillId="0" borderId="38" xfId="2" applyNumberFormat="1" applyFont="1" applyBorder="1" applyAlignment="1">
      <alignment horizontal="center" vertical="center"/>
    </xf>
    <xf numFmtId="0" fontId="0" fillId="0" borderId="39" xfId="2" applyNumberFormat="1" applyFont="1" applyBorder="1" applyAlignment="1">
      <alignment horizontal="center" vertical="center"/>
    </xf>
    <xf numFmtId="9" fontId="0" fillId="0" borderId="38" xfId="2" applyFont="1" applyBorder="1" applyAlignment="1">
      <alignment horizontal="center" vertical="center"/>
    </xf>
    <xf numFmtId="10" fontId="0" fillId="0" borderId="38" xfId="2" applyNumberFormat="1" applyFont="1" applyBorder="1" applyAlignment="1">
      <alignment horizontal="center" vertical="center"/>
    </xf>
    <xf numFmtId="10" fontId="0" fillId="0" borderId="39" xfId="2" applyNumberFormat="1" applyFont="1" applyBorder="1" applyAlignment="1">
      <alignment horizontal="center" vertical="center"/>
    </xf>
    <xf numFmtId="0" fontId="27" fillId="0" borderId="61" xfId="0" applyFont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Protection="1">
      <alignment vertical="center"/>
      <protection hidden="1"/>
    </xf>
    <xf numFmtId="178" fontId="28" fillId="42" borderId="62" xfId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6" fillId="0" borderId="0" xfId="0" applyFont="1">
      <alignment vertical="center"/>
    </xf>
    <xf numFmtId="178" fontId="26" fillId="42" borderId="62" xfId="1" applyFont="1" applyFill="1" applyBorder="1" applyAlignment="1" applyProtection="1">
      <alignment horizontal="right" vertical="center"/>
      <protection locked="0"/>
    </xf>
    <xf numFmtId="0" fontId="26" fillId="0" borderId="0" xfId="0" applyFont="1" applyAlignment="1" applyProtection="1">
      <alignment horizontal="right" vertical="center"/>
      <protection hidden="1"/>
    </xf>
    <xf numFmtId="10" fontId="26" fillId="0" borderId="0" xfId="0" applyNumberFormat="1" applyFont="1" applyAlignment="1" applyProtection="1">
      <alignment horizontal="right" vertical="center"/>
      <protection locked="0"/>
    </xf>
    <xf numFmtId="0" fontId="26" fillId="3" borderId="0" xfId="0" applyFont="1" applyFill="1" applyProtection="1">
      <alignment vertical="center"/>
      <protection locked="0"/>
    </xf>
    <xf numFmtId="0" fontId="26" fillId="3" borderId="0" xfId="0" applyFont="1" applyFill="1" applyAlignment="1" applyProtection="1">
      <alignment horizontal="right" vertical="center"/>
      <protection locked="0"/>
    </xf>
    <xf numFmtId="10" fontId="26" fillId="3" borderId="0" xfId="0" applyNumberFormat="1" applyFont="1" applyFill="1" applyAlignment="1" applyProtection="1">
      <alignment horizontal="right" vertical="center"/>
      <protection locked="0"/>
    </xf>
    <xf numFmtId="178" fontId="28" fillId="42" borderId="62" xfId="1" applyFont="1" applyFill="1" applyBorder="1" applyAlignment="1" applyProtection="1">
      <alignment horizontal="center" vertical="center" shrinkToFit="1"/>
      <protection locked="0"/>
    </xf>
    <xf numFmtId="9" fontId="26" fillId="38" borderId="62" xfId="0" applyNumberFormat="1" applyFont="1" applyFill="1" applyBorder="1" applyProtection="1">
      <alignment vertical="center"/>
      <protection locked="0"/>
    </xf>
    <xf numFmtId="10" fontId="26" fillId="38" borderId="62" xfId="0" applyNumberFormat="1" applyFont="1" applyFill="1" applyBorder="1" applyProtection="1">
      <alignment vertical="center"/>
      <protection locked="0"/>
    </xf>
    <xf numFmtId="10" fontId="26" fillId="3" borderId="0" xfId="0" applyNumberFormat="1" applyFont="1" applyFill="1" applyProtection="1">
      <alignment vertical="center"/>
      <protection locked="0"/>
    </xf>
    <xf numFmtId="9" fontId="26" fillId="3" borderId="0" xfId="0" applyNumberFormat="1" applyFont="1" applyFill="1" applyProtection="1">
      <alignment vertical="center"/>
      <protection locked="0"/>
    </xf>
    <xf numFmtId="0" fontId="3" fillId="0" borderId="0" xfId="0" applyFont="1">
      <alignment vertical="center"/>
    </xf>
    <xf numFmtId="0" fontId="26" fillId="0" borderId="0" xfId="0" applyFont="1" applyAlignment="1" applyProtection="1">
      <alignment horizontal="right" vertical="center"/>
      <protection locked="0"/>
    </xf>
    <xf numFmtId="0" fontId="26" fillId="38" borderId="0" xfId="0" applyFont="1" applyFill="1" applyProtection="1">
      <alignment vertical="center"/>
      <protection locked="0"/>
    </xf>
    <xf numFmtId="0" fontId="26" fillId="38" borderId="0" xfId="0" applyFont="1" applyFill="1" applyAlignment="1" applyProtection="1">
      <alignment horizontal="right" vertical="center"/>
      <protection locked="0"/>
    </xf>
    <xf numFmtId="10" fontId="26" fillId="38" borderId="0" xfId="0" applyNumberFormat="1" applyFont="1" applyFill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0" fontId="7" fillId="5" borderId="38" xfId="0" applyFont="1" applyFill="1" applyBorder="1" applyAlignment="1" applyProtection="1">
      <alignment horizontal="center" vertical="center"/>
      <protection locked="0"/>
    </xf>
    <xf numFmtId="0" fontId="26" fillId="0" borderId="62" xfId="0" applyFont="1" applyBorder="1" applyProtection="1">
      <alignment vertical="center"/>
      <protection locked="0"/>
    </xf>
    <xf numFmtId="0" fontId="26" fillId="0" borderId="62" xfId="0" applyFont="1" applyBorder="1" applyAlignment="1" applyProtection="1">
      <alignment vertical="center" wrapText="1"/>
      <protection locked="0"/>
    </xf>
    <xf numFmtId="9" fontId="26" fillId="0" borderId="0" xfId="2" applyFont="1" applyProtection="1">
      <alignment vertical="center"/>
      <protection locked="0"/>
    </xf>
    <xf numFmtId="178" fontId="26" fillId="0" borderId="62" xfId="1" applyFont="1" applyBorder="1" applyProtection="1">
      <alignment vertical="center"/>
      <protection locked="0"/>
    </xf>
    <xf numFmtId="186" fontId="26" fillId="0" borderId="0" xfId="2" applyNumberFormat="1" applyFont="1" applyProtection="1">
      <alignment vertical="center"/>
      <protection locked="0"/>
    </xf>
    <xf numFmtId="182" fontId="26" fillId="0" borderId="0" xfId="2" applyNumberFormat="1" applyFont="1" applyProtection="1">
      <alignment vertical="center"/>
      <protection locked="0"/>
    </xf>
    <xf numFmtId="0" fontId="26" fillId="0" borderId="0" xfId="2" applyNumberFormat="1" applyFont="1" applyProtection="1">
      <alignment vertical="center"/>
      <protection locked="0"/>
    </xf>
    <xf numFmtId="0" fontId="80" fillId="38" borderId="0" xfId="0" applyFont="1" applyFill="1" applyAlignment="1" applyProtection="1">
      <alignment horizontal="center" vertical="center"/>
      <protection locked="0"/>
    </xf>
    <xf numFmtId="9" fontId="26" fillId="41" borderId="0" xfId="0" applyNumberFormat="1" applyFont="1" applyFill="1" applyProtection="1">
      <alignment vertical="center"/>
      <protection locked="0"/>
    </xf>
    <xf numFmtId="182" fontId="81" fillId="38" borderId="62" xfId="0" applyNumberFormat="1" applyFont="1" applyFill="1" applyBorder="1" applyAlignment="1">
      <alignment horizontal="center" vertical="center"/>
    </xf>
    <xf numFmtId="182" fontId="6" fillId="43" borderId="0" xfId="0" applyNumberFormat="1" applyFont="1" applyFill="1" applyAlignment="1">
      <alignment horizontal="center" vertical="center"/>
    </xf>
    <xf numFmtId="0" fontId="5" fillId="0" borderId="0" xfId="0" applyFont="1" applyProtection="1">
      <alignment vertical="center"/>
      <protection locked="0"/>
    </xf>
    <xf numFmtId="182" fontId="81" fillId="38" borderId="62" xfId="2" applyNumberFormat="1" applyFont="1" applyFill="1" applyBorder="1" applyAlignment="1">
      <alignment horizontal="center" vertical="center"/>
    </xf>
    <xf numFmtId="182" fontId="81" fillId="41" borderId="0" xfId="0" applyNumberFormat="1" applyFont="1" applyFill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182" fontId="5" fillId="38" borderId="0" xfId="2" applyNumberFormat="1" applyFont="1" applyFill="1" applyBorder="1" applyAlignment="1" applyProtection="1">
      <alignment vertical="center"/>
      <protection hidden="1"/>
    </xf>
    <xf numFmtId="182" fontId="5" fillId="38" borderId="0" xfId="0" applyNumberFormat="1" applyFont="1" applyFill="1" applyProtection="1">
      <alignment vertical="center"/>
      <protection hidden="1"/>
    </xf>
    <xf numFmtId="182" fontId="3" fillId="38" borderId="0" xfId="2" applyNumberFormat="1" applyFont="1" applyFill="1" applyBorder="1" applyAlignment="1" applyProtection="1">
      <alignment vertical="center"/>
      <protection hidden="1"/>
    </xf>
    <xf numFmtId="182" fontId="3" fillId="38" borderId="0" xfId="0" applyNumberFormat="1" applyFont="1" applyFill="1" applyProtection="1">
      <alignment vertical="center"/>
      <protection hidden="1"/>
    </xf>
    <xf numFmtId="0" fontId="28" fillId="3" borderId="0" xfId="0" applyFont="1" applyFill="1" applyProtection="1">
      <alignment vertical="center"/>
      <protection locked="0"/>
    </xf>
    <xf numFmtId="9" fontId="26" fillId="3" borderId="0" xfId="2" applyFont="1" applyFill="1" applyBorder="1" applyProtection="1">
      <alignment vertical="center"/>
      <protection locked="0"/>
    </xf>
    <xf numFmtId="0" fontId="26" fillId="3" borderId="0" xfId="0" applyFont="1" applyFill="1" applyAlignment="1" applyProtection="1">
      <alignment horizontal="center" vertical="center"/>
      <protection locked="0"/>
    </xf>
    <xf numFmtId="0" fontId="84" fillId="53" borderId="62" xfId="0" applyFont="1" applyFill="1" applyBorder="1" applyAlignment="1">
      <alignment horizontal="left" vertical="center" wrapText="1"/>
    </xf>
    <xf numFmtId="0" fontId="84" fillId="54" borderId="62" xfId="0" applyFont="1" applyFill="1" applyBorder="1" applyAlignment="1">
      <alignment horizontal="left" vertical="center" wrapText="1"/>
    </xf>
    <xf numFmtId="0" fontId="5" fillId="38" borderId="62" xfId="0" applyFont="1" applyFill="1" applyBorder="1" applyAlignment="1" applyProtection="1">
      <alignment horizontal="center" vertical="center"/>
      <protection locked="0"/>
    </xf>
    <xf numFmtId="0" fontId="26" fillId="0" borderId="62" xfId="0" applyFont="1" applyBorder="1" applyProtection="1">
      <alignment vertical="center"/>
      <protection hidden="1"/>
    </xf>
    <xf numFmtId="0" fontId="26" fillId="0" borderId="62" xfId="0" applyFont="1" applyBorder="1" applyAlignment="1" applyProtection="1">
      <alignment horizontal="left" vertical="center"/>
      <protection locked="0"/>
    </xf>
    <xf numFmtId="0" fontId="86" fillId="0" borderId="0" xfId="0" applyFont="1">
      <alignment vertical="center"/>
    </xf>
    <xf numFmtId="0" fontId="86" fillId="0" borderId="0" xfId="0" applyFont="1" applyAlignment="1">
      <alignment horizontal="center" vertical="center"/>
    </xf>
    <xf numFmtId="0" fontId="86" fillId="0" borderId="0" xfId="0" applyFont="1" applyProtection="1">
      <alignment vertical="center"/>
      <protection locked="0"/>
    </xf>
    <xf numFmtId="0" fontId="86" fillId="0" borderId="0" xfId="0" applyFont="1" applyProtection="1">
      <alignment vertical="center"/>
      <protection hidden="1"/>
    </xf>
    <xf numFmtId="0" fontId="87" fillId="2" borderId="0" xfId="0" applyFont="1" applyFill="1" applyProtection="1">
      <alignment vertical="center"/>
      <protection hidden="1"/>
    </xf>
    <xf numFmtId="0" fontId="88" fillId="2" borderId="0" xfId="0" applyFont="1" applyFill="1" applyProtection="1">
      <alignment vertical="center"/>
      <protection hidden="1"/>
    </xf>
    <xf numFmtId="14" fontId="88" fillId="2" borderId="0" xfId="0" applyNumberFormat="1" applyFont="1" applyFill="1" applyAlignment="1" applyProtection="1">
      <alignment horizontal="center" vertical="center"/>
      <protection hidden="1"/>
    </xf>
    <xf numFmtId="0" fontId="88" fillId="2" borderId="0" xfId="0" applyFont="1" applyFill="1" applyAlignment="1" applyProtection="1">
      <alignment horizontal="center" vertical="center"/>
      <protection hidden="1"/>
    </xf>
    <xf numFmtId="0" fontId="86" fillId="2" borderId="0" xfId="0" applyFont="1" applyFill="1" applyProtection="1">
      <alignment vertical="center"/>
      <protection hidden="1"/>
    </xf>
    <xf numFmtId="0" fontId="86" fillId="2" borderId="0" xfId="0" applyFont="1" applyFill="1" applyAlignment="1" applyProtection="1">
      <alignment horizontal="center" vertical="center"/>
      <protection hidden="1"/>
    </xf>
    <xf numFmtId="0" fontId="88" fillId="2" borderId="0" xfId="0" applyFont="1" applyFill="1" applyAlignment="1" applyProtection="1">
      <alignment horizontal="right" vertical="center"/>
      <protection hidden="1"/>
    </xf>
    <xf numFmtId="0" fontId="89" fillId="45" borderId="97" xfId="0" applyFont="1" applyFill="1" applyBorder="1" applyAlignment="1">
      <alignment horizontal="center" vertical="center"/>
    </xf>
    <xf numFmtId="0" fontId="90" fillId="41" borderId="120" xfId="0" applyFont="1" applyFill="1" applyBorder="1" applyAlignment="1">
      <alignment horizontal="center" vertical="center"/>
    </xf>
    <xf numFmtId="0" fontId="90" fillId="0" borderId="0" xfId="0" applyFont="1">
      <alignment vertical="center"/>
    </xf>
    <xf numFmtId="0" fontId="88" fillId="3" borderId="0" xfId="0" applyFont="1" applyFill="1" applyAlignment="1" applyProtection="1">
      <alignment horizontal="center" vertical="center" wrapText="1"/>
      <protection hidden="1"/>
    </xf>
    <xf numFmtId="0" fontId="88" fillId="3" borderId="0" xfId="0" applyFont="1" applyFill="1" applyAlignment="1" applyProtection="1">
      <alignment horizontal="center" vertical="center"/>
      <protection hidden="1"/>
    </xf>
    <xf numFmtId="0" fontId="89" fillId="45" borderId="98" xfId="0" applyFont="1" applyFill="1" applyBorder="1" applyAlignment="1">
      <alignment horizontal="center" vertical="center"/>
    </xf>
    <xf numFmtId="0" fontId="89" fillId="45" borderId="80" xfId="0" applyFont="1" applyFill="1" applyBorder="1" applyAlignment="1">
      <alignment horizontal="center" vertical="center"/>
    </xf>
    <xf numFmtId="0" fontId="86" fillId="38" borderId="0" xfId="0" applyFont="1" applyFill="1" applyAlignment="1" applyProtection="1">
      <alignment horizontal="center" vertical="center"/>
      <protection locked="0"/>
    </xf>
    <xf numFmtId="0" fontId="86" fillId="3" borderId="0" xfId="0" applyFont="1" applyFill="1" applyProtection="1">
      <alignment vertical="center"/>
      <protection hidden="1"/>
    </xf>
    <xf numFmtId="180" fontId="88" fillId="3" borderId="0" xfId="0" applyNumberFormat="1" applyFont="1" applyFill="1" applyAlignment="1" applyProtection="1">
      <alignment horizontal="center" vertical="center"/>
      <protection hidden="1"/>
    </xf>
    <xf numFmtId="0" fontId="89" fillId="45" borderId="80" xfId="0" applyFont="1" applyFill="1" applyBorder="1" applyAlignment="1" applyProtection="1">
      <alignment horizontal="center" vertical="center"/>
      <protection hidden="1"/>
    </xf>
    <xf numFmtId="9" fontId="88" fillId="46" borderId="80" xfId="0" applyNumberFormat="1" applyFont="1" applyFill="1" applyBorder="1" applyAlignment="1" applyProtection="1">
      <alignment horizontal="center" vertical="center"/>
      <protection locked="0"/>
    </xf>
    <xf numFmtId="0" fontId="89" fillId="45" borderId="97" xfId="0" applyFont="1" applyFill="1" applyBorder="1" applyAlignment="1" applyProtection="1">
      <alignment horizontal="center" vertical="center"/>
      <protection hidden="1"/>
    </xf>
    <xf numFmtId="0" fontId="91" fillId="0" borderId="0" xfId="0" applyFont="1">
      <alignment vertical="center"/>
    </xf>
    <xf numFmtId="0" fontId="89" fillId="0" borderId="80" xfId="0" applyFont="1" applyBorder="1" applyAlignment="1" applyProtection="1">
      <alignment horizontal="center" vertical="center"/>
      <protection hidden="1"/>
    </xf>
    <xf numFmtId="0" fontId="89" fillId="3" borderId="118" xfId="0" applyFont="1" applyFill="1" applyBorder="1" applyAlignment="1">
      <alignment horizontal="center" vertical="center"/>
    </xf>
    <xf numFmtId="0" fontId="91" fillId="0" borderId="118" xfId="0" applyFont="1" applyBorder="1">
      <alignment vertical="center"/>
    </xf>
    <xf numFmtId="0" fontId="89" fillId="45" borderId="98" xfId="0" applyFont="1" applyFill="1" applyBorder="1" applyAlignment="1" applyProtection="1">
      <alignment horizontal="center" vertical="center"/>
      <protection hidden="1"/>
    </xf>
    <xf numFmtId="0" fontId="87" fillId="3" borderId="0" xfId="0" applyFont="1" applyFill="1" applyAlignment="1" applyProtection="1">
      <alignment horizontal="center" vertical="center"/>
      <protection hidden="1"/>
    </xf>
    <xf numFmtId="178" fontId="92" fillId="3" borderId="0" xfId="0" applyNumberFormat="1" applyFont="1" applyFill="1" applyAlignment="1" applyProtection="1">
      <alignment horizontal="center" vertical="center"/>
      <protection hidden="1"/>
    </xf>
    <xf numFmtId="0" fontId="88" fillId="3" borderId="0" xfId="0" applyFont="1" applyFill="1" applyProtection="1">
      <alignment vertical="center"/>
      <protection hidden="1"/>
    </xf>
    <xf numFmtId="0" fontId="89" fillId="3" borderId="109" xfId="0" applyFont="1" applyFill="1" applyBorder="1" applyProtection="1">
      <alignment vertical="center"/>
      <protection hidden="1"/>
    </xf>
    <xf numFmtId="0" fontId="89" fillId="3" borderId="0" xfId="0" applyFont="1" applyFill="1" applyProtection="1">
      <alignment vertical="center"/>
      <protection hidden="1"/>
    </xf>
    <xf numFmtId="9" fontId="88" fillId="46" borderId="94" xfId="2" applyFont="1" applyFill="1" applyBorder="1" applyAlignment="1" applyProtection="1">
      <alignment horizontal="center" vertical="center"/>
      <protection locked="0"/>
    </xf>
    <xf numFmtId="0" fontId="86" fillId="0" borderId="112" xfId="0" applyFont="1" applyBorder="1">
      <alignment vertical="center"/>
    </xf>
    <xf numFmtId="0" fontId="89" fillId="45" borderId="117" xfId="0" applyFont="1" applyFill="1" applyBorder="1" applyProtection="1">
      <alignment vertical="center"/>
      <protection hidden="1"/>
    </xf>
    <xf numFmtId="0" fontId="86" fillId="2" borderId="19" xfId="0" applyFont="1" applyFill="1" applyBorder="1" applyAlignment="1" applyProtection="1">
      <alignment horizontal="left" vertical="center"/>
      <protection hidden="1"/>
    </xf>
    <xf numFmtId="9" fontId="88" fillId="46" borderId="0" xfId="0" applyNumberFormat="1" applyFont="1" applyFill="1" applyAlignment="1" applyProtection="1">
      <alignment horizontal="center" vertical="center"/>
      <protection locked="0"/>
    </xf>
    <xf numFmtId="0" fontId="86" fillId="2" borderId="0" xfId="0" applyFont="1" applyFill="1" applyAlignment="1" applyProtection="1">
      <alignment horizontal="left" vertical="center"/>
      <protection hidden="1"/>
    </xf>
    <xf numFmtId="0" fontId="86" fillId="2" borderId="30" xfId="0" applyFont="1" applyFill="1" applyBorder="1" applyAlignment="1" applyProtection="1">
      <alignment horizontal="left" vertical="center"/>
      <protection hidden="1"/>
    </xf>
    <xf numFmtId="10" fontId="97" fillId="46" borderId="80" xfId="0" applyNumberFormat="1" applyFont="1" applyFill="1" applyBorder="1" applyAlignment="1" applyProtection="1">
      <alignment horizontal="center" vertical="center"/>
      <protection locked="0"/>
    </xf>
    <xf numFmtId="0" fontId="86" fillId="3" borderId="0" xfId="0" applyFont="1" applyFill="1" applyAlignment="1" applyProtection="1">
      <alignment horizontal="center" vertical="center" wrapText="1"/>
      <protection hidden="1"/>
    </xf>
    <xf numFmtId="0" fontId="86" fillId="0" borderId="0" xfId="0" applyFont="1" applyAlignment="1" applyProtection="1">
      <alignment horizontal="center" vertical="center"/>
      <protection hidden="1"/>
    </xf>
    <xf numFmtId="0" fontId="86" fillId="44" borderId="80" xfId="0" applyFont="1" applyFill="1" applyBorder="1" applyAlignment="1" applyProtection="1">
      <alignment horizontal="center" vertical="center"/>
      <protection hidden="1"/>
    </xf>
    <xf numFmtId="0" fontId="98" fillId="2" borderId="0" xfId="0" applyFont="1" applyFill="1" applyProtection="1">
      <alignment vertical="center"/>
      <protection hidden="1"/>
    </xf>
    <xf numFmtId="0" fontId="86" fillId="2" borderId="32" xfId="0" applyFont="1" applyFill="1" applyBorder="1" applyProtection="1">
      <alignment vertical="center"/>
      <protection hidden="1"/>
    </xf>
    <xf numFmtId="10" fontId="96" fillId="45" borderId="0" xfId="2" applyNumberFormat="1" applyFont="1" applyFill="1" applyAlignment="1">
      <alignment horizontal="center" vertical="center"/>
    </xf>
    <xf numFmtId="0" fontId="86" fillId="2" borderId="30" xfId="0" applyFont="1" applyFill="1" applyBorder="1" applyProtection="1">
      <alignment vertical="center"/>
      <protection hidden="1"/>
    </xf>
    <xf numFmtId="0" fontId="86" fillId="3" borderId="30" xfId="0" applyFont="1" applyFill="1" applyBorder="1" applyProtection="1">
      <alignment vertical="center"/>
      <protection hidden="1"/>
    </xf>
    <xf numFmtId="0" fontId="86" fillId="2" borderId="33" xfId="0" applyFont="1" applyFill="1" applyBorder="1" applyProtection="1">
      <alignment vertical="center"/>
      <protection hidden="1"/>
    </xf>
    <xf numFmtId="0" fontId="100" fillId="2" borderId="30" xfId="0" applyFont="1" applyFill="1" applyBorder="1" applyProtection="1">
      <alignment vertical="center"/>
      <protection hidden="1"/>
    </xf>
    <xf numFmtId="176" fontId="86" fillId="0" borderId="0" xfId="0" applyNumberFormat="1" applyFont="1">
      <alignment vertical="center"/>
    </xf>
    <xf numFmtId="194" fontId="86" fillId="0" borderId="0" xfId="0" applyNumberFormat="1" applyFont="1">
      <alignment vertical="center"/>
    </xf>
    <xf numFmtId="178" fontId="86" fillId="0" borderId="0" xfId="1" applyFont="1">
      <alignment vertical="center"/>
    </xf>
    <xf numFmtId="182" fontId="86" fillId="0" borderId="0" xfId="0" applyNumberFormat="1" applyFont="1" applyProtection="1">
      <alignment vertical="center"/>
      <protection locked="0"/>
    </xf>
    <xf numFmtId="0" fontId="5" fillId="0" borderId="0" xfId="0" applyFont="1">
      <alignment vertical="center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180" fontId="5" fillId="3" borderId="0" xfId="0" applyNumberFormat="1" applyFont="1" applyFill="1" applyAlignment="1" applyProtection="1">
      <alignment horizontal="center" vertical="center"/>
      <protection locked="0"/>
    </xf>
    <xf numFmtId="0" fontId="5" fillId="3" borderId="0" xfId="0" applyFont="1" applyFill="1" applyProtection="1">
      <alignment vertical="center"/>
      <protection locked="0"/>
    </xf>
    <xf numFmtId="10" fontId="5" fillId="0" borderId="0" xfId="2" applyNumberFormat="1" applyFont="1">
      <alignment vertical="center"/>
    </xf>
    <xf numFmtId="178" fontId="75" fillId="0" borderId="52" xfId="1" applyFont="1" applyBorder="1" applyProtection="1">
      <alignment vertical="center"/>
      <protection locked="0"/>
    </xf>
    <xf numFmtId="0" fontId="75" fillId="0" borderId="52" xfId="0" applyFont="1" applyBorder="1" applyAlignment="1" applyProtection="1">
      <alignment horizontal="center" vertical="center"/>
      <protection locked="0"/>
    </xf>
    <xf numFmtId="178" fontId="5" fillId="3" borderId="0" xfId="1" applyFont="1" applyFill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right" vertical="center"/>
      <protection locked="0"/>
    </xf>
    <xf numFmtId="0" fontId="5" fillId="38" borderId="0" xfId="0" applyFont="1" applyFill="1" applyProtection="1">
      <alignment vertical="center"/>
      <protection locked="0"/>
    </xf>
    <xf numFmtId="9" fontId="5" fillId="38" borderId="0" xfId="2" applyFont="1" applyFill="1" applyProtection="1">
      <alignment vertical="center"/>
      <protection locked="0"/>
    </xf>
    <xf numFmtId="9" fontId="5" fillId="38" borderId="0" xfId="2" applyFont="1" applyFill="1" applyAlignment="1" applyProtection="1">
      <alignment vertical="center"/>
      <protection locked="0"/>
    </xf>
    <xf numFmtId="9" fontId="5" fillId="3" borderId="0" xfId="2" applyFont="1" applyFill="1" applyAlignment="1" applyProtection="1">
      <alignment vertical="center"/>
      <protection locked="0"/>
    </xf>
    <xf numFmtId="10" fontId="5" fillId="38" borderId="62" xfId="2" applyNumberFormat="1" applyFont="1" applyFill="1" applyBorder="1" applyProtection="1">
      <alignment vertical="center"/>
      <protection locked="0"/>
    </xf>
    <xf numFmtId="0" fontId="5" fillId="0" borderId="62" xfId="0" applyFont="1" applyBorder="1" applyAlignment="1" applyProtection="1">
      <alignment horizontal="center" vertical="center"/>
      <protection locked="0"/>
    </xf>
    <xf numFmtId="0" fontId="5" fillId="38" borderId="62" xfId="0" applyFont="1" applyFill="1" applyBorder="1" applyProtection="1">
      <alignment vertical="center"/>
      <protection locked="0"/>
    </xf>
    <xf numFmtId="0" fontId="5" fillId="52" borderId="62" xfId="0" applyFont="1" applyFill="1" applyBorder="1" applyAlignment="1" applyProtection="1">
      <alignment horizontal="center" vertical="center"/>
      <protection locked="0"/>
    </xf>
    <xf numFmtId="10" fontId="5" fillId="41" borderId="0" xfId="0" applyNumberFormat="1" applyFont="1" applyFill="1">
      <alignment vertical="center"/>
    </xf>
    <xf numFmtId="9" fontId="5" fillId="41" borderId="0" xfId="0" applyNumberFormat="1" applyFont="1" applyFill="1">
      <alignment vertical="center"/>
    </xf>
    <xf numFmtId="189" fontId="5" fillId="0" borderId="0" xfId="0" applyNumberFormat="1" applyFont="1" applyProtection="1">
      <alignment vertical="center"/>
      <protection locked="0"/>
    </xf>
    <xf numFmtId="10" fontId="5" fillId="38" borderId="62" xfId="0" applyNumberFormat="1" applyFont="1" applyFill="1" applyBorder="1" applyProtection="1">
      <alignment vertical="center"/>
      <protection locked="0"/>
    </xf>
    <xf numFmtId="187" fontId="5" fillId="38" borderId="62" xfId="0" applyNumberFormat="1" applyFont="1" applyFill="1" applyBorder="1" applyAlignment="1" applyProtection="1">
      <alignment horizontal="center" vertical="center"/>
      <protection locked="0"/>
    </xf>
    <xf numFmtId="178" fontId="5" fillId="38" borderId="62" xfId="1" applyFont="1" applyFill="1" applyBorder="1" applyAlignment="1" applyProtection="1">
      <alignment horizontal="center" vertical="center"/>
      <protection locked="0"/>
    </xf>
    <xf numFmtId="0" fontId="5" fillId="43" borderId="62" xfId="0" applyFont="1" applyFill="1" applyBorder="1" applyAlignment="1" applyProtection="1">
      <alignment horizontal="center" vertical="center"/>
      <protection locked="0"/>
    </xf>
    <xf numFmtId="189" fontId="5" fillId="43" borderId="62" xfId="0" applyNumberFormat="1" applyFont="1" applyFill="1" applyBorder="1" applyAlignment="1" applyProtection="1">
      <alignment horizontal="center" vertical="center"/>
      <protection locked="0"/>
    </xf>
    <xf numFmtId="10" fontId="5" fillId="43" borderId="62" xfId="2" applyNumberFormat="1" applyFont="1" applyFill="1" applyBorder="1" applyAlignment="1" applyProtection="1">
      <alignment horizontal="center" vertical="center"/>
      <protection locked="0"/>
    </xf>
    <xf numFmtId="0" fontId="5" fillId="43" borderId="62" xfId="0" applyFont="1" applyFill="1" applyBorder="1" applyProtection="1">
      <alignment vertical="center"/>
      <protection locked="0"/>
    </xf>
    <xf numFmtId="188" fontId="5" fillId="0" borderId="62" xfId="0" applyNumberFormat="1" applyFont="1" applyBorder="1" applyAlignment="1" applyProtection="1">
      <alignment horizontal="center" vertical="center"/>
      <protection locked="0"/>
    </xf>
    <xf numFmtId="176" fontId="5" fillId="0" borderId="62" xfId="0" applyNumberFormat="1" applyFont="1" applyBorder="1" applyAlignment="1" applyProtection="1">
      <alignment horizontal="center" vertical="center"/>
      <protection locked="0"/>
    </xf>
    <xf numFmtId="0" fontId="5" fillId="3" borderId="0" xfId="15" applyFont="1" applyFill="1" applyProtection="1">
      <alignment vertical="center"/>
      <protection locked="0"/>
    </xf>
    <xf numFmtId="176" fontId="5" fillId="0" borderId="0" xfId="0" applyNumberFormat="1" applyFont="1" applyProtection="1">
      <alignment vertical="center"/>
      <protection locked="0"/>
    </xf>
    <xf numFmtId="10" fontId="5" fillId="0" borderId="0" xfId="2" applyNumberFormat="1" applyFont="1" applyProtection="1">
      <alignment vertical="center"/>
      <protection locked="0"/>
    </xf>
    <xf numFmtId="179" fontId="5" fillId="0" borderId="0" xfId="0" applyNumberFormat="1" applyFont="1" applyProtection="1">
      <alignment vertical="center"/>
      <protection locked="0"/>
    </xf>
    <xf numFmtId="182" fontId="5" fillId="38" borderId="0" xfId="0" applyNumberFormat="1" applyFont="1" applyFill="1">
      <alignment vertical="center"/>
    </xf>
    <xf numFmtId="182" fontId="5" fillId="3" borderId="0" xfId="0" applyNumberFormat="1" applyFont="1" applyFill="1" applyProtection="1">
      <alignment vertical="center"/>
      <protection locked="0"/>
    </xf>
    <xf numFmtId="9" fontId="5" fillId="41" borderId="0" xfId="0" applyNumberFormat="1" applyFont="1" applyFill="1" applyProtection="1">
      <alignment vertical="center"/>
      <protection locked="0"/>
    </xf>
    <xf numFmtId="9" fontId="5" fillId="38" borderId="0" xfId="0" applyNumberFormat="1" applyFont="1" applyFill="1" applyProtection="1">
      <alignment vertical="center"/>
      <protection locked="0"/>
    </xf>
    <xf numFmtId="182" fontId="5" fillId="38" borderId="0" xfId="0" applyNumberFormat="1" applyFont="1" applyFill="1" applyProtection="1">
      <alignment vertical="center"/>
      <protection locked="0"/>
    </xf>
    <xf numFmtId="176" fontId="5" fillId="41" borderId="0" xfId="0" applyNumberFormat="1" applyFont="1" applyFill="1">
      <alignment vertical="center"/>
    </xf>
    <xf numFmtId="176" fontId="5" fillId="0" borderId="0" xfId="0" applyNumberFormat="1" applyFont="1">
      <alignment vertical="center"/>
    </xf>
    <xf numFmtId="0" fontId="5" fillId="38" borderId="0" xfId="15" applyFont="1" applyFill="1" applyProtection="1">
      <alignment vertical="center"/>
      <protection locked="0"/>
    </xf>
    <xf numFmtId="0" fontId="5" fillId="0" borderId="67" xfId="0" applyFont="1" applyBorder="1" applyProtection="1">
      <alignment vertical="center"/>
      <protection locked="0"/>
    </xf>
    <xf numFmtId="0" fontId="5" fillId="0" borderId="68" xfId="0" applyFont="1" applyBorder="1" applyProtection="1">
      <alignment vertical="center"/>
      <protection locked="0"/>
    </xf>
    <xf numFmtId="0" fontId="5" fillId="0" borderId="69" xfId="0" applyFont="1" applyBorder="1" applyProtection="1">
      <alignment vertical="center"/>
      <protection locked="0"/>
    </xf>
    <xf numFmtId="9" fontId="5" fillId="0" borderId="0" xfId="2" applyFont="1" applyBorder="1" applyProtection="1">
      <alignment vertical="center"/>
      <protection locked="0"/>
    </xf>
    <xf numFmtId="10" fontId="5" fillId="0" borderId="0" xfId="2" applyNumberFormat="1" applyFont="1" applyBorder="1" applyProtection="1">
      <alignment vertical="center"/>
      <protection locked="0"/>
    </xf>
    <xf numFmtId="0" fontId="5" fillId="0" borderId="71" xfId="0" applyFont="1" applyBorder="1" applyProtection="1">
      <alignment vertical="center"/>
      <protection locked="0"/>
    </xf>
    <xf numFmtId="0" fontId="5" fillId="0" borderId="70" xfId="0" applyFont="1" applyBorder="1" applyProtection="1">
      <alignment vertical="center"/>
      <protection locked="0"/>
    </xf>
    <xf numFmtId="10" fontId="5" fillId="0" borderId="70" xfId="0" applyNumberFormat="1" applyFont="1" applyBorder="1" applyProtection="1">
      <alignment vertical="center"/>
      <protection locked="0"/>
    </xf>
    <xf numFmtId="10" fontId="5" fillId="0" borderId="0" xfId="0" applyNumberFormat="1" applyFont="1" applyProtection="1">
      <alignment vertical="center"/>
      <protection locked="0"/>
    </xf>
    <xf numFmtId="178" fontId="5" fillId="0" borderId="0" xfId="0" applyNumberFormat="1" applyFont="1">
      <alignment vertical="center"/>
    </xf>
    <xf numFmtId="176" fontId="77" fillId="0" borderId="0" xfId="0" applyNumberFormat="1" applyFont="1">
      <alignment vertical="center"/>
    </xf>
    <xf numFmtId="182" fontId="5" fillId="0" borderId="70" xfId="0" applyNumberFormat="1" applyFont="1" applyBorder="1" applyProtection="1">
      <alignment vertical="center"/>
      <protection locked="0"/>
    </xf>
    <xf numFmtId="182" fontId="5" fillId="0" borderId="0" xfId="0" applyNumberFormat="1" applyFont="1" applyProtection="1">
      <alignment vertical="center"/>
      <protection locked="0"/>
    </xf>
    <xf numFmtId="1" fontId="5" fillId="0" borderId="0" xfId="0" applyNumberFormat="1" applyFont="1" applyProtection="1">
      <alignment vertical="center"/>
      <protection locked="0"/>
    </xf>
    <xf numFmtId="0" fontId="5" fillId="0" borderId="62" xfId="0" applyFont="1" applyBorder="1" applyProtection="1">
      <alignment vertical="center"/>
      <protection locked="0"/>
    </xf>
    <xf numFmtId="10" fontId="5" fillId="0" borderId="62" xfId="2" applyNumberFormat="1" applyFont="1" applyBorder="1" applyProtection="1">
      <alignment vertical="center"/>
      <protection locked="0"/>
    </xf>
    <xf numFmtId="178" fontId="5" fillId="0" borderId="62" xfId="1" applyFont="1" applyBorder="1" applyProtection="1">
      <alignment vertical="center"/>
      <protection locked="0"/>
    </xf>
    <xf numFmtId="0" fontId="5" fillId="0" borderId="72" xfId="0" applyFont="1" applyBorder="1" applyProtection="1">
      <alignment vertical="center"/>
      <protection locked="0"/>
    </xf>
    <xf numFmtId="0" fontId="5" fillId="0" borderId="73" xfId="0" applyFont="1" applyBorder="1" applyProtection="1">
      <alignment vertical="center"/>
      <protection locked="0"/>
    </xf>
    <xf numFmtId="0" fontId="5" fillId="0" borderId="74" xfId="0" applyFont="1" applyBorder="1" applyProtection="1">
      <alignment vertical="center"/>
      <protection locked="0"/>
    </xf>
    <xf numFmtId="0" fontId="5" fillId="3" borderId="0" xfId="0" applyFont="1" applyFill="1">
      <alignment vertical="center"/>
    </xf>
    <xf numFmtId="195" fontId="5" fillId="0" borderId="0" xfId="1" applyNumberFormat="1" applyFont="1" applyBorder="1" applyProtection="1">
      <alignment vertical="center"/>
      <protection locked="0"/>
    </xf>
    <xf numFmtId="0" fontId="5" fillId="51" borderId="62" xfId="0" applyFont="1" applyFill="1" applyBorder="1" applyProtection="1">
      <alignment vertical="center"/>
      <protection locked="0"/>
    </xf>
    <xf numFmtId="0" fontId="5" fillId="41" borderId="62" xfId="0" applyFont="1" applyFill="1" applyBorder="1">
      <alignment vertical="center"/>
    </xf>
    <xf numFmtId="10" fontId="5" fillId="3" borderId="0" xfId="0" applyNumberFormat="1" applyFont="1" applyFill="1" applyProtection="1">
      <alignment vertical="center"/>
      <protection locked="0"/>
    </xf>
    <xf numFmtId="0" fontId="5" fillId="41" borderId="62" xfId="0" applyFont="1" applyFill="1" applyBorder="1" applyProtection="1">
      <alignment vertical="center"/>
      <protection locked="0"/>
    </xf>
    <xf numFmtId="0" fontId="5" fillId="51" borderId="0" xfId="0" applyFont="1" applyFill="1" applyProtection="1">
      <alignment vertical="center"/>
      <protection locked="0"/>
    </xf>
    <xf numFmtId="0" fontId="5" fillId="41" borderId="108" xfId="0" applyFont="1" applyFill="1" applyBorder="1" applyProtection="1">
      <alignment vertical="center"/>
      <protection locked="0"/>
    </xf>
    <xf numFmtId="0" fontId="5" fillId="0" borderId="62" xfId="0" applyFont="1" applyBorder="1" applyAlignment="1">
      <alignment horizontal="left" vertical="center"/>
    </xf>
    <xf numFmtId="0" fontId="26" fillId="41" borderId="62" xfId="0" applyFont="1" applyFill="1" applyBorder="1" applyProtection="1">
      <alignment vertical="center"/>
      <protection locked="0"/>
    </xf>
    <xf numFmtId="0" fontId="103" fillId="44" borderId="98" xfId="0" applyFont="1" applyFill="1" applyBorder="1" applyAlignment="1" applyProtection="1">
      <alignment horizontal="center" vertical="center"/>
      <protection hidden="1"/>
    </xf>
    <xf numFmtId="9" fontId="102" fillId="0" borderId="98" xfId="2" applyFont="1" applyBorder="1" applyAlignment="1" applyProtection="1">
      <alignment horizontal="center" vertical="center"/>
      <protection hidden="1"/>
    </xf>
    <xf numFmtId="0" fontId="89" fillId="45" borderId="95" xfId="0" applyFont="1" applyFill="1" applyBorder="1" applyAlignment="1" applyProtection="1">
      <alignment horizontal="center" vertical="center"/>
      <protection hidden="1"/>
    </xf>
    <xf numFmtId="178" fontId="5" fillId="3" borderId="56" xfId="0" applyNumberFormat="1" applyFont="1" applyFill="1" applyBorder="1" applyAlignment="1" applyProtection="1">
      <alignment horizontal="center" vertical="center"/>
      <protection locked="0"/>
    </xf>
    <xf numFmtId="178" fontId="5" fillId="3" borderId="56" xfId="0" applyNumberFormat="1" applyFont="1" applyFill="1" applyBorder="1" applyProtection="1">
      <alignment vertical="center"/>
      <protection locked="0"/>
    </xf>
    <xf numFmtId="0" fontId="8" fillId="0" borderId="0" xfId="3">
      <alignment vertical="center"/>
    </xf>
    <xf numFmtId="0" fontId="8" fillId="0" borderId="0" xfId="3" applyProtection="1">
      <alignment vertical="center"/>
      <protection locked="0"/>
    </xf>
    <xf numFmtId="0" fontId="84" fillId="53" borderId="0" xfId="0" applyFont="1" applyFill="1" applyAlignment="1">
      <alignment horizontal="left" vertical="center" wrapText="1"/>
    </xf>
    <xf numFmtId="0" fontId="84" fillId="54" borderId="0" xfId="0" applyFont="1" applyFill="1" applyAlignment="1">
      <alignment horizontal="left" vertical="center" wrapText="1"/>
    </xf>
    <xf numFmtId="0" fontId="0" fillId="41" borderId="0" xfId="0" applyFill="1" applyProtection="1">
      <alignment vertical="center"/>
      <protection locked="0"/>
    </xf>
    <xf numFmtId="0" fontId="8" fillId="41" borderId="0" xfId="3" applyFill="1">
      <alignment vertical="center"/>
    </xf>
    <xf numFmtId="0" fontId="0" fillId="41" borderId="0" xfId="0" applyFill="1">
      <alignment vertical="center"/>
    </xf>
    <xf numFmtId="0" fontId="8" fillId="3" borderId="0" xfId="3" applyFill="1">
      <alignment vertical="center"/>
    </xf>
    <xf numFmtId="0" fontId="41" fillId="44" borderId="0" xfId="0" applyFont="1" applyFill="1" applyProtection="1">
      <alignment vertical="center"/>
      <protection locked="0"/>
    </xf>
    <xf numFmtId="0" fontId="0" fillId="44" borderId="0" xfId="0" applyFill="1">
      <alignment vertical="center"/>
    </xf>
    <xf numFmtId="0" fontId="0" fillId="44" borderId="0" xfId="0" applyFill="1" applyProtection="1">
      <alignment vertical="center"/>
      <protection locked="0"/>
    </xf>
    <xf numFmtId="0" fontId="41" fillId="41" borderId="0" xfId="0" applyFont="1" applyFill="1" applyProtection="1">
      <alignment vertical="center"/>
      <protection locked="0"/>
    </xf>
    <xf numFmtId="0" fontId="79" fillId="3" borderId="0" xfId="3" applyFont="1" applyFill="1">
      <alignment vertical="center"/>
    </xf>
    <xf numFmtId="0" fontId="0" fillId="41" borderId="62" xfId="0" applyFill="1" applyBorder="1" applyProtection="1">
      <alignment vertical="center"/>
      <protection locked="0"/>
    </xf>
    <xf numFmtId="0" fontId="91" fillId="0" borderId="0" xfId="0" applyFont="1" applyAlignment="1">
      <alignment vertical="center" wrapText="1"/>
    </xf>
    <xf numFmtId="10" fontId="105" fillId="3" borderId="62" xfId="11638" applyNumberFormat="1" applyFont="1" applyFill="1" applyBorder="1" applyAlignment="1">
      <alignment horizontal="center" vertical="center"/>
    </xf>
    <xf numFmtId="0" fontId="41" fillId="44" borderId="0" xfId="0" applyFont="1" applyFill="1">
      <alignment vertical="center"/>
    </xf>
    <xf numFmtId="195" fontId="26" fillId="0" borderId="0" xfId="2" applyNumberFormat="1" applyFont="1" applyProtection="1">
      <alignment vertical="center"/>
      <protection locked="0"/>
    </xf>
    <xf numFmtId="178" fontId="5" fillId="0" borderId="0" xfId="1" applyFont="1" applyBorder="1" applyProtection="1">
      <alignment vertical="center"/>
      <protection locked="0"/>
    </xf>
    <xf numFmtId="176" fontId="98" fillId="0" borderId="0" xfId="0" applyNumberFormat="1" applyFont="1">
      <alignment vertical="center"/>
    </xf>
    <xf numFmtId="0" fontId="98" fillId="0" borderId="0" xfId="0" applyFont="1">
      <alignment vertical="center"/>
    </xf>
    <xf numFmtId="178" fontId="98" fillId="41" borderId="0" xfId="1" applyFont="1" applyFill="1">
      <alignment vertical="center"/>
    </xf>
    <xf numFmtId="182" fontId="11" fillId="0" borderId="70" xfId="0" applyNumberFormat="1" applyFont="1" applyBorder="1" applyProtection="1">
      <alignment vertical="center"/>
      <protection locked="0"/>
    </xf>
    <xf numFmtId="0" fontId="108" fillId="0" borderId="0" xfId="0" applyFont="1" applyAlignment="1">
      <alignment horizontal="center" vertical="center"/>
    </xf>
    <xf numFmtId="0" fontId="104" fillId="0" borderId="0" xfId="0" applyFont="1">
      <alignment vertical="center"/>
    </xf>
    <xf numFmtId="0" fontId="26" fillId="0" borderId="0" xfId="0" applyFont="1" applyAlignment="1" applyProtection="1">
      <alignment vertical="center" wrapText="1"/>
      <protection hidden="1"/>
    </xf>
    <xf numFmtId="0" fontId="86" fillId="41" borderId="0" xfId="0" applyFont="1" applyFill="1">
      <alignment vertical="center"/>
    </xf>
    <xf numFmtId="0" fontId="11" fillId="0" borderId="0" xfId="0" applyFont="1">
      <alignment vertical="center"/>
    </xf>
    <xf numFmtId="0" fontId="26" fillId="0" borderId="62" xfId="0" applyFont="1" applyBorder="1" applyAlignment="1" applyProtection="1">
      <alignment horizontal="right" vertical="center"/>
      <protection locked="0"/>
    </xf>
    <xf numFmtId="0" fontId="86" fillId="0" borderId="62" xfId="0" applyFont="1" applyBorder="1">
      <alignment vertical="center"/>
    </xf>
    <xf numFmtId="178" fontId="86" fillId="0" borderId="62" xfId="1" applyFont="1" applyBorder="1">
      <alignment vertical="center"/>
    </xf>
    <xf numFmtId="0" fontId="86" fillId="47" borderId="62" xfId="0" applyFont="1" applyFill="1" applyBorder="1" applyAlignment="1">
      <alignment horizontal="center" vertical="center"/>
    </xf>
    <xf numFmtId="0" fontId="86" fillId="47" borderId="62" xfId="0" applyFont="1" applyFill="1" applyBorder="1">
      <alignment vertical="center"/>
    </xf>
    <xf numFmtId="0" fontId="113" fillId="45" borderId="95" xfId="0" applyFont="1" applyFill="1" applyBorder="1" applyAlignment="1" applyProtection="1">
      <alignment horizontal="center" vertical="center" wrapText="1"/>
      <protection hidden="1"/>
    </xf>
    <xf numFmtId="0" fontId="5" fillId="0" borderId="62" xfId="0" applyFont="1" applyBorder="1" applyAlignment="1">
      <alignment horizontal="center" vertical="center"/>
    </xf>
    <xf numFmtId="10" fontId="102" fillId="46" borderId="0" xfId="0" applyNumberFormat="1" applyFont="1" applyFill="1" applyAlignment="1" applyProtection="1">
      <alignment horizontal="center" vertical="center"/>
      <protection locked="0"/>
    </xf>
    <xf numFmtId="188" fontId="97" fillId="0" borderId="80" xfId="0" applyNumberFormat="1" applyFont="1" applyBorder="1" applyProtection="1">
      <alignment vertical="center"/>
      <protection hidden="1"/>
    </xf>
    <xf numFmtId="0" fontId="11" fillId="38" borderId="62" xfId="0" applyFont="1" applyFill="1" applyBorder="1" applyAlignment="1" applyProtection="1">
      <alignment horizontal="center" vertical="center"/>
      <protection locked="0"/>
    </xf>
    <xf numFmtId="9" fontId="115" fillId="0" borderId="62" xfId="0" applyNumberFormat="1" applyFont="1" applyBorder="1" applyProtection="1">
      <alignment vertical="center"/>
      <protection locked="0"/>
    </xf>
    <xf numFmtId="0" fontId="115" fillId="0" borderId="62" xfId="0" applyFont="1" applyBorder="1" applyProtection="1">
      <alignment vertical="center"/>
      <protection locked="0"/>
    </xf>
    <xf numFmtId="0" fontId="11" fillId="38" borderId="90" xfId="0" applyFont="1" applyFill="1" applyBorder="1" applyAlignment="1" applyProtection="1">
      <alignment horizontal="center" vertical="center"/>
      <protection locked="0"/>
    </xf>
    <xf numFmtId="9" fontId="115" fillId="0" borderId="91" xfId="0" applyNumberFormat="1" applyFont="1" applyBorder="1" applyProtection="1">
      <alignment vertical="center"/>
      <protection locked="0"/>
    </xf>
    <xf numFmtId="0" fontId="11" fillId="38" borderId="88" xfId="0" applyFont="1" applyFill="1" applyBorder="1" applyAlignment="1" applyProtection="1">
      <alignment horizontal="center" vertical="center"/>
      <protection locked="0"/>
    </xf>
    <xf numFmtId="9" fontId="115" fillId="0" borderId="147" xfId="0" applyNumberFormat="1" applyFont="1" applyBorder="1" applyProtection="1">
      <alignment vertical="center"/>
      <protection locked="0"/>
    </xf>
    <xf numFmtId="0" fontId="115" fillId="0" borderId="147" xfId="0" applyFont="1" applyBorder="1" applyProtection="1">
      <alignment vertical="center"/>
      <protection locked="0"/>
    </xf>
    <xf numFmtId="0" fontId="11" fillId="38" borderId="147" xfId="0" applyFont="1" applyFill="1" applyBorder="1" applyAlignment="1" applyProtection="1">
      <alignment horizontal="center" vertical="center"/>
      <protection locked="0"/>
    </xf>
    <xf numFmtId="9" fontId="115" fillId="0" borderId="89" xfId="0" applyNumberFormat="1" applyFont="1" applyBorder="1" applyProtection="1">
      <alignment vertical="center"/>
      <protection locked="0"/>
    </xf>
    <xf numFmtId="0" fontId="8" fillId="3" borderId="0" xfId="3" applyFill="1" applyAlignment="1" applyProtection="1">
      <alignment horizontal="center" vertical="center"/>
      <protection locked="0"/>
    </xf>
    <xf numFmtId="0" fontId="8" fillId="3" borderId="0" xfId="3" applyFill="1" applyAlignment="1">
      <alignment horizontal="center" vertical="center"/>
    </xf>
    <xf numFmtId="0" fontId="79" fillId="0" borderId="0" xfId="3" applyFont="1">
      <alignment vertical="center"/>
    </xf>
    <xf numFmtId="189" fontId="86" fillId="0" borderId="0" xfId="0" applyNumberFormat="1" applyFont="1">
      <alignment vertical="center"/>
    </xf>
    <xf numFmtId="0" fontId="5" fillId="41" borderId="64" xfId="0" applyFont="1" applyFill="1" applyBorder="1" applyAlignment="1" applyProtection="1">
      <alignment horizontal="center" vertical="center"/>
      <protection locked="0"/>
    </xf>
    <xf numFmtId="0" fontId="5" fillId="41" borderId="108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Alignment="1">
      <alignment horizontal="center" vertical="center"/>
    </xf>
    <xf numFmtId="0" fontId="119" fillId="3" borderId="0" xfId="0" applyFont="1" applyFill="1" applyAlignment="1">
      <alignment horizontal="center" vertical="center"/>
    </xf>
    <xf numFmtId="0" fontId="116" fillId="0" borderId="0" xfId="3" applyFont="1" applyAlignment="1" applyProtection="1">
      <alignment horizontal="center" vertical="center"/>
      <protection locked="0"/>
    </xf>
    <xf numFmtId="0" fontId="103" fillId="3" borderId="62" xfId="0" applyFont="1" applyFill="1" applyBorder="1" applyAlignment="1" applyProtection="1">
      <alignment horizontal="center" vertical="center"/>
      <protection locked="0"/>
    </xf>
    <xf numFmtId="0" fontId="116" fillId="3" borderId="62" xfId="3" applyFont="1" applyFill="1" applyBorder="1" applyAlignment="1">
      <alignment horizontal="center" vertical="center"/>
    </xf>
    <xf numFmtId="0" fontId="103" fillId="3" borderId="62" xfId="0" applyFont="1" applyFill="1" applyBorder="1" applyAlignment="1">
      <alignment horizontal="center" vertical="center"/>
    </xf>
    <xf numFmtId="0" fontId="116" fillId="3" borderId="62" xfId="3" applyFont="1" applyFill="1" applyBorder="1" applyAlignment="1" applyProtection="1">
      <alignment horizontal="center" vertical="center"/>
      <protection locked="0"/>
    </xf>
    <xf numFmtId="0" fontId="117" fillId="3" borderId="62" xfId="0" applyFont="1" applyFill="1" applyBorder="1" applyAlignment="1">
      <alignment horizontal="center" vertical="center"/>
    </xf>
    <xf numFmtId="0" fontId="116" fillId="0" borderId="0" xfId="3" applyFont="1" applyAlignment="1">
      <alignment horizontal="center" vertical="center"/>
    </xf>
    <xf numFmtId="0" fontId="103" fillId="3" borderId="62" xfId="3" applyFont="1" applyFill="1" applyBorder="1" applyAlignment="1">
      <alignment horizontal="center" vertical="center"/>
    </xf>
    <xf numFmtId="0" fontId="120" fillId="0" borderId="6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103" fillId="41" borderId="62" xfId="0" applyFont="1" applyFill="1" applyBorder="1" applyAlignment="1" applyProtection="1">
      <alignment horizontal="center" vertical="center"/>
      <protection locked="0"/>
    </xf>
    <xf numFmtId="178" fontId="77" fillId="41" borderId="62" xfId="1" applyFont="1" applyFill="1" applyBorder="1" applyAlignment="1">
      <alignment horizontal="center" vertical="center"/>
    </xf>
    <xf numFmtId="0" fontId="77" fillId="41" borderId="62" xfId="0" applyFont="1" applyFill="1" applyBorder="1" applyAlignment="1">
      <alignment horizontal="center" vertical="center"/>
    </xf>
    <xf numFmtId="0" fontId="116" fillId="41" borderId="62" xfId="3" applyFont="1" applyFill="1" applyBorder="1" applyAlignment="1">
      <alignment horizontal="center" vertical="center"/>
    </xf>
    <xf numFmtId="0" fontId="120" fillId="41" borderId="62" xfId="0" applyFont="1" applyFill="1" applyBorder="1" applyAlignment="1">
      <alignment horizontal="center" vertical="center"/>
    </xf>
    <xf numFmtId="0" fontId="81" fillId="3" borderId="62" xfId="0" applyFont="1" applyFill="1" applyBorder="1" applyAlignment="1">
      <alignment horizontal="center" vertical="center"/>
    </xf>
    <xf numFmtId="0" fontId="26" fillId="0" borderId="62" xfId="0" applyFont="1" applyBorder="1" applyAlignment="1" applyProtection="1">
      <alignment horizontal="center" vertical="center"/>
      <protection locked="0"/>
    </xf>
    <xf numFmtId="0" fontId="75" fillId="0" borderId="62" xfId="0" applyFont="1" applyBorder="1" applyProtection="1">
      <alignment vertical="center"/>
      <protection locked="0"/>
    </xf>
    <xf numFmtId="0" fontId="75" fillId="53" borderId="62" xfId="0" applyFont="1" applyFill="1" applyBorder="1" applyAlignment="1">
      <alignment horizontal="left" vertical="center" wrapText="1"/>
    </xf>
    <xf numFmtId="190" fontId="3" fillId="3" borderId="62" xfId="0" applyNumberFormat="1" applyFont="1" applyFill="1" applyBorder="1" applyAlignment="1" applyProtection="1">
      <alignment vertical="center" shrinkToFit="1"/>
      <protection hidden="1"/>
    </xf>
    <xf numFmtId="0" fontId="0" fillId="0" borderId="62" xfId="0" applyBorder="1" applyProtection="1">
      <alignment vertical="center"/>
      <protection locked="0"/>
    </xf>
    <xf numFmtId="0" fontId="0" fillId="3" borderId="62" xfId="0" applyFill="1" applyBorder="1" applyProtection="1">
      <alignment vertical="center"/>
      <protection locked="0"/>
    </xf>
    <xf numFmtId="0" fontId="0" fillId="3" borderId="62" xfId="0" applyFill="1" applyBorder="1" applyAlignment="1" applyProtection="1">
      <alignment horizontal="left" vertical="center"/>
      <protection locked="0"/>
    </xf>
    <xf numFmtId="0" fontId="8" fillId="0" borderId="62" xfId="3" applyBorder="1" applyProtection="1">
      <alignment vertical="center"/>
      <protection locked="0"/>
    </xf>
    <xf numFmtId="0" fontId="0" fillId="0" borderId="62" xfId="0" applyBorder="1">
      <alignment vertical="center"/>
    </xf>
    <xf numFmtId="0" fontId="114" fillId="0" borderId="62" xfId="0" applyFont="1" applyBorder="1">
      <alignment vertical="center"/>
    </xf>
    <xf numFmtId="0" fontId="104" fillId="3" borderId="62" xfId="12933" applyNumberFormat="1" applyFont="1" applyFill="1" applyBorder="1" applyAlignment="1" applyProtection="1">
      <alignment horizontal="center" vertical="center"/>
      <protection locked="0"/>
    </xf>
    <xf numFmtId="49" fontId="59" fillId="3" borderId="62" xfId="0" applyNumberFormat="1" applyFont="1" applyFill="1" applyBorder="1" applyAlignment="1">
      <alignment horizontal="left" vertical="center" shrinkToFit="1"/>
    </xf>
    <xf numFmtId="0" fontId="6" fillId="3" borderId="62" xfId="12933" applyNumberFormat="1" applyFont="1" applyFill="1" applyBorder="1" applyAlignment="1" applyProtection="1">
      <alignment horizontal="center" vertical="center"/>
      <protection locked="0"/>
    </xf>
    <xf numFmtId="0" fontId="123" fillId="3" borderId="62" xfId="0" applyFont="1" applyFill="1" applyBorder="1" applyProtection="1">
      <alignment vertical="center"/>
      <protection locked="0"/>
    </xf>
    <xf numFmtId="191" fontId="6" fillId="3" borderId="62" xfId="12933" applyFont="1" applyFill="1" applyBorder="1">
      <alignment vertical="center"/>
    </xf>
    <xf numFmtId="0" fontId="0" fillId="3" borderId="62" xfId="0" applyFill="1" applyBorder="1" applyAlignment="1">
      <alignment horizontal="center" vertical="center"/>
    </xf>
    <xf numFmtId="190" fontId="3" fillId="3" borderId="0" xfId="0" applyNumberFormat="1" applyFont="1" applyFill="1" applyAlignment="1" applyProtection="1">
      <alignment vertical="center" shrinkToFit="1"/>
      <protection hidden="1"/>
    </xf>
    <xf numFmtId="0" fontId="103" fillId="3" borderId="0" xfId="0" applyFont="1" applyFill="1" applyAlignment="1" applyProtection="1">
      <alignment horizontal="center" vertical="center"/>
      <protection locked="0"/>
    </xf>
    <xf numFmtId="0" fontId="103" fillId="3" borderId="0" xfId="0" applyFont="1" applyFill="1" applyAlignment="1">
      <alignment horizontal="center" vertical="center"/>
    </xf>
    <xf numFmtId="49" fontId="86" fillId="41" borderId="62" xfId="0" applyNumberFormat="1" applyFont="1" applyFill="1" applyBorder="1" applyAlignment="1">
      <alignment horizontal="center" vertical="center"/>
    </xf>
    <xf numFmtId="0" fontId="84" fillId="3" borderId="62" xfId="0" applyFont="1" applyFill="1" applyBorder="1" applyAlignment="1">
      <alignment horizontal="left" vertical="center" wrapText="1"/>
    </xf>
    <xf numFmtId="0" fontId="86" fillId="0" borderId="62" xfId="0" applyFont="1" applyBorder="1" applyAlignment="1">
      <alignment horizontal="center" vertical="center"/>
    </xf>
    <xf numFmtId="176" fontId="95" fillId="0" borderId="62" xfId="0" applyNumberFormat="1" applyFont="1" applyBorder="1">
      <alignment vertical="center"/>
    </xf>
    <xf numFmtId="176" fontId="95" fillId="0" borderId="62" xfId="0" applyNumberFormat="1" applyFont="1" applyBorder="1" applyAlignment="1">
      <alignment horizontal="center" vertical="center"/>
    </xf>
    <xf numFmtId="176" fontId="95" fillId="41" borderId="62" xfId="0" applyNumberFormat="1" applyFont="1" applyFill="1" applyBorder="1">
      <alignment vertical="center"/>
    </xf>
    <xf numFmtId="0" fontId="26" fillId="4" borderId="62" xfId="0" applyFont="1" applyFill="1" applyBorder="1" applyAlignment="1" applyProtection="1">
      <alignment horizontal="center" vertical="center"/>
      <protection locked="0"/>
    </xf>
    <xf numFmtId="178" fontId="26" fillId="4" borderId="62" xfId="1" applyFont="1" applyFill="1" applyBorder="1" applyAlignment="1" applyProtection="1">
      <alignment horizontal="center" vertical="center"/>
      <protection locked="0"/>
    </xf>
    <xf numFmtId="0" fontId="86" fillId="3" borderId="0" xfId="0" applyFont="1" applyFill="1" applyAlignment="1">
      <alignment horizontal="center" vertical="center"/>
    </xf>
    <xf numFmtId="0" fontId="86" fillId="3" borderId="0" xfId="0" applyFont="1" applyFill="1">
      <alignment vertical="center"/>
    </xf>
    <xf numFmtId="0" fontId="86" fillId="41" borderId="62" xfId="0" applyFont="1" applyFill="1" applyBorder="1">
      <alignment vertical="center"/>
    </xf>
    <xf numFmtId="0" fontId="86" fillId="0" borderId="148" xfId="0" applyFont="1" applyBorder="1" applyAlignment="1">
      <alignment horizontal="center" vertical="center"/>
    </xf>
    <xf numFmtId="0" fontId="86" fillId="0" borderId="59" xfId="0" applyFont="1" applyBorder="1">
      <alignment vertical="center"/>
    </xf>
    <xf numFmtId="0" fontId="5" fillId="41" borderId="62" xfId="0" applyFont="1" applyFill="1" applyBorder="1" applyAlignment="1" applyProtection="1">
      <alignment horizontal="center" vertical="center"/>
      <protection locked="0"/>
    </xf>
    <xf numFmtId="0" fontId="5" fillId="57" borderId="62" xfId="0" applyFont="1" applyFill="1" applyBorder="1" applyAlignment="1">
      <alignment horizontal="center" vertical="center"/>
    </xf>
    <xf numFmtId="0" fontId="103" fillId="41" borderId="62" xfId="0" applyFont="1" applyFill="1" applyBorder="1" applyAlignment="1">
      <alignment horizontal="center" vertical="center"/>
    </xf>
    <xf numFmtId="0" fontId="121" fillId="41" borderId="62" xfId="0" applyFont="1" applyFill="1" applyBorder="1" applyAlignment="1">
      <alignment horizontal="left" vertical="center"/>
    </xf>
    <xf numFmtId="0" fontId="122" fillId="41" borderId="62" xfId="0" applyFont="1" applyFill="1" applyBorder="1" applyAlignment="1">
      <alignment horizontal="left" vertical="center"/>
    </xf>
    <xf numFmtId="0" fontId="8" fillId="59" borderId="149" xfId="3" applyFill="1" applyBorder="1" applyAlignment="1">
      <alignment horizontal="center" vertical="center"/>
    </xf>
    <xf numFmtId="0" fontId="8" fillId="41" borderId="122" xfId="3" applyFill="1" applyBorder="1" applyAlignment="1">
      <alignment horizontal="center" vertical="center"/>
    </xf>
    <xf numFmtId="0" fontId="8" fillId="60" borderId="0" xfId="3" applyFill="1" applyAlignment="1">
      <alignment horizontal="center" vertical="center"/>
    </xf>
    <xf numFmtId="0" fontId="8" fillId="58" borderId="149" xfId="3" applyFill="1" applyBorder="1" applyAlignment="1">
      <alignment horizontal="center" vertical="center"/>
    </xf>
    <xf numFmtId="0" fontId="8" fillId="41" borderId="149" xfId="3" applyFill="1" applyBorder="1" applyAlignment="1">
      <alignment horizontal="center" vertical="center"/>
    </xf>
    <xf numFmtId="0" fontId="25" fillId="58" borderId="0" xfId="3" applyFont="1" applyFill="1" applyAlignment="1">
      <alignment horizontal="center" vertical="center"/>
    </xf>
    <xf numFmtId="178" fontId="6" fillId="41" borderId="62" xfId="1" applyFont="1" applyFill="1" applyBorder="1" applyAlignment="1">
      <alignment horizontal="center" vertical="center"/>
    </xf>
    <xf numFmtId="178" fontId="5" fillId="41" borderId="62" xfId="1" applyFont="1" applyFill="1" applyBorder="1" applyAlignment="1">
      <alignment horizontal="center" vertical="center"/>
    </xf>
    <xf numFmtId="178" fontId="6" fillId="41" borderId="62" xfId="0" applyNumberFormat="1" applyFont="1" applyFill="1" applyBorder="1" applyAlignment="1">
      <alignment horizontal="center" vertical="center"/>
    </xf>
    <xf numFmtId="0" fontId="103" fillId="61" borderId="62" xfId="0" applyFont="1" applyFill="1" applyBorder="1" applyProtection="1">
      <alignment vertical="center"/>
      <protection locked="0"/>
    </xf>
    <xf numFmtId="0" fontId="28" fillId="51" borderId="62" xfId="0" applyFont="1" applyFill="1" applyBorder="1" applyAlignment="1" applyProtection="1">
      <alignment horizontal="left" vertical="center"/>
      <protection locked="0"/>
    </xf>
    <xf numFmtId="178" fontId="5" fillId="3" borderId="62" xfId="0" applyNumberFormat="1" applyFont="1" applyFill="1" applyBorder="1" applyAlignment="1" applyProtection="1">
      <alignment horizontal="center" vertical="center"/>
      <protection locked="0"/>
    </xf>
    <xf numFmtId="0" fontId="5" fillId="41" borderId="76" xfId="0" applyFont="1" applyFill="1" applyBorder="1" applyProtection="1">
      <alignment vertical="center"/>
      <protection locked="0"/>
    </xf>
    <xf numFmtId="0" fontId="5" fillId="0" borderId="139" xfId="0" applyFont="1" applyBorder="1" applyAlignment="1">
      <alignment horizontal="center" vertical="center"/>
    </xf>
    <xf numFmtId="0" fontId="5" fillId="41" borderId="0" xfId="0" applyFont="1" applyFill="1" applyProtection="1">
      <alignment vertical="center"/>
      <protection locked="0"/>
    </xf>
    <xf numFmtId="0" fontId="26" fillId="0" borderId="0" xfId="1" applyNumberFormat="1" applyFont="1" applyProtection="1">
      <alignment vertical="center"/>
      <protection locked="0"/>
    </xf>
    <xf numFmtId="0" fontId="5" fillId="50" borderId="0" xfId="0" applyFont="1" applyFill="1" applyProtection="1">
      <alignment vertical="center"/>
      <protection locked="0"/>
    </xf>
    <xf numFmtId="0" fontId="76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3" fillId="50" borderId="86" xfId="0" applyFont="1" applyFill="1" applyBorder="1" applyAlignment="1" applyProtection="1">
      <alignment horizontal="center" vertical="center"/>
      <protection locked="0"/>
    </xf>
    <xf numFmtId="0" fontId="3" fillId="50" borderId="87" xfId="0" applyFont="1" applyFill="1" applyBorder="1" applyAlignment="1" applyProtection="1">
      <alignment horizontal="center" vertical="center"/>
      <protection locked="0"/>
    </xf>
    <xf numFmtId="0" fontId="5" fillId="50" borderId="90" xfId="0" applyFont="1" applyFill="1" applyBorder="1" applyProtection="1">
      <alignment vertical="center"/>
      <protection locked="0"/>
    </xf>
    <xf numFmtId="0" fontId="5" fillId="50" borderId="91" xfId="0" applyFont="1" applyFill="1" applyBorder="1" applyAlignment="1">
      <alignment horizontal="center" vertical="center"/>
    </xf>
    <xf numFmtId="0" fontId="5" fillId="50" borderId="91" xfId="0" applyFont="1" applyFill="1" applyBorder="1" applyAlignment="1" applyProtection="1">
      <alignment horizontal="center" vertical="center"/>
      <protection locked="0"/>
    </xf>
    <xf numFmtId="0" fontId="4" fillId="41" borderId="106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41" borderId="107" xfId="0" applyFont="1" applyFill="1" applyBorder="1" applyAlignment="1" applyProtection="1">
      <alignment horizontal="center" vertical="center"/>
      <protection locked="0"/>
    </xf>
    <xf numFmtId="0" fontId="5" fillId="50" borderId="88" xfId="0" applyFont="1" applyFill="1" applyBorder="1" applyProtection="1">
      <alignment vertical="center"/>
      <protection locked="0"/>
    </xf>
    <xf numFmtId="0" fontId="5" fillId="50" borderId="89" xfId="0" applyFont="1" applyFill="1" applyBorder="1" applyAlignment="1" applyProtection="1">
      <alignment horizontal="center" vertical="center"/>
      <protection locked="0"/>
    </xf>
    <xf numFmtId="0" fontId="5" fillId="3" borderId="0" xfId="2" applyNumberFormat="1" applyFont="1" applyFill="1" applyProtection="1">
      <alignment vertical="center"/>
      <protection locked="0"/>
    </xf>
    <xf numFmtId="0" fontId="5" fillId="38" borderId="0" xfId="2" applyNumberFormat="1" applyFont="1" applyFill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6" fillId="3" borderId="0" xfId="0" applyFont="1" applyFill="1" applyProtection="1">
      <alignment vertical="center"/>
      <protection hidden="1"/>
    </xf>
    <xf numFmtId="0" fontId="28" fillId="3" borderId="0" xfId="0" applyFont="1" applyFill="1" applyAlignment="1" applyProtection="1">
      <alignment horizontal="center" vertical="center"/>
      <protection locked="0"/>
    </xf>
    <xf numFmtId="0" fontId="26" fillId="3" borderId="0" xfId="1" applyNumberFormat="1" applyFont="1" applyFill="1" applyBorder="1" applyProtection="1">
      <alignment vertical="center"/>
      <protection locked="0"/>
    </xf>
    <xf numFmtId="0" fontId="83" fillId="3" borderId="0" xfId="0" applyFont="1" applyFill="1" applyProtection="1">
      <alignment vertical="center"/>
      <protection locked="0"/>
    </xf>
    <xf numFmtId="0" fontId="28" fillId="51" borderId="60" xfId="0" applyFont="1" applyFill="1" applyBorder="1" applyAlignment="1" applyProtection="1">
      <alignment horizontal="center" vertical="center"/>
      <protection locked="0"/>
    </xf>
    <xf numFmtId="0" fontId="28" fillId="51" borderId="62" xfId="0" applyFont="1" applyFill="1" applyBorder="1" applyProtection="1">
      <alignment vertical="center"/>
      <protection locked="0"/>
    </xf>
    <xf numFmtId="0" fontId="28" fillId="51" borderId="58" xfId="0" applyFont="1" applyFill="1" applyBorder="1" applyProtection="1">
      <alignment vertical="center"/>
      <protection locked="0"/>
    </xf>
    <xf numFmtId="0" fontId="28" fillId="51" borderId="59" xfId="0" applyFont="1" applyFill="1" applyBorder="1" applyProtection="1">
      <alignment vertical="center"/>
      <protection locked="0"/>
    </xf>
    <xf numFmtId="0" fontId="26" fillId="0" borderId="62" xfId="1" applyNumberFormat="1" applyFont="1" applyBorder="1" applyProtection="1">
      <alignment vertical="center"/>
      <protection locked="0"/>
    </xf>
    <xf numFmtId="0" fontId="26" fillId="41" borderId="62" xfId="0" applyFont="1" applyFill="1" applyBorder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6" fillId="3" borderId="62" xfId="1" applyNumberFormat="1" applyFont="1" applyFill="1" applyBorder="1" applyAlignment="1">
      <alignment horizontal="center" vertical="center"/>
    </xf>
    <xf numFmtId="0" fontId="52" fillId="3" borderId="62" xfId="0" applyFont="1" applyFill="1" applyBorder="1" applyAlignment="1">
      <alignment horizontal="center" vertical="center" wrapText="1" shrinkToFit="1"/>
    </xf>
    <xf numFmtId="0" fontId="104" fillId="3" borderId="62" xfId="1" applyNumberFormat="1" applyFont="1" applyFill="1" applyBorder="1" applyAlignment="1" applyProtection="1">
      <alignment horizontal="center" vertical="center"/>
      <protection locked="0"/>
    </xf>
    <xf numFmtId="0" fontId="26" fillId="3" borderId="62" xfId="0" applyFont="1" applyFill="1" applyBorder="1" applyAlignment="1" applyProtection="1">
      <alignment horizontal="center" vertical="center"/>
      <protection locked="0"/>
    </xf>
    <xf numFmtId="0" fontId="104" fillId="3" borderId="62" xfId="12933" applyNumberFormat="1" applyFont="1" applyFill="1" applyBorder="1" applyAlignment="1">
      <alignment horizontal="center" vertical="center" wrapText="1"/>
    </xf>
    <xf numFmtId="0" fontId="123" fillId="3" borderId="62" xfId="1" applyNumberFormat="1" applyFont="1" applyFill="1" applyBorder="1" applyAlignment="1" applyProtection="1">
      <alignment horizontal="center" vertical="center"/>
      <protection locked="0"/>
    </xf>
    <xf numFmtId="0" fontId="5" fillId="3" borderId="62" xfId="0" applyFont="1" applyFill="1" applyBorder="1" applyProtection="1">
      <alignment vertical="center"/>
      <protection locked="0"/>
    </xf>
    <xf numFmtId="0" fontId="26" fillId="3" borderId="62" xfId="1" applyNumberFormat="1" applyFont="1" applyFill="1" applyBorder="1" applyAlignment="1" applyProtection="1">
      <alignment horizontal="center" vertical="center"/>
      <protection locked="0"/>
    </xf>
    <xf numFmtId="0" fontId="5" fillId="3" borderId="62" xfId="0" applyFont="1" applyFill="1" applyBorder="1" applyAlignment="1">
      <alignment horizontal="center" vertical="center"/>
    </xf>
    <xf numFmtId="0" fontId="123" fillId="3" borderId="62" xfId="0" applyFont="1" applyFill="1" applyBorder="1" applyAlignment="1" applyProtection="1">
      <alignment horizontal="center" vertical="center"/>
      <protection locked="0"/>
    </xf>
    <xf numFmtId="0" fontId="0" fillId="3" borderId="62" xfId="0" applyFill="1" applyBorder="1" applyAlignment="1" applyProtection="1">
      <alignment horizontal="center" vertical="center"/>
      <protection locked="0"/>
    </xf>
    <xf numFmtId="0" fontId="72" fillId="0" borderId="62" xfId="0" applyFont="1" applyBorder="1">
      <alignment vertical="center"/>
    </xf>
    <xf numFmtId="0" fontId="105" fillId="3" borderId="0" xfId="11638" applyNumberFormat="1" applyFont="1" applyFill="1" applyBorder="1" applyAlignment="1">
      <alignment horizontal="center" vertical="center"/>
    </xf>
    <xf numFmtId="0" fontId="72" fillId="0" borderId="0" xfId="0" applyFont="1">
      <alignment vertical="center"/>
    </xf>
    <xf numFmtId="0" fontId="107" fillId="3" borderId="123" xfId="11638" applyNumberFormat="1" applyFont="1" applyFill="1" applyBorder="1" applyAlignment="1">
      <alignment horizontal="center" vertical="center"/>
    </xf>
    <xf numFmtId="0" fontId="105" fillId="56" borderId="62" xfId="11638" applyNumberFormat="1" applyFont="1" applyFill="1" applyBorder="1" applyAlignment="1">
      <alignment vertical="center"/>
    </xf>
    <xf numFmtId="0" fontId="109" fillId="0" borderId="0" xfId="0" applyFont="1">
      <alignment vertical="center"/>
    </xf>
    <xf numFmtId="10" fontId="5" fillId="50" borderId="70" xfId="0" applyNumberFormat="1" applyFont="1" applyFill="1" applyBorder="1" applyProtection="1">
      <alignment vertical="center"/>
      <protection locked="0"/>
    </xf>
    <xf numFmtId="10" fontId="5" fillId="50" borderId="70" xfId="2" applyNumberFormat="1" applyFont="1" applyFill="1" applyBorder="1" applyProtection="1">
      <alignment vertical="center"/>
      <protection locked="0"/>
    </xf>
    <xf numFmtId="178" fontId="5" fillId="0" borderId="62" xfId="1" applyFont="1" applyBorder="1">
      <alignment vertical="center"/>
    </xf>
    <xf numFmtId="0" fontId="5" fillId="50" borderId="62" xfId="0" applyFont="1" applyFill="1" applyBorder="1" applyAlignment="1">
      <alignment horizontal="center" vertical="center"/>
    </xf>
    <xf numFmtId="10" fontId="86" fillId="0" borderId="62" xfId="1" applyNumberFormat="1" applyFont="1" applyBorder="1">
      <alignment vertical="center"/>
    </xf>
    <xf numFmtId="0" fontId="86" fillId="0" borderId="123" xfId="0" applyFont="1" applyBorder="1">
      <alignment vertical="center"/>
    </xf>
    <xf numFmtId="178" fontId="5" fillId="0" borderId="139" xfId="1" applyFont="1" applyBorder="1">
      <alignment vertical="center"/>
    </xf>
    <xf numFmtId="0" fontId="3" fillId="47" borderId="149" xfId="0" applyFont="1" applyFill="1" applyBorder="1" applyAlignment="1">
      <alignment horizontal="center" vertical="center"/>
    </xf>
    <xf numFmtId="10" fontId="86" fillId="0" borderId="139" xfId="1" applyNumberFormat="1" applyFont="1" applyBorder="1">
      <alignment vertical="center"/>
    </xf>
    <xf numFmtId="0" fontId="76" fillId="47" borderId="149" xfId="0" applyFont="1" applyFill="1" applyBorder="1" applyAlignment="1">
      <alignment horizontal="center" vertical="center"/>
    </xf>
    <xf numFmtId="0" fontId="124" fillId="0" borderId="0" xfId="0" applyFont="1" applyAlignment="1">
      <alignment vertical="center" wrapText="1"/>
    </xf>
    <xf numFmtId="0" fontId="91" fillId="0" borderId="0" xfId="0" applyFont="1" applyAlignment="1">
      <alignment horizontal="center" vertical="center"/>
    </xf>
    <xf numFmtId="0" fontId="26" fillId="58" borderId="62" xfId="0" applyFont="1" applyFill="1" applyBorder="1" applyProtection="1">
      <alignment vertical="center"/>
      <protection locked="0"/>
    </xf>
    <xf numFmtId="0" fontId="26" fillId="58" borderId="64" xfId="0" applyFont="1" applyFill="1" applyBorder="1" applyProtection="1">
      <alignment vertical="center"/>
      <protection locked="0"/>
    </xf>
    <xf numFmtId="0" fontId="26" fillId="62" borderId="64" xfId="0" applyFont="1" applyFill="1" applyBorder="1" applyProtection="1">
      <alignment vertical="center"/>
      <protection locked="0"/>
    </xf>
    <xf numFmtId="0" fontId="26" fillId="62" borderId="62" xfId="0" applyFont="1" applyFill="1" applyBorder="1" applyProtection="1">
      <alignment vertical="center"/>
      <protection locked="0"/>
    </xf>
    <xf numFmtId="9" fontId="26" fillId="58" borderId="62" xfId="2" applyFont="1" applyFill="1" applyBorder="1" applyProtection="1">
      <alignment vertical="center"/>
      <protection locked="0"/>
    </xf>
    <xf numFmtId="0" fontId="26" fillId="41" borderId="76" xfId="0" applyFont="1" applyFill="1" applyBorder="1" applyProtection="1">
      <alignment vertical="center"/>
      <protection locked="0"/>
    </xf>
    <xf numFmtId="0" fontId="5" fillId="41" borderId="76" xfId="0" applyFont="1" applyFill="1" applyBorder="1" applyAlignment="1" applyProtection="1">
      <alignment horizontal="center" vertical="center"/>
      <protection locked="0"/>
    </xf>
    <xf numFmtId="0" fontId="26" fillId="50" borderId="106" xfId="0" applyFont="1" applyFill="1" applyBorder="1" applyAlignment="1" applyProtection="1">
      <alignment horizontal="center" vertical="center"/>
      <protection locked="0"/>
    </xf>
    <xf numFmtId="182" fontId="0" fillId="41" borderId="62" xfId="0" applyNumberFormat="1" applyFill="1" applyBorder="1">
      <alignment vertical="center"/>
    </xf>
    <xf numFmtId="0" fontId="116" fillId="41" borderId="0" xfId="3" applyFont="1" applyFill="1" applyAlignment="1">
      <alignment horizontal="center" vertical="center"/>
    </xf>
    <xf numFmtId="0" fontId="8" fillId="0" borderId="0" xfId="3" applyAlignment="1">
      <alignment horizontal="center" vertical="center"/>
    </xf>
    <xf numFmtId="0" fontId="126" fillId="53" borderId="62" xfId="42788" applyFont="1" applyFill="1" applyBorder="1" applyAlignment="1">
      <alignment horizontal="center" vertical="center"/>
    </xf>
    <xf numFmtId="198" fontId="126" fillId="53" borderId="62" xfId="42788" applyNumberFormat="1" applyFont="1" applyFill="1" applyBorder="1" applyAlignment="1">
      <alignment horizontal="center" vertical="center"/>
    </xf>
    <xf numFmtId="1" fontId="126" fillId="53" borderId="62" xfId="42788" applyNumberFormat="1" applyFont="1" applyFill="1" applyBorder="1" applyAlignment="1">
      <alignment horizontal="center" vertical="center"/>
    </xf>
    <xf numFmtId="198" fontId="126" fillId="41" borderId="62" xfId="42788" applyNumberFormat="1" applyFont="1" applyFill="1" applyBorder="1" applyAlignment="1">
      <alignment horizontal="center" vertical="center"/>
    </xf>
    <xf numFmtId="0" fontId="126" fillId="41" borderId="62" xfId="42788" applyFont="1" applyFill="1" applyBorder="1" applyAlignment="1">
      <alignment horizontal="center" vertical="center"/>
    </xf>
    <xf numFmtId="1" fontId="126" fillId="41" borderId="62" xfId="42788" applyNumberFormat="1" applyFont="1" applyFill="1" applyBorder="1" applyAlignment="1">
      <alignment horizontal="center" vertical="center"/>
    </xf>
    <xf numFmtId="49" fontId="8" fillId="60" borderId="0" xfId="3" applyNumberFormat="1" applyFill="1" applyAlignment="1">
      <alignment horizontal="center" vertical="center"/>
    </xf>
    <xf numFmtId="0" fontId="116" fillId="57" borderId="0" xfId="3" applyFont="1" applyFill="1" applyAlignment="1">
      <alignment horizontal="center" vertical="center"/>
    </xf>
    <xf numFmtId="49" fontId="118" fillId="37" borderId="0" xfId="3" applyNumberFormat="1" applyFont="1" applyFill="1" applyAlignment="1" applyProtection="1">
      <alignment horizontal="center" vertical="center"/>
      <protection locked="0"/>
    </xf>
    <xf numFmtId="49" fontId="117" fillId="37" borderId="0" xfId="3" applyNumberFormat="1" applyFont="1" applyFill="1" applyAlignment="1" applyProtection="1">
      <alignment horizontal="center" vertical="center"/>
      <protection locked="0"/>
    </xf>
    <xf numFmtId="0" fontId="116" fillId="58" borderId="0" xfId="3" applyFont="1" applyFill="1" applyAlignment="1" applyProtection="1">
      <alignment horizontal="center" vertical="center"/>
      <protection locked="0"/>
    </xf>
    <xf numFmtId="0" fontId="110" fillId="58" borderId="0" xfId="3" applyFont="1" applyFill="1" applyAlignment="1" applyProtection="1">
      <alignment horizontal="center" vertical="center"/>
      <protection locked="0"/>
    </xf>
    <xf numFmtId="49" fontId="8" fillId="0" borderId="62" xfId="3" applyNumberFormat="1" applyBorder="1" applyAlignment="1">
      <alignment horizontal="center" vertical="center"/>
    </xf>
    <xf numFmtId="0" fontId="116" fillId="58" borderId="62" xfId="0" applyFont="1" applyFill="1" applyBorder="1" applyAlignment="1">
      <alignment horizontal="center" vertical="center" wrapText="1"/>
    </xf>
    <xf numFmtId="49" fontId="116" fillId="3" borderId="62" xfId="3" applyNumberFormat="1" applyFont="1" applyFill="1" applyBorder="1" applyAlignment="1" applyProtection="1">
      <alignment horizontal="center" vertical="center"/>
      <protection locked="0"/>
    </xf>
    <xf numFmtId="183" fontId="116" fillId="3" borderId="62" xfId="3" applyNumberFormat="1" applyFont="1" applyFill="1" applyBorder="1" applyAlignment="1" applyProtection="1">
      <alignment horizontal="center" vertical="center"/>
      <protection locked="0"/>
    </xf>
    <xf numFmtId="178" fontId="103" fillId="41" borderId="62" xfId="1" applyFont="1" applyFill="1" applyBorder="1" applyAlignment="1" applyProtection="1">
      <alignment horizontal="center" vertical="center"/>
      <protection locked="0"/>
    </xf>
    <xf numFmtId="0" fontId="117" fillId="3" borderId="62" xfId="0" applyFont="1" applyFill="1" applyBorder="1" applyAlignment="1" applyProtection="1">
      <alignment horizontal="center" vertical="center"/>
      <protection locked="0"/>
    </xf>
    <xf numFmtId="0" fontId="103" fillId="58" borderId="62" xfId="0" applyFont="1" applyFill="1" applyBorder="1" applyAlignment="1" applyProtection="1">
      <alignment horizontal="center" vertical="center"/>
      <protection locked="0"/>
    </xf>
    <xf numFmtId="0" fontId="6" fillId="3" borderId="62" xfId="0" applyFont="1" applyFill="1" applyBorder="1" applyAlignment="1">
      <alignment horizontal="center" vertical="center"/>
    </xf>
    <xf numFmtId="0" fontId="116" fillId="3" borderId="62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3" fontId="116" fillId="41" borderId="62" xfId="0" applyNumberFormat="1" applyFont="1" applyFill="1" applyBorder="1" applyAlignment="1">
      <alignment horizontal="center" vertical="center" wrapText="1"/>
    </xf>
    <xf numFmtId="3" fontId="116" fillId="3" borderId="62" xfId="0" applyNumberFormat="1" applyFont="1" applyFill="1" applyBorder="1" applyAlignment="1">
      <alignment horizontal="center" vertical="center" wrapText="1"/>
    </xf>
    <xf numFmtId="0" fontId="116" fillId="3" borderId="62" xfId="42786" applyFont="1" applyFill="1" applyBorder="1" applyAlignment="1">
      <alignment horizontal="center" vertical="center" wrapText="1"/>
    </xf>
    <xf numFmtId="3" fontId="116" fillId="41" borderId="62" xfId="42786" applyNumberFormat="1" applyFont="1" applyFill="1" applyBorder="1" applyAlignment="1">
      <alignment horizontal="center" vertical="center" wrapText="1"/>
    </xf>
    <xf numFmtId="3" fontId="116" fillId="3" borderId="62" xfId="42786" applyNumberFormat="1" applyFont="1" applyFill="1" applyBorder="1" applyAlignment="1">
      <alignment horizontal="center" vertical="center" wrapText="1"/>
    </xf>
    <xf numFmtId="0" fontId="103" fillId="57" borderId="62" xfId="0" applyFont="1" applyFill="1" applyBorder="1" applyAlignment="1" applyProtection="1">
      <alignment horizontal="center" vertical="center"/>
      <protection locked="0"/>
    </xf>
    <xf numFmtId="0" fontId="6" fillId="57" borderId="62" xfId="0" applyFont="1" applyFill="1" applyBorder="1" applyAlignment="1">
      <alignment horizontal="center" vertical="center"/>
    </xf>
    <xf numFmtId="0" fontId="116" fillId="41" borderId="62" xfId="0" applyFont="1" applyFill="1" applyBorder="1" applyAlignment="1">
      <alignment horizontal="center" vertical="center" wrapText="1"/>
    </xf>
    <xf numFmtId="197" fontId="126" fillId="41" borderId="62" xfId="42788" applyNumberFormat="1" applyFont="1" applyFill="1" applyBorder="1" applyAlignment="1">
      <alignment horizontal="center" vertical="center"/>
    </xf>
    <xf numFmtId="0" fontId="117" fillId="41" borderId="62" xfId="0" applyFont="1" applyFill="1" applyBorder="1" applyAlignment="1" applyProtection="1">
      <alignment horizontal="center" vertical="center"/>
      <protection locked="0"/>
    </xf>
    <xf numFmtId="197" fontId="126" fillId="53" borderId="62" xfId="42788" applyNumberFormat="1" applyFont="1" applyFill="1" applyBorder="1" applyAlignment="1">
      <alignment horizontal="center" vertical="center"/>
    </xf>
    <xf numFmtId="0" fontId="103" fillId="60" borderId="62" xfId="0" applyFont="1" applyFill="1" applyBorder="1" applyAlignment="1" applyProtection="1">
      <alignment horizontal="center" vertical="center"/>
      <protection locked="0"/>
    </xf>
    <xf numFmtId="0" fontId="117" fillId="60" borderId="62" xfId="0" applyFont="1" applyFill="1" applyBorder="1" applyAlignment="1" applyProtection="1">
      <alignment horizontal="center" vertical="center"/>
      <protection locked="0"/>
    </xf>
    <xf numFmtId="178" fontId="116" fillId="41" borderId="62" xfId="1" applyFont="1" applyFill="1" applyBorder="1" applyAlignment="1">
      <alignment horizontal="center" vertical="center" wrapText="1"/>
    </xf>
    <xf numFmtId="178" fontId="8" fillId="0" borderId="62" xfId="1" applyFont="1" applyBorder="1" applyAlignment="1">
      <alignment horizontal="center" vertical="center"/>
    </xf>
    <xf numFmtId="178" fontId="116" fillId="41" borderId="62" xfId="1" applyFont="1" applyFill="1" applyBorder="1" applyAlignment="1">
      <alignment horizontal="center" vertical="center"/>
    </xf>
    <xf numFmtId="0" fontId="103" fillId="60" borderId="62" xfId="0" applyFont="1" applyFill="1" applyBorder="1" applyAlignment="1">
      <alignment horizontal="center" vertical="center"/>
    </xf>
    <xf numFmtId="0" fontId="121" fillId="41" borderId="62" xfId="0" applyFont="1" applyFill="1" applyBorder="1" applyAlignment="1">
      <alignment horizontal="center" vertical="center"/>
    </xf>
    <xf numFmtId="0" fontId="122" fillId="41" borderId="62" xfId="0" applyFont="1" applyFill="1" applyBorder="1" applyAlignment="1">
      <alignment horizontal="center" vertical="center"/>
    </xf>
    <xf numFmtId="0" fontId="117" fillId="3" borderId="62" xfId="3" applyFont="1" applyFill="1" applyBorder="1" applyAlignment="1">
      <alignment horizontal="center" vertical="center"/>
    </xf>
    <xf numFmtId="3" fontId="116" fillId="60" borderId="62" xfId="0" applyNumberFormat="1" applyFont="1" applyFill="1" applyBorder="1" applyAlignment="1">
      <alignment horizontal="center" vertical="center" wrapText="1"/>
    </xf>
    <xf numFmtId="0" fontId="116" fillId="60" borderId="62" xfId="0" applyFont="1" applyFill="1" applyBorder="1" applyAlignment="1">
      <alignment horizontal="center" vertical="center" wrapText="1"/>
    </xf>
    <xf numFmtId="49" fontId="8" fillId="0" borderId="0" xfId="3" applyNumberFormat="1" applyAlignment="1">
      <alignment horizontal="center" vertical="center"/>
    </xf>
    <xf numFmtId="0" fontId="8" fillId="58" borderId="0" xfId="3" applyFill="1" applyAlignment="1">
      <alignment horizontal="center" vertical="center"/>
    </xf>
    <xf numFmtId="178" fontId="8" fillId="41" borderId="0" xfId="1" applyFont="1" applyFill="1" applyBorder="1" applyAlignment="1" applyProtection="1">
      <alignment horizontal="center" vertical="center"/>
      <protection locked="0"/>
    </xf>
    <xf numFmtId="0" fontId="78" fillId="3" borderId="0" xfId="3" applyFont="1" applyFill="1" applyAlignment="1" applyProtection="1">
      <alignment horizontal="center" vertical="center"/>
      <protection locked="0"/>
    </xf>
    <xf numFmtId="0" fontId="8" fillId="58" borderId="0" xfId="3" applyFill="1" applyAlignment="1" applyProtection="1">
      <alignment horizontal="center" vertical="center"/>
      <protection locked="0"/>
    </xf>
    <xf numFmtId="198" fontId="126" fillId="41" borderId="62" xfId="0" applyNumberFormat="1" applyFont="1" applyFill="1" applyBorder="1" applyAlignment="1">
      <alignment horizontal="center" vertical="center"/>
    </xf>
    <xf numFmtId="0" fontId="126" fillId="41" borderId="62" xfId="0" applyFont="1" applyFill="1" applyBorder="1" applyAlignment="1">
      <alignment horizontal="center" vertical="center"/>
    </xf>
    <xf numFmtId="1" fontId="126" fillId="41" borderId="62" xfId="0" applyNumberFormat="1" applyFont="1" applyFill="1" applyBorder="1" applyAlignment="1">
      <alignment horizontal="center" vertical="center"/>
    </xf>
    <xf numFmtId="198" fontId="126" fillId="63" borderId="62" xfId="0" applyNumberFormat="1" applyFont="1" applyFill="1" applyBorder="1" applyAlignment="1">
      <alignment horizontal="center" vertical="center"/>
    </xf>
    <xf numFmtId="0" fontId="126" fillId="63" borderId="62" xfId="0" applyFont="1" applyFill="1" applyBorder="1" applyAlignment="1">
      <alignment horizontal="center" vertical="center"/>
    </xf>
    <xf numFmtId="1" fontId="126" fillId="63" borderId="62" xfId="0" applyNumberFormat="1" applyFont="1" applyFill="1" applyBorder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16" fillId="3" borderId="0" xfId="3" applyFont="1" applyFill="1" applyAlignment="1">
      <alignment horizontal="center" vertical="center"/>
    </xf>
    <xf numFmtId="0" fontId="8" fillId="41" borderId="0" xfId="3" applyFill="1" applyAlignment="1">
      <alignment horizontal="center" vertical="center"/>
    </xf>
    <xf numFmtId="196" fontId="8" fillId="0" borderId="0" xfId="3" applyNumberFormat="1" applyAlignment="1">
      <alignment horizontal="center" vertical="center"/>
    </xf>
    <xf numFmtId="197" fontId="126" fillId="41" borderId="62" xfId="0" applyNumberFormat="1" applyFont="1" applyFill="1" applyBorder="1" applyAlignment="1">
      <alignment horizontal="center" vertical="center"/>
    </xf>
    <xf numFmtId="197" fontId="126" fillId="63" borderId="62" xfId="0" applyNumberFormat="1" applyFont="1" applyFill="1" applyBorder="1" applyAlignment="1">
      <alignment horizontal="center" vertical="center"/>
    </xf>
    <xf numFmtId="0" fontId="103" fillId="3" borderId="0" xfId="3" applyFont="1" applyFill="1" applyAlignment="1">
      <alignment horizontal="center" vertical="center"/>
    </xf>
    <xf numFmtId="0" fontId="79" fillId="0" borderId="0" xfId="3" applyFont="1" applyAlignment="1">
      <alignment horizontal="center" vertical="center"/>
    </xf>
    <xf numFmtId="10" fontId="103" fillId="3" borderId="62" xfId="0" applyNumberFormat="1" applyFont="1" applyFill="1" applyBorder="1" applyAlignment="1">
      <alignment horizontal="center" vertical="center"/>
    </xf>
    <xf numFmtId="0" fontId="8" fillId="44" borderId="0" xfId="3" applyFill="1" applyAlignment="1">
      <alignment horizontal="center" vertical="center"/>
    </xf>
    <xf numFmtId="9" fontId="103" fillId="3" borderId="62" xfId="0" applyNumberFormat="1" applyFont="1" applyFill="1" applyBorder="1" applyAlignment="1" applyProtection="1">
      <alignment horizontal="center" vertical="center"/>
      <protection locked="0"/>
    </xf>
    <xf numFmtId="9" fontId="116" fillId="3" borderId="62" xfId="3" applyNumberFormat="1" applyFont="1" applyFill="1" applyBorder="1" applyAlignment="1">
      <alignment horizontal="center" vertical="center"/>
    </xf>
    <xf numFmtId="0" fontId="103" fillId="50" borderId="62" xfId="0" applyFont="1" applyFill="1" applyBorder="1" applyAlignment="1">
      <alignment horizontal="center" vertical="center"/>
    </xf>
    <xf numFmtId="0" fontId="103" fillId="50" borderId="62" xfId="0" applyFont="1" applyFill="1" applyBorder="1" applyAlignment="1" applyProtection="1">
      <alignment horizontal="center" vertical="center"/>
      <protection locked="0"/>
    </xf>
    <xf numFmtId="178" fontId="103" fillId="50" borderId="62" xfId="1" applyFont="1" applyFill="1" applyBorder="1" applyAlignment="1" applyProtection="1">
      <alignment horizontal="center" vertical="center"/>
      <protection locked="0"/>
    </xf>
    <xf numFmtId="0" fontId="117" fillId="50" borderId="62" xfId="0" applyFont="1" applyFill="1" applyBorder="1" applyAlignment="1" applyProtection="1">
      <alignment horizontal="center" vertical="center"/>
      <protection locked="0"/>
    </xf>
    <xf numFmtId="0" fontId="116" fillId="50" borderId="62" xfId="3" applyFont="1" applyFill="1" applyBorder="1" applyAlignment="1">
      <alignment horizontal="center" vertical="center"/>
    </xf>
    <xf numFmtId="9" fontId="116" fillId="50" borderId="62" xfId="3" applyNumberFormat="1" applyFont="1" applyFill="1" applyBorder="1" applyAlignment="1">
      <alignment horizontal="center" vertical="center"/>
    </xf>
    <xf numFmtId="0" fontId="116" fillId="50" borderId="0" xfId="3" applyFont="1" applyFill="1" applyAlignment="1">
      <alignment horizontal="center" vertical="center"/>
    </xf>
    <xf numFmtId="0" fontId="8" fillId="50" borderId="0" xfId="3" applyFill="1" applyAlignment="1">
      <alignment horizontal="center" vertical="center"/>
    </xf>
    <xf numFmtId="0" fontId="5" fillId="64" borderId="0" xfId="0" applyFont="1" applyFill="1" applyProtection="1">
      <alignment vertical="center"/>
      <protection locked="0"/>
    </xf>
    <xf numFmtId="184" fontId="89" fillId="45" borderId="152" xfId="0" applyNumberFormat="1" applyFont="1" applyFill="1" applyBorder="1" applyProtection="1">
      <alignment vertical="center"/>
      <protection hidden="1"/>
    </xf>
    <xf numFmtId="184" fontId="89" fillId="45" borderId="153" xfId="0" applyNumberFormat="1" applyFont="1" applyFill="1" applyBorder="1" applyProtection="1">
      <alignment vertical="center"/>
      <protection hidden="1"/>
    </xf>
    <xf numFmtId="184" fontId="89" fillId="45" borderId="2" xfId="0" applyNumberFormat="1" applyFont="1" applyFill="1" applyBorder="1" applyProtection="1">
      <alignment vertical="center"/>
      <protection hidden="1"/>
    </xf>
    <xf numFmtId="184" fontId="89" fillId="45" borderId="140" xfId="0" applyNumberFormat="1" applyFont="1" applyFill="1" applyBorder="1" applyProtection="1">
      <alignment vertical="center"/>
      <protection hidden="1"/>
    </xf>
    <xf numFmtId="0" fontId="75" fillId="3" borderId="62" xfId="3" applyFont="1" applyFill="1" applyBorder="1" applyAlignment="1" applyProtection="1">
      <alignment horizontal="center" vertical="center"/>
      <protection locked="0"/>
    </xf>
    <xf numFmtId="178" fontId="75" fillId="41" borderId="62" xfId="1" applyFont="1" applyFill="1" applyBorder="1" applyAlignment="1" applyProtection="1">
      <alignment horizontal="center" vertical="center"/>
      <protection locked="0"/>
    </xf>
    <xf numFmtId="0" fontId="11" fillId="3" borderId="62" xfId="3" applyFont="1" applyFill="1" applyBorder="1" applyAlignment="1" applyProtection="1">
      <alignment horizontal="center" vertical="center"/>
      <protection locked="0"/>
    </xf>
    <xf numFmtId="0" fontId="75" fillId="3" borderId="62" xfId="3" applyFont="1" applyFill="1" applyBorder="1" applyAlignment="1">
      <alignment horizontal="center" vertical="center"/>
    </xf>
    <xf numFmtId="0" fontId="75" fillId="3" borderId="0" xfId="3" applyFont="1" applyFill="1" applyAlignment="1">
      <alignment horizontal="center" vertical="center"/>
    </xf>
    <xf numFmtId="0" fontId="75" fillId="0" borderId="0" xfId="3" applyFont="1" applyAlignment="1">
      <alignment horizontal="center" vertical="center"/>
    </xf>
    <xf numFmtId="0" fontId="75" fillId="0" borderId="0" xfId="3" applyFont="1">
      <alignment vertical="center"/>
    </xf>
    <xf numFmtId="0" fontId="5" fillId="3" borderId="62" xfId="0" applyFont="1" applyFill="1" applyBorder="1" applyAlignment="1" applyProtection="1">
      <alignment horizontal="center" vertical="center"/>
      <protection locked="0"/>
    </xf>
    <xf numFmtId="0" fontId="75" fillId="60" borderId="0" xfId="3" applyFont="1" applyFill="1">
      <alignment vertical="center"/>
    </xf>
    <xf numFmtId="0" fontId="75" fillId="3" borderId="123" xfId="3" applyFont="1" applyFill="1" applyBorder="1" applyAlignment="1" applyProtection="1">
      <alignment horizontal="center" vertical="center"/>
      <protection locked="0"/>
    </xf>
    <xf numFmtId="178" fontId="75" fillId="41" borderId="123" xfId="1" applyFont="1" applyFill="1" applyBorder="1" applyAlignment="1" applyProtection="1">
      <alignment horizontal="center" vertical="center"/>
      <protection locked="0"/>
    </xf>
    <xf numFmtId="0" fontId="103" fillId="3" borderId="123" xfId="0" applyFont="1" applyFill="1" applyBorder="1" applyAlignment="1" applyProtection="1">
      <alignment horizontal="center" vertical="center"/>
      <protection locked="0"/>
    </xf>
    <xf numFmtId="0" fontId="117" fillId="3" borderId="123" xfId="0" applyFont="1" applyFill="1" applyBorder="1" applyAlignment="1" applyProtection="1">
      <alignment horizontal="center" vertical="center"/>
      <protection locked="0"/>
    </xf>
    <xf numFmtId="17" fontId="8" fillId="0" borderId="0" xfId="3" applyNumberFormat="1" applyAlignment="1">
      <alignment horizontal="center" vertical="center"/>
    </xf>
    <xf numFmtId="189" fontId="5" fillId="0" borderId="0" xfId="0" applyNumberFormat="1" applyFont="1">
      <alignment vertical="center"/>
    </xf>
    <xf numFmtId="0" fontId="5" fillId="41" borderId="64" xfId="0" applyFont="1" applyFill="1" applyBorder="1" applyAlignment="1">
      <alignment horizontal="center" vertical="center"/>
    </xf>
    <xf numFmtId="10" fontId="5" fillId="50" borderId="0" xfId="0" applyNumberFormat="1" applyFont="1" applyFill="1" applyProtection="1">
      <alignment vertical="center"/>
      <protection locked="0"/>
    </xf>
    <xf numFmtId="0" fontId="5" fillId="41" borderId="62" xfId="0" applyFont="1" applyFill="1" applyBorder="1" applyAlignment="1">
      <alignment horizontal="center" vertical="center"/>
    </xf>
    <xf numFmtId="0" fontId="8" fillId="61" borderId="0" xfId="3" applyFill="1">
      <alignment vertical="center"/>
    </xf>
    <xf numFmtId="49" fontId="8" fillId="0" borderId="0" xfId="3" applyNumberFormat="1">
      <alignment vertical="center"/>
    </xf>
    <xf numFmtId="0" fontId="8" fillId="50" borderId="0" xfId="3" applyFill="1">
      <alignment vertical="center"/>
    </xf>
    <xf numFmtId="0" fontId="27" fillId="58" borderId="123" xfId="3" applyFont="1" applyFill="1" applyBorder="1" applyAlignment="1">
      <alignment horizontal="center" vertical="center"/>
    </xf>
    <xf numFmtId="9" fontId="27" fillId="58" borderId="123" xfId="2" applyFont="1" applyFill="1" applyBorder="1" applyAlignment="1">
      <alignment horizontal="center" vertical="center"/>
    </xf>
    <xf numFmtId="9" fontId="27" fillId="58" borderId="156" xfId="2" applyFont="1" applyFill="1" applyBorder="1" applyAlignment="1">
      <alignment horizontal="center" vertical="center"/>
    </xf>
    <xf numFmtId="9" fontId="8" fillId="0" borderId="0" xfId="3" applyNumberFormat="1">
      <alignment vertical="center"/>
    </xf>
    <xf numFmtId="10" fontId="5" fillId="50" borderId="0" xfId="2" applyNumberFormat="1" applyFont="1" applyFill="1" applyBorder="1" applyProtection="1">
      <alignment vertical="center"/>
      <protection locked="0"/>
    </xf>
    <xf numFmtId="10" fontId="5" fillId="3" borderId="62" xfId="0" applyNumberFormat="1" applyFont="1" applyFill="1" applyBorder="1" applyAlignment="1" applyProtection="1">
      <alignment horizontal="center" vertical="center"/>
      <protection locked="0"/>
    </xf>
    <xf numFmtId="10" fontId="5" fillId="0" borderId="62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49" fontId="8" fillId="41" borderId="0" xfId="3" applyNumberFormat="1" applyFill="1">
      <alignment vertical="center"/>
    </xf>
    <xf numFmtId="9" fontId="5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41" borderId="0" xfId="0" applyNumberFormat="1" applyFont="1" applyFill="1">
      <alignment vertical="center"/>
    </xf>
    <xf numFmtId="3" fontId="116" fillId="41" borderId="62" xfId="0" applyNumberFormat="1" applyFont="1" applyFill="1" applyBorder="1" applyAlignment="1">
      <alignment horizontal="right" vertical="center" wrapText="1"/>
    </xf>
    <xf numFmtId="0" fontId="26" fillId="42" borderId="0" xfId="1" applyNumberFormat="1" applyFont="1" applyFill="1" applyBorder="1" applyAlignment="1" applyProtection="1">
      <alignment horizontal="right" vertical="center"/>
      <protection locked="0"/>
    </xf>
    <xf numFmtId="49" fontId="8" fillId="0" borderId="62" xfId="3" applyNumberFormat="1" applyBorder="1">
      <alignment vertical="center"/>
    </xf>
    <xf numFmtId="182" fontId="5" fillId="0" borderId="0" xfId="0" applyNumberFormat="1" applyFont="1">
      <alignment vertical="center"/>
    </xf>
    <xf numFmtId="178" fontId="8" fillId="41" borderId="62" xfId="1" applyFont="1" applyFill="1" applyBorder="1" applyAlignment="1">
      <alignment horizontal="center" vertical="center"/>
    </xf>
    <xf numFmtId="10" fontId="26" fillId="41" borderId="0" xfId="0" applyNumberFormat="1" applyFont="1" applyFill="1" applyAlignment="1" applyProtection="1">
      <alignment horizontal="right" vertical="center"/>
      <protection locked="0"/>
    </xf>
    <xf numFmtId="0" fontId="11" fillId="3" borderId="86" xfId="0" applyFont="1" applyFill="1" applyBorder="1" applyAlignment="1" applyProtection="1">
      <alignment horizontal="center" vertical="center"/>
      <protection locked="0"/>
    </xf>
    <xf numFmtId="0" fontId="11" fillId="3" borderId="146" xfId="0" applyFont="1" applyFill="1" applyBorder="1" applyAlignment="1" applyProtection="1">
      <alignment horizontal="center" vertical="center"/>
      <protection locked="0"/>
    </xf>
    <xf numFmtId="0" fontId="11" fillId="0" borderId="146" xfId="0" applyFont="1" applyBorder="1" applyAlignment="1">
      <alignment horizontal="center" vertical="center"/>
    </xf>
    <xf numFmtId="0" fontId="11" fillId="3" borderId="87" xfId="0" applyFont="1" applyFill="1" applyBorder="1" applyAlignment="1" applyProtection="1">
      <alignment horizontal="center" vertical="center"/>
      <protection locked="0"/>
    </xf>
    <xf numFmtId="0" fontId="116" fillId="57" borderId="62" xfId="3" applyFont="1" applyFill="1" applyBorder="1" applyAlignment="1">
      <alignment horizontal="center" vertical="center"/>
    </xf>
    <xf numFmtId="0" fontId="115" fillId="65" borderId="62" xfId="0" applyFont="1" applyFill="1" applyBorder="1" applyProtection="1">
      <alignment vertical="center"/>
      <protection locked="0"/>
    </xf>
    <xf numFmtId="0" fontId="112" fillId="0" borderId="0" xfId="0" applyFont="1" applyAlignment="1">
      <alignment vertical="center" wrapText="1"/>
    </xf>
    <xf numFmtId="0" fontId="5" fillId="41" borderId="123" xfId="0" applyFont="1" applyFill="1" applyBorder="1" applyProtection="1">
      <alignment vertical="center"/>
      <protection locked="0"/>
    </xf>
    <xf numFmtId="178" fontId="116" fillId="0" borderId="62" xfId="1" applyFont="1" applyBorder="1" applyAlignment="1">
      <alignment horizontal="center" vertical="center"/>
    </xf>
    <xf numFmtId="0" fontId="128" fillId="0" borderId="62" xfId="0" applyFont="1" applyBorder="1" applyAlignment="1">
      <alignment horizontal="center" vertical="center"/>
    </xf>
    <xf numFmtId="178" fontId="116" fillId="41" borderId="62" xfId="1" applyFont="1" applyFill="1" applyBorder="1" applyAlignment="1" applyProtection="1">
      <alignment horizontal="center" vertical="center"/>
      <protection locked="0"/>
    </xf>
    <xf numFmtId="0" fontId="103" fillId="0" borderId="62" xfId="0" applyFont="1" applyBorder="1" applyAlignment="1">
      <alignment horizontal="center" vertical="center"/>
    </xf>
    <xf numFmtId="9" fontId="81" fillId="38" borderId="62" xfId="2" applyFont="1" applyFill="1" applyBorder="1" applyAlignment="1">
      <alignment horizontal="center" vertical="center"/>
    </xf>
    <xf numFmtId="182" fontId="6" fillId="43" borderId="0" xfId="2" applyNumberFormat="1" applyFont="1" applyFill="1" applyAlignment="1">
      <alignment horizontal="center" vertical="center"/>
    </xf>
    <xf numFmtId="0" fontId="99" fillId="3" borderId="0" xfId="0" applyFont="1" applyFill="1" applyAlignment="1">
      <alignment horizontal="center" vertical="center" wrapText="1"/>
    </xf>
    <xf numFmtId="0" fontId="99" fillId="3" borderId="0" xfId="0" applyFont="1" applyFill="1" applyAlignment="1">
      <alignment horizontal="center" vertical="center"/>
    </xf>
    <xf numFmtId="0" fontId="86" fillId="41" borderId="0" xfId="0" applyFont="1" applyFill="1" applyAlignment="1">
      <alignment horizontal="center" vertical="center"/>
    </xf>
    <xf numFmtId="176" fontId="98" fillId="41" borderId="0" xfId="0" applyNumberFormat="1" applyFont="1" applyFill="1" applyAlignment="1">
      <alignment horizontal="center" vertical="center"/>
    </xf>
    <xf numFmtId="176" fontId="95" fillId="0" borderId="0" xfId="0" applyNumberFormat="1" applyFont="1" applyAlignment="1">
      <alignment horizontal="center" vertical="center"/>
    </xf>
    <xf numFmtId="178" fontId="129" fillId="3" borderId="0" xfId="1" applyFont="1" applyFill="1" applyBorder="1" applyAlignment="1" applyProtection="1">
      <alignment vertical="center"/>
      <protection hidden="1"/>
    </xf>
    <xf numFmtId="178" fontId="130" fillId="0" borderId="0" xfId="1" applyFont="1" applyFill="1" applyBorder="1" applyAlignment="1" applyProtection="1">
      <alignment vertical="center"/>
      <protection locked="0" hidden="1"/>
    </xf>
    <xf numFmtId="0" fontId="86" fillId="0" borderId="148" xfId="0" applyFont="1" applyBorder="1">
      <alignment vertical="center"/>
    </xf>
    <xf numFmtId="0" fontId="88" fillId="0" borderId="148" xfId="0" applyFont="1" applyBorder="1" applyAlignment="1">
      <alignment horizontal="right" vertical="center"/>
    </xf>
    <xf numFmtId="0" fontId="136" fillId="0" borderId="0" xfId="0" applyFont="1" applyAlignment="1">
      <alignment horizontal="left" indent="1"/>
    </xf>
    <xf numFmtId="0" fontId="137" fillId="0" borderId="0" xfId="0" applyFont="1" applyAlignment="1">
      <alignment horizontal="right" indent="1"/>
    </xf>
    <xf numFmtId="0" fontId="104" fillId="66" borderId="158" xfId="0" applyFont="1" applyFill="1" applyBorder="1" applyAlignment="1">
      <alignment horizontal="center" vertical="center" wrapText="1"/>
    </xf>
    <xf numFmtId="0" fontId="104" fillId="66" borderId="159" xfId="0" applyFont="1" applyFill="1" applyBorder="1" applyAlignment="1">
      <alignment horizontal="center" vertical="center" wrapText="1"/>
    </xf>
    <xf numFmtId="0" fontId="104" fillId="66" borderId="160" xfId="0" applyFont="1" applyFill="1" applyBorder="1" applyAlignment="1">
      <alignment horizontal="center" vertical="center" wrapText="1"/>
    </xf>
    <xf numFmtId="0" fontId="135" fillId="0" borderId="0" xfId="0" applyFont="1" applyAlignment="1">
      <alignment horizontal="left" indent="1"/>
    </xf>
    <xf numFmtId="0" fontId="0" fillId="0" borderId="161" xfId="0" applyBorder="1" applyAlignment="1">
      <alignment horizontal="center" vertical="center"/>
    </xf>
    <xf numFmtId="10" fontId="114" fillId="0" borderId="159" xfId="0" applyNumberFormat="1" applyFont="1" applyBorder="1" applyAlignment="1">
      <alignment horizontal="right" vertical="center" wrapText="1"/>
    </xf>
    <xf numFmtId="10" fontId="114" fillId="0" borderId="160" xfId="0" applyNumberFormat="1" applyFont="1" applyBorder="1" applyAlignment="1">
      <alignment horizontal="right" vertical="center" wrapText="1"/>
    </xf>
    <xf numFmtId="178" fontId="131" fillId="3" borderId="0" xfId="1" applyFont="1" applyFill="1" applyBorder="1" applyAlignment="1" applyProtection="1">
      <alignment vertical="center"/>
      <protection hidden="1"/>
    </xf>
    <xf numFmtId="178" fontId="87" fillId="3" borderId="0" xfId="1" applyFont="1" applyFill="1" applyBorder="1" applyAlignment="1">
      <alignment vertical="center" wrapText="1"/>
    </xf>
    <xf numFmtId="178" fontId="134" fillId="3" borderId="0" xfId="1" applyFont="1" applyFill="1" applyBorder="1" applyAlignment="1" applyProtection="1">
      <alignment vertical="center"/>
      <protection locked="0" hidden="1"/>
    </xf>
    <xf numFmtId="178" fontId="78" fillId="0" borderId="62" xfId="1" applyFont="1" applyBorder="1" applyAlignment="1">
      <alignment horizontal="center" vertical="center"/>
    </xf>
    <xf numFmtId="0" fontId="117" fillId="3" borderId="0" xfId="3" applyFont="1" applyFill="1" applyAlignment="1">
      <alignment horizontal="center" vertical="center"/>
    </xf>
    <xf numFmtId="0" fontId="78" fillId="0" borderId="0" xfId="3" applyFont="1" applyAlignment="1">
      <alignment horizontal="center" vertical="center"/>
    </xf>
    <xf numFmtId="0" fontId="78" fillId="0" borderId="0" xfId="3" applyFont="1">
      <alignment vertical="center"/>
    </xf>
    <xf numFmtId="0" fontId="86" fillId="41" borderId="76" xfId="0" applyFont="1" applyFill="1" applyBorder="1" applyAlignment="1">
      <alignment horizontal="center" vertical="center"/>
    </xf>
    <xf numFmtId="178" fontId="116" fillId="41" borderId="62" xfId="1" applyFont="1" applyFill="1" applyBorder="1" applyAlignment="1">
      <alignment horizontal="right" vertical="center"/>
    </xf>
    <xf numFmtId="184" fontId="88" fillId="46" borderId="163" xfId="0" applyNumberFormat="1" applyFont="1" applyFill="1" applyBorder="1" applyProtection="1">
      <alignment vertical="center"/>
      <protection locked="0"/>
    </xf>
    <xf numFmtId="176" fontId="98" fillId="41" borderId="76" xfId="0" applyNumberFormat="1" applyFont="1" applyFill="1" applyBorder="1" applyAlignment="1">
      <alignment horizontal="center" vertical="center"/>
    </xf>
    <xf numFmtId="0" fontId="86" fillId="0" borderId="76" xfId="0" applyFont="1" applyBorder="1" applyAlignment="1">
      <alignment horizontal="center" vertical="center"/>
    </xf>
    <xf numFmtId="176" fontId="95" fillId="0" borderId="76" xfId="0" applyNumberFormat="1" applyFont="1" applyBorder="1" applyAlignment="1">
      <alignment horizontal="center" vertical="center"/>
    </xf>
    <xf numFmtId="0" fontId="86" fillId="0" borderId="162" xfId="0" applyFont="1" applyBorder="1">
      <alignment vertical="center"/>
    </xf>
    <xf numFmtId="0" fontId="90" fillId="0" borderId="162" xfId="0" applyFont="1" applyBorder="1">
      <alignment vertical="center"/>
    </xf>
    <xf numFmtId="0" fontId="112" fillId="0" borderId="162" xfId="0" applyFont="1" applyBorder="1" applyAlignment="1">
      <alignment vertical="center" wrapText="1"/>
    </xf>
    <xf numFmtId="0" fontId="133" fillId="3" borderId="162" xfId="0" applyFont="1" applyFill="1" applyBorder="1" applyAlignment="1">
      <alignment horizontal="center" vertical="center" wrapText="1"/>
    </xf>
    <xf numFmtId="0" fontId="132" fillId="3" borderId="162" xfId="0" applyFont="1" applyFill="1" applyBorder="1" applyAlignment="1" applyProtection="1">
      <alignment horizontal="center" vertical="center"/>
      <protection hidden="1"/>
    </xf>
    <xf numFmtId="0" fontId="91" fillId="0" borderId="162" xfId="0" applyFont="1" applyBorder="1" applyAlignment="1">
      <alignment vertical="center" wrapText="1"/>
    </xf>
    <xf numFmtId="184" fontId="88" fillId="3" borderId="162" xfId="0" applyNumberFormat="1" applyFont="1" applyFill="1" applyBorder="1" applyProtection="1">
      <alignment vertical="center"/>
      <protection locked="0"/>
    </xf>
    <xf numFmtId="0" fontId="91" fillId="0" borderId="162" xfId="0" applyFont="1" applyBorder="1">
      <alignment vertical="center"/>
    </xf>
    <xf numFmtId="0" fontId="91" fillId="0" borderId="162" xfId="0" applyFont="1" applyBorder="1" applyAlignment="1">
      <alignment horizontal="center" vertical="center"/>
    </xf>
    <xf numFmtId="0" fontId="99" fillId="3" borderId="162" xfId="0" applyFont="1" applyFill="1" applyBorder="1" applyAlignment="1">
      <alignment horizontal="center" vertical="center" wrapText="1"/>
    </xf>
    <xf numFmtId="0" fontId="99" fillId="3" borderId="162" xfId="0" applyFont="1" applyFill="1" applyBorder="1" applyAlignment="1">
      <alignment horizontal="center" vertical="center"/>
    </xf>
    <xf numFmtId="176" fontId="86" fillId="0" borderId="162" xfId="0" applyNumberFormat="1" applyFont="1" applyBorder="1">
      <alignment vertical="center"/>
    </xf>
    <xf numFmtId="194" fontId="86" fillId="0" borderId="162" xfId="0" applyNumberFormat="1" applyFont="1" applyBorder="1">
      <alignment vertical="center"/>
    </xf>
    <xf numFmtId="178" fontId="86" fillId="0" borderId="162" xfId="1" applyFont="1" applyBorder="1">
      <alignment vertical="center"/>
    </xf>
    <xf numFmtId="0" fontId="11" fillId="0" borderId="162" xfId="0" applyFont="1" applyBorder="1">
      <alignment vertical="center"/>
    </xf>
    <xf numFmtId="176" fontId="98" fillId="0" borderId="162" xfId="0" applyNumberFormat="1" applyFont="1" applyBorder="1">
      <alignment vertical="center"/>
    </xf>
    <xf numFmtId="178" fontId="98" fillId="41" borderId="162" xfId="1" applyFont="1" applyFill="1" applyBorder="1">
      <alignment vertical="center"/>
    </xf>
    <xf numFmtId="0" fontId="98" fillId="0" borderId="162" xfId="0" applyFont="1" applyBorder="1">
      <alignment vertical="center"/>
    </xf>
    <xf numFmtId="0" fontId="86" fillId="41" borderId="162" xfId="0" applyFont="1" applyFill="1" applyBorder="1" applyAlignment="1">
      <alignment horizontal="center" vertical="center"/>
    </xf>
    <xf numFmtId="176" fontId="98" fillId="41" borderId="162" xfId="0" applyNumberFormat="1" applyFont="1" applyFill="1" applyBorder="1" applyAlignment="1">
      <alignment horizontal="center" vertical="center"/>
    </xf>
    <xf numFmtId="0" fontId="86" fillId="0" borderId="162" xfId="0" applyFont="1" applyBorder="1" applyAlignment="1">
      <alignment horizontal="center" vertical="center"/>
    </xf>
    <xf numFmtId="176" fontId="95" fillId="0" borderId="162" xfId="0" applyNumberFormat="1" applyFont="1" applyBorder="1" applyAlignment="1">
      <alignment horizontal="center" vertical="center"/>
    </xf>
    <xf numFmtId="182" fontId="86" fillId="0" borderId="162" xfId="0" applyNumberFormat="1" applyFont="1" applyBorder="1" applyProtection="1">
      <alignment vertical="center"/>
      <protection locked="0"/>
    </xf>
    <xf numFmtId="0" fontId="86" fillId="0" borderId="162" xfId="0" applyFont="1" applyBorder="1" applyProtection="1">
      <alignment vertical="center"/>
      <protection locked="0"/>
    </xf>
    <xf numFmtId="0" fontId="26" fillId="0" borderId="123" xfId="0" applyFont="1" applyBorder="1" applyAlignment="1" applyProtection="1">
      <alignment vertical="center" wrapText="1"/>
      <protection locked="0"/>
    </xf>
    <xf numFmtId="0" fontId="26" fillId="0" borderId="123" xfId="0" applyFont="1" applyBorder="1" applyProtection="1">
      <alignment vertical="center"/>
      <protection locked="0"/>
    </xf>
    <xf numFmtId="0" fontId="86" fillId="0" borderId="164" xfId="0" applyFont="1" applyBorder="1">
      <alignment vertical="center"/>
    </xf>
    <xf numFmtId="0" fontId="5" fillId="0" borderId="148" xfId="0" applyFont="1" applyBorder="1">
      <alignment vertical="center"/>
    </xf>
    <xf numFmtId="0" fontId="5" fillId="0" borderId="148" xfId="0" applyFont="1" applyBorder="1" applyProtection="1">
      <alignment vertical="center"/>
      <protection locked="0"/>
    </xf>
    <xf numFmtId="176" fontId="5" fillId="0" borderId="148" xfId="0" applyNumberFormat="1" applyFont="1" applyBorder="1" applyProtection="1">
      <alignment vertical="center"/>
      <protection locked="0"/>
    </xf>
    <xf numFmtId="10" fontId="5" fillId="0" borderId="148" xfId="2" applyNumberFormat="1" applyFont="1" applyBorder="1" applyProtection="1">
      <alignment vertical="center"/>
      <protection locked="0"/>
    </xf>
    <xf numFmtId="0" fontId="5" fillId="3" borderId="148" xfId="15" applyFont="1" applyFill="1" applyBorder="1" applyProtection="1">
      <alignment vertical="center"/>
      <protection locked="0"/>
    </xf>
    <xf numFmtId="0" fontId="26" fillId="3" borderId="148" xfId="0" applyFont="1" applyFill="1" applyBorder="1" applyAlignment="1" applyProtection="1">
      <alignment horizontal="right" vertical="center"/>
      <protection locked="0"/>
    </xf>
    <xf numFmtId="0" fontId="26" fillId="0" borderId="148" xfId="0" applyFont="1" applyBorder="1" applyProtection="1">
      <alignment vertical="center"/>
      <protection locked="0"/>
    </xf>
    <xf numFmtId="0" fontId="26" fillId="0" borderId="148" xfId="1" applyNumberFormat="1" applyFont="1" applyBorder="1" applyProtection="1">
      <alignment vertical="center"/>
      <protection locked="0"/>
    </xf>
    <xf numFmtId="0" fontId="86" fillId="0" borderId="148" xfId="0" applyFont="1" applyBorder="1" applyProtection="1">
      <alignment vertical="center"/>
      <protection locked="0"/>
    </xf>
    <xf numFmtId="178" fontId="103" fillId="0" borderId="62" xfId="1" applyFont="1" applyFill="1" applyBorder="1" applyAlignment="1" applyProtection="1">
      <alignment horizontal="center" vertical="center"/>
      <protection locked="0"/>
    </xf>
    <xf numFmtId="0" fontId="26" fillId="42" borderId="62" xfId="1" applyNumberFormat="1" applyFont="1" applyFill="1" applyBorder="1" applyAlignment="1" applyProtection="1">
      <alignment horizontal="right" vertical="center"/>
      <protection locked="0"/>
    </xf>
    <xf numFmtId="178" fontId="75" fillId="41" borderId="62" xfId="1" applyFont="1" applyFill="1" applyBorder="1" applyAlignment="1" applyProtection="1">
      <alignment horizontal="right" vertical="center"/>
      <protection locked="0"/>
    </xf>
    <xf numFmtId="0" fontId="1" fillId="14" borderId="62" xfId="13" applyBorder="1" applyAlignment="1" applyProtection="1">
      <alignment horizontal="center" vertical="center"/>
      <protection locked="0"/>
    </xf>
    <xf numFmtId="0" fontId="138" fillId="60" borderId="0" xfId="3" applyFont="1" applyFill="1">
      <alignment vertical="center"/>
    </xf>
    <xf numFmtId="0" fontId="138" fillId="60" borderId="0" xfId="3" applyFont="1" applyFill="1" applyAlignment="1">
      <alignment horizontal="center" vertical="center"/>
    </xf>
    <xf numFmtId="49" fontId="110" fillId="67" borderId="0" xfId="3" applyNumberFormat="1" applyFont="1" applyFill="1" applyAlignment="1" applyProtection="1">
      <alignment horizontal="center" vertical="center"/>
      <protection locked="0"/>
    </xf>
    <xf numFmtId="0" fontId="140" fillId="41" borderId="62" xfId="42788" applyFont="1" applyFill="1" applyBorder="1" applyAlignment="1">
      <alignment horizontal="center" vertical="center"/>
    </xf>
    <xf numFmtId="0" fontId="139" fillId="53" borderId="62" xfId="42788" applyFont="1" applyFill="1" applyBorder="1" applyAlignment="1">
      <alignment horizontal="center" vertical="center"/>
    </xf>
    <xf numFmtId="0" fontId="96" fillId="0" borderId="0" xfId="0" applyFont="1" applyProtection="1">
      <alignment vertical="center"/>
      <protection hidden="1"/>
    </xf>
    <xf numFmtId="0" fontId="11" fillId="3" borderId="0" xfId="0" applyFont="1" applyFill="1">
      <alignment vertical="center"/>
    </xf>
    <xf numFmtId="0" fontId="78" fillId="58" borderId="0" xfId="3" applyFont="1" applyFill="1" applyAlignment="1">
      <alignment horizontal="center" vertical="center"/>
    </xf>
    <xf numFmtId="49" fontId="26" fillId="42" borderId="62" xfId="1" applyNumberFormat="1" applyFont="1" applyFill="1" applyBorder="1" applyAlignment="1" applyProtection="1">
      <alignment horizontal="right" vertical="center"/>
      <protection locked="0"/>
    </xf>
    <xf numFmtId="10" fontId="5" fillId="55" borderId="70" xfId="0" applyNumberFormat="1" applyFont="1" applyFill="1" applyBorder="1" applyProtection="1">
      <alignment vertical="center"/>
      <protection locked="0"/>
    </xf>
    <xf numFmtId="0" fontId="116" fillId="41" borderId="62" xfId="3" applyFont="1" applyFill="1" applyBorder="1" applyAlignment="1" applyProtection="1">
      <alignment horizontal="center" vertical="center"/>
      <protection locked="0"/>
    </xf>
    <xf numFmtId="0" fontId="117" fillId="3" borderId="123" xfId="3" applyFont="1" applyFill="1" applyBorder="1" applyAlignment="1" applyProtection="1">
      <alignment horizontal="center" vertical="center"/>
      <protection locked="0"/>
    </xf>
    <xf numFmtId="9" fontId="117" fillId="3" borderId="123" xfId="2" applyFont="1" applyFill="1" applyBorder="1" applyAlignment="1" applyProtection="1">
      <alignment horizontal="center" vertical="center"/>
      <protection locked="0"/>
    </xf>
    <xf numFmtId="0" fontId="117" fillId="3" borderId="138" xfId="3" applyFont="1" applyFill="1" applyBorder="1" applyAlignment="1" applyProtection="1">
      <alignment horizontal="center" vertical="center"/>
      <protection locked="0"/>
    </xf>
    <xf numFmtId="0" fontId="5" fillId="0" borderId="0" xfId="0" quotePrefix="1" applyFont="1" applyProtection="1">
      <alignment vertical="center"/>
      <protection locked="0"/>
    </xf>
    <xf numFmtId="9" fontId="74" fillId="0" borderId="62" xfId="2" applyFont="1" applyBorder="1" applyAlignment="1">
      <alignment horizontal="center" vertical="center"/>
    </xf>
    <xf numFmtId="9" fontId="74" fillId="0" borderId="91" xfId="2" applyFont="1" applyBorder="1" applyAlignment="1">
      <alignment horizontal="center" vertical="center"/>
    </xf>
    <xf numFmtId="9" fontId="74" fillId="0" borderId="165" xfId="2" applyFont="1" applyBorder="1" applyAlignment="1">
      <alignment horizontal="center" vertical="center"/>
    </xf>
    <xf numFmtId="9" fontId="74" fillId="0" borderId="166" xfId="2" applyFont="1" applyBorder="1" applyAlignment="1">
      <alignment horizontal="center" vertical="center"/>
    </xf>
    <xf numFmtId="0" fontId="91" fillId="0" borderId="62" xfId="0" applyFont="1" applyBorder="1" applyAlignment="1">
      <alignment vertical="center" wrapText="1"/>
    </xf>
    <xf numFmtId="184" fontId="88" fillId="3" borderId="62" xfId="0" applyNumberFormat="1" applyFont="1" applyFill="1" applyBorder="1" applyProtection="1">
      <alignment vertical="center"/>
      <protection locked="0"/>
    </xf>
    <xf numFmtId="190" fontId="141" fillId="3" borderId="162" xfId="1" applyNumberFormat="1" applyFont="1" applyFill="1" applyBorder="1" applyAlignment="1" applyProtection="1">
      <alignment horizontal="center" vertical="center"/>
      <protection hidden="1"/>
    </xf>
    <xf numFmtId="49" fontId="142" fillId="68" borderId="0" xfId="3" applyNumberFormat="1" applyFont="1" applyFill="1" applyAlignment="1" applyProtection="1">
      <alignment horizontal="center" vertical="center"/>
      <protection locked="0"/>
    </xf>
    <xf numFmtId="0" fontId="143" fillId="68" borderId="0" xfId="3" applyFont="1" applyFill="1" applyAlignment="1">
      <alignment horizontal="center" vertical="center"/>
    </xf>
    <xf numFmtId="0" fontId="8" fillId="3" borderId="0" xfId="3" quotePrefix="1" applyFill="1" applyAlignment="1">
      <alignment horizontal="center" vertical="center"/>
    </xf>
    <xf numFmtId="0" fontId="89" fillId="3" borderId="80" xfId="0" applyFont="1" applyFill="1" applyBorder="1" applyAlignment="1" applyProtection="1">
      <alignment horizontal="center" vertical="center"/>
      <protection hidden="1"/>
    </xf>
    <xf numFmtId="0" fontId="87" fillId="3" borderId="18" xfId="0" applyFont="1" applyFill="1" applyBorder="1" applyAlignment="1" applyProtection="1">
      <alignment horizontal="center" vertical="center" wrapText="1"/>
      <protection hidden="1"/>
    </xf>
    <xf numFmtId="0" fontId="87" fillId="3" borderId="15" xfId="0" applyFont="1" applyFill="1" applyBorder="1" applyAlignment="1" applyProtection="1">
      <alignment horizontal="center" vertical="center" wrapText="1"/>
      <protection hidden="1"/>
    </xf>
    <xf numFmtId="0" fontId="87" fillId="3" borderId="24" xfId="0" applyFont="1" applyFill="1" applyBorder="1" applyAlignment="1" applyProtection="1">
      <alignment horizontal="center" vertical="center" wrapText="1"/>
      <protection hidden="1"/>
    </xf>
    <xf numFmtId="0" fontId="87" fillId="3" borderId="125" xfId="0" applyFont="1" applyFill="1" applyBorder="1" applyAlignment="1" applyProtection="1">
      <alignment horizontal="center" vertical="center" wrapText="1"/>
      <protection hidden="1"/>
    </xf>
    <xf numFmtId="178" fontId="92" fillId="3" borderId="17" xfId="0" applyNumberFormat="1" applyFont="1" applyFill="1" applyBorder="1" applyAlignment="1" applyProtection="1">
      <alignment horizontal="center" vertical="center"/>
      <protection hidden="1"/>
    </xf>
    <xf numFmtId="178" fontId="92" fillId="3" borderId="18" xfId="0" applyNumberFormat="1" applyFont="1" applyFill="1" applyBorder="1" applyAlignment="1" applyProtection="1">
      <alignment horizontal="center" vertical="center"/>
      <protection hidden="1"/>
    </xf>
    <xf numFmtId="178" fontId="92" fillId="3" borderId="23" xfId="0" applyNumberFormat="1" applyFont="1" applyFill="1" applyBorder="1" applyAlignment="1" applyProtection="1">
      <alignment horizontal="center" vertical="center"/>
      <protection hidden="1"/>
    </xf>
    <xf numFmtId="178" fontId="92" fillId="3" borderId="24" xfId="0" applyNumberFormat="1" applyFont="1" applyFill="1" applyBorder="1" applyAlignment="1" applyProtection="1">
      <alignment horizontal="center" vertical="center"/>
      <protection hidden="1"/>
    </xf>
    <xf numFmtId="0" fontId="89" fillId="45" borderId="7" xfId="0" applyFont="1" applyFill="1" applyBorder="1" applyAlignment="1" applyProtection="1">
      <alignment horizontal="center" vertical="center" wrapText="1"/>
      <protection hidden="1"/>
    </xf>
    <xf numFmtId="0" fontId="89" fillId="45" borderId="8" xfId="0" applyFont="1" applyFill="1" applyBorder="1" applyAlignment="1" applyProtection="1">
      <alignment horizontal="center" vertical="center" wrapText="1"/>
      <protection hidden="1"/>
    </xf>
    <xf numFmtId="0" fontId="89" fillId="45" borderId="3" xfId="0" applyFont="1" applyFill="1" applyBorder="1" applyAlignment="1" applyProtection="1">
      <alignment horizontal="center" vertical="center" wrapText="1"/>
      <protection hidden="1"/>
    </xf>
    <xf numFmtId="0" fontId="89" fillId="45" borderId="4" xfId="0" applyFont="1" applyFill="1" applyBorder="1" applyAlignment="1" applyProtection="1">
      <alignment horizontal="center" vertical="center" wrapText="1"/>
      <protection hidden="1"/>
    </xf>
    <xf numFmtId="0" fontId="86" fillId="46" borderId="8" xfId="0" applyFont="1" applyFill="1" applyBorder="1" applyAlignment="1" applyProtection="1">
      <alignment horizontal="center" vertical="center"/>
      <protection hidden="1"/>
    </xf>
    <xf numFmtId="0" fontId="86" fillId="46" borderId="4" xfId="0" applyFont="1" applyFill="1" applyBorder="1" applyAlignment="1" applyProtection="1">
      <alignment horizontal="center" vertical="center"/>
      <protection hidden="1"/>
    </xf>
    <xf numFmtId="178" fontId="86" fillId="2" borderId="5" xfId="0" applyNumberFormat="1" applyFont="1" applyFill="1" applyBorder="1" applyAlignment="1" applyProtection="1">
      <alignment horizontal="center" vertical="center"/>
      <protection locked="0"/>
    </xf>
    <xf numFmtId="178" fontId="86" fillId="2" borderId="6" xfId="0" applyNumberFormat="1" applyFont="1" applyFill="1" applyBorder="1" applyAlignment="1" applyProtection="1">
      <alignment horizontal="center" vertical="center"/>
      <protection locked="0"/>
    </xf>
    <xf numFmtId="178" fontId="86" fillId="2" borderId="5" xfId="0" applyNumberFormat="1" applyFont="1" applyFill="1" applyBorder="1" applyAlignment="1" applyProtection="1">
      <alignment horizontal="center" vertical="center"/>
      <protection hidden="1"/>
    </xf>
    <xf numFmtId="178" fontId="86" fillId="2" borderId="6" xfId="0" applyNumberFormat="1" applyFont="1" applyFill="1" applyBorder="1" applyAlignment="1" applyProtection="1">
      <alignment horizontal="center" vertical="center"/>
      <protection hidden="1"/>
    </xf>
    <xf numFmtId="0" fontId="86" fillId="0" borderId="80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96" fillId="45" borderId="19" xfId="0" applyFont="1" applyFill="1" applyBorder="1" applyAlignment="1" applyProtection="1">
      <alignment horizontal="center" vertical="center"/>
      <protection hidden="1"/>
    </xf>
    <xf numFmtId="0" fontId="96" fillId="45" borderId="124" xfId="0" applyFont="1" applyFill="1" applyBorder="1" applyAlignment="1" applyProtection="1">
      <alignment horizontal="center" vertical="center"/>
      <protection hidden="1"/>
    </xf>
    <xf numFmtId="0" fontId="96" fillId="45" borderId="19" xfId="0" applyFont="1" applyFill="1" applyBorder="1" applyAlignment="1" applyProtection="1">
      <alignment horizontal="center" vertical="center" wrapText="1"/>
      <protection hidden="1"/>
    </xf>
    <xf numFmtId="0" fontId="96" fillId="45" borderId="0" xfId="0" applyFont="1" applyFill="1" applyAlignment="1" applyProtection="1">
      <alignment horizontal="center" vertical="center" wrapText="1"/>
      <protection hidden="1"/>
    </xf>
    <xf numFmtId="0" fontId="96" fillId="45" borderId="30" xfId="0" applyFont="1" applyFill="1" applyBorder="1" applyAlignment="1" applyProtection="1">
      <alignment horizontal="center" vertical="center" wrapText="1"/>
      <protection hidden="1"/>
    </xf>
    <xf numFmtId="0" fontId="88" fillId="3" borderId="0" xfId="0" applyFont="1" applyFill="1" applyAlignment="1" applyProtection="1">
      <alignment horizontal="center" vertical="center"/>
      <protection hidden="1"/>
    </xf>
    <xf numFmtId="10" fontId="86" fillId="46" borderId="119" xfId="2" applyNumberFormat="1" applyFont="1" applyFill="1" applyBorder="1" applyAlignment="1">
      <alignment horizontal="center" vertical="center"/>
    </xf>
    <xf numFmtId="187" fontId="88" fillId="46" borderId="80" xfId="0" applyNumberFormat="1" applyFont="1" applyFill="1" applyBorder="1" applyAlignment="1" applyProtection="1">
      <alignment horizontal="center" vertical="center"/>
      <protection hidden="1"/>
    </xf>
    <xf numFmtId="187" fontId="88" fillId="46" borderId="94" xfId="0" applyNumberFormat="1" applyFont="1" applyFill="1" applyBorder="1" applyAlignment="1" applyProtection="1">
      <alignment horizontal="center" vertical="center"/>
      <protection hidden="1"/>
    </xf>
    <xf numFmtId="0" fontId="26" fillId="3" borderId="0" xfId="0" applyFont="1" applyFill="1" applyAlignment="1" applyProtection="1">
      <alignment horizontal="left" vertical="center"/>
      <protection locked="0"/>
    </xf>
    <xf numFmtId="178" fontId="86" fillId="3" borderId="80" xfId="1" applyFont="1" applyFill="1" applyBorder="1" applyAlignment="1" applyProtection="1">
      <alignment horizontal="center" vertical="center"/>
      <protection locked="0"/>
    </xf>
    <xf numFmtId="178" fontId="86" fillId="3" borderId="94" xfId="1" applyFont="1" applyFill="1" applyBorder="1" applyAlignment="1" applyProtection="1">
      <alignment horizontal="center" vertical="center"/>
      <protection locked="0"/>
    </xf>
    <xf numFmtId="38" fontId="91" fillId="0" borderId="0" xfId="0" applyNumberFormat="1" applyFont="1" applyAlignment="1" applyProtection="1">
      <alignment horizontal="center" vertical="center"/>
      <protection locked="0"/>
    </xf>
    <xf numFmtId="38" fontId="88" fillId="46" borderId="97" xfId="0" applyNumberFormat="1" applyFont="1" applyFill="1" applyBorder="1" applyAlignment="1">
      <alignment horizontal="center" vertical="center"/>
    </xf>
    <xf numFmtId="0" fontId="96" fillId="45" borderId="31" xfId="0" applyFont="1" applyFill="1" applyBorder="1" applyAlignment="1" applyProtection="1">
      <alignment horizontal="center" vertical="center"/>
      <protection hidden="1"/>
    </xf>
    <xf numFmtId="0" fontId="26" fillId="0" borderId="62" xfId="0" applyFont="1" applyBorder="1" applyAlignment="1">
      <alignment horizontal="center" vertical="center"/>
    </xf>
    <xf numFmtId="0" fontId="0" fillId="3" borderId="62" xfId="0" applyFill="1" applyBorder="1" applyAlignment="1" applyProtection="1">
      <alignment horizontal="center" vertical="center"/>
      <protection locked="0"/>
    </xf>
    <xf numFmtId="0" fontId="26" fillId="0" borderId="62" xfId="0" applyFont="1" applyBorder="1" applyAlignment="1" applyProtection="1">
      <alignment horizontal="center" vertical="center"/>
      <protection locked="0"/>
    </xf>
    <xf numFmtId="0" fontId="100" fillId="46" borderId="116" xfId="0" applyFont="1" applyFill="1" applyBorder="1" applyAlignment="1" applyProtection="1">
      <alignment horizontal="center" vertical="center"/>
      <protection hidden="1"/>
    </xf>
    <xf numFmtId="0" fontId="100" fillId="46" borderId="112" xfId="0" applyFont="1" applyFill="1" applyBorder="1" applyAlignment="1" applyProtection="1">
      <alignment horizontal="center" vertical="center"/>
      <protection hidden="1"/>
    </xf>
    <xf numFmtId="0" fontId="100" fillId="46" borderId="113" xfId="0" applyFont="1" applyFill="1" applyBorder="1" applyAlignment="1" applyProtection="1">
      <alignment horizontal="center" vertical="center"/>
      <protection hidden="1"/>
    </xf>
    <xf numFmtId="0" fontId="26" fillId="0" borderId="123" xfId="0" applyFont="1" applyBorder="1" applyAlignment="1" applyProtection="1">
      <alignment horizontal="center" vertical="center"/>
      <protection locked="0"/>
    </xf>
    <xf numFmtId="0" fontId="26" fillId="0" borderId="139" xfId="0" applyFont="1" applyBorder="1" applyAlignment="1" applyProtection="1">
      <alignment horizontal="center" vertical="center"/>
      <protection locked="0"/>
    </xf>
    <xf numFmtId="0" fontId="106" fillId="2" borderId="30" xfId="0" applyFont="1" applyFill="1" applyBorder="1" applyAlignment="1" applyProtection="1">
      <alignment horizontal="center" vertical="center"/>
      <protection hidden="1"/>
    </xf>
    <xf numFmtId="0" fontId="86" fillId="46" borderId="35" xfId="0" applyFont="1" applyFill="1" applyBorder="1" applyAlignment="1" applyProtection="1">
      <alignment horizontal="center" vertical="center"/>
      <protection hidden="1"/>
    </xf>
    <xf numFmtId="0" fontId="86" fillId="46" borderId="11" xfId="0" applyFont="1" applyFill="1" applyBorder="1" applyAlignment="1" applyProtection="1">
      <alignment horizontal="center" vertical="center"/>
      <protection hidden="1"/>
    </xf>
    <xf numFmtId="0" fontId="89" fillId="45" borderId="119" xfId="0" applyFont="1" applyFill="1" applyBorder="1" applyAlignment="1" applyProtection="1">
      <alignment horizontal="center" vertical="center"/>
      <protection hidden="1"/>
    </xf>
    <xf numFmtId="0" fontId="89" fillId="45" borderId="118" xfId="0" applyFont="1" applyFill="1" applyBorder="1" applyAlignment="1" applyProtection="1">
      <alignment horizontal="center" vertical="center"/>
      <protection hidden="1"/>
    </xf>
    <xf numFmtId="178" fontId="90" fillId="3" borderId="0" xfId="0" applyNumberFormat="1" applyFont="1" applyFill="1" applyAlignment="1" applyProtection="1">
      <alignment horizontal="center" vertical="center"/>
      <protection hidden="1"/>
    </xf>
    <xf numFmtId="0" fontId="7" fillId="5" borderId="63" xfId="0" applyFont="1" applyFill="1" applyBorder="1" applyAlignment="1" applyProtection="1">
      <alignment horizontal="center" vertical="center"/>
      <protection locked="0"/>
    </xf>
    <xf numFmtId="0" fontId="7" fillId="5" borderId="64" xfId="0" applyFont="1" applyFill="1" applyBorder="1" applyAlignment="1" applyProtection="1">
      <alignment horizontal="center" vertical="center"/>
      <protection locked="0"/>
    </xf>
    <xf numFmtId="0" fontId="88" fillId="46" borderId="97" xfId="0" applyFont="1" applyFill="1" applyBorder="1" applyAlignment="1" applyProtection="1">
      <alignment horizontal="center" vertical="center"/>
      <protection locked="0"/>
    </xf>
    <xf numFmtId="0" fontId="86" fillId="46" borderId="132" xfId="0" applyFont="1" applyFill="1" applyBorder="1" applyAlignment="1" applyProtection="1">
      <alignment horizontal="center" vertical="center"/>
      <protection hidden="1"/>
    </xf>
    <xf numFmtId="0" fontId="86" fillId="46" borderId="133" xfId="0" applyFont="1" applyFill="1" applyBorder="1" applyAlignment="1" applyProtection="1">
      <alignment horizontal="center" vertical="center"/>
      <protection hidden="1"/>
    </xf>
    <xf numFmtId="0" fontId="86" fillId="46" borderId="134" xfId="0" applyFont="1" applyFill="1" applyBorder="1" applyAlignment="1" applyProtection="1">
      <alignment horizontal="center" vertical="center"/>
      <protection hidden="1"/>
    </xf>
    <xf numFmtId="0" fontId="86" fillId="46" borderId="135" xfId="0" applyFont="1" applyFill="1" applyBorder="1" applyAlignment="1" applyProtection="1">
      <alignment horizontal="center" vertical="center"/>
      <protection hidden="1"/>
    </xf>
    <xf numFmtId="0" fontId="86" fillId="46" borderId="136" xfId="0" applyFont="1" applyFill="1" applyBorder="1" applyAlignment="1" applyProtection="1">
      <alignment horizontal="center" vertical="center"/>
      <protection hidden="1"/>
    </xf>
    <xf numFmtId="0" fontId="86" fillId="46" borderId="77" xfId="0" applyFont="1" applyFill="1" applyBorder="1" applyAlignment="1" applyProtection="1">
      <alignment horizontal="center" vertical="center"/>
      <protection hidden="1"/>
    </xf>
    <xf numFmtId="0" fontId="101" fillId="39" borderId="51" xfId="0" applyFont="1" applyFill="1" applyBorder="1" applyAlignment="1" applyProtection="1">
      <alignment horizontal="center" vertical="center"/>
      <protection locked="0"/>
    </xf>
    <xf numFmtId="0" fontId="101" fillId="39" borderId="0" xfId="0" applyFont="1" applyFill="1" applyAlignment="1" applyProtection="1">
      <alignment horizontal="center" vertical="center"/>
      <protection locked="0"/>
    </xf>
    <xf numFmtId="184" fontId="88" fillId="46" borderId="94" xfId="0" applyNumberFormat="1" applyFont="1" applyFill="1" applyBorder="1" applyAlignment="1" applyProtection="1">
      <alignment horizontal="center" vertical="center"/>
      <protection locked="0"/>
    </xf>
    <xf numFmtId="184" fontId="88" fillId="46" borderId="96" xfId="0" applyNumberFormat="1" applyFont="1" applyFill="1" applyBorder="1" applyAlignment="1" applyProtection="1">
      <alignment horizontal="center" vertical="center"/>
      <protection locked="0"/>
    </xf>
    <xf numFmtId="184" fontId="88" fillId="46" borderId="95" xfId="0" applyNumberFormat="1" applyFont="1" applyFill="1" applyBorder="1" applyAlignment="1" applyProtection="1">
      <alignment horizontal="center" vertical="center"/>
      <protection locked="0"/>
    </xf>
    <xf numFmtId="178" fontId="88" fillId="2" borderId="11" xfId="0" applyNumberFormat="1" applyFont="1" applyFill="1" applyBorder="1" applyAlignment="1" applyProtection="1">
      <alignment horizontal="center" vertical="center"/>
      <protection hidden="1"/>
    </xf>
    <xf numFmtId="178" fontId="88" fillId="2" borderId="12" xfId="0" applyNumberFormat="1" applyFont="1" applyFill="1" applyBorder="1" applyAlignment="1" applyProtection="1">
      <alignment horizontal="center" vertical="center"/>
      <protection hidden="1"/>
    </xf>
    <xf numFmtId="178" fontId="94" fillId="3" borderId="19" xfId="1" applyFont="1" applyFill="1" applyBorder="1" applyAlignment="1" applyProtection="1">
      <alignment horizontal="center" vertical="center"/>
      <protection hidden="1"/>
    </xf>
    <xf numFmtId="0" fontId="88" fillId="3" borderId="19" xfId="0" applyFont="1" applyFill="1" applyBorder="1" applyAlignment="1" applyProtection="1">
      <alignment horizontal="center" vertical="center"/>
      <protection hidden="1"/>
    </xf>
    <xf numFmtId="178" fontId="88" fillId="2" borderId="11" xfId="1" applyFont="1" applyFill="1" applyBorder="1" applyAlignment="1" applyProtection="1">
      <alignment horizontal="center" vertical="center"/>
      <protection hidden="1"/>
    </xf>
    <xf numFmtId="178" fontId="88" fillId="2" borderId="12" xfId="1" applyFont="1" applyFill="1" applyBorder="1" applyAlignment="1" applyProtection="1">
      <alignment horizontal="center" vertical="center"/>
      <protection hidden="1"/>
    </xf>
    <xf numFmtId="184" fontId="88" fillId="46" borderId="98" xfId="0" applyNumberFormat="1" applyFont="1" applyFill="1" applyBorder="1" applyAlignment="1" applyProtection="1">
      <alignment horizontal="center" vertical="center"/>
      <protection locked="0"/>
    </xf>
    <xf numFmtId="0" fontId="86" fillId="46" borderId="80" xfId="0" applyFont="1" applyFill="1" applyBorder="1" applyAlignment="1" applyProtection="1">
      <alignment horizontal="center" vertical="center"/>
      <protection locked="0"/>
    </xf>
    <xf numFmtId="0" fontId="88" fillId="0" borderId="80" xfId="0" applyFont="1" applyBorder="1" applyAlignment="1">
      <alignment horizontal="center" vertical="center"/>
    </xf>
    <xf numFmtId="0" fontId="86" fillId="46" borderId="34" xfId="0" applyFont="1" applyFill="1" applyBorder="1" applyAlignment="1" applyProtection="1">
      <alignment horizontal="center" vertical="center"/>
      <protection hidden="1"/>
    </xf>
    <xf numFmtId="0" fontId="86" fillId="46" borderId="9" xfId="0" applyFont="1" applyFill="1" applyBorder="1" applyAlignment="1" applyProtection="1">
      <alignment horizontal="center" vertical="center"/>
      <protection hidden="1"/>
    </xf>
    <xf numFmtId="0" fontId="89" fillId="45" borderId="26" xfId="0" applyFont="1" applyFill="1" applyBorder="1" applyAlignment="1" applyProtection="1">
      <alignment horizontal="center" vertical="center" wrapText="1"/>
      <protection hidden="1"/>
    </xf>
    <xf numFmtId="0" fontId="89" fillId="45" borderId="27" xfId="0" applyFont="1" applyFill="1" applyBorder="1" applyAlignment="1" applyProtection="1">
      <alignment horizontal="center" vertical="center" wrapText="1"/>
      <protection hidden="1"/>
    </xf>
    <xf numFmtId="49" fontId="88" fillId="3" borderId="28" xfId="0" applyNumberFormat="1" applyFont="1" applyFill="1" applyBorder="1" applyAlignment="1" applyProtection="1">
      <alignment horizontal="center" vertical="center"/>
      <protection hidden="1"/>
    </xf>
    <xf numFmtId="49" fontId="88" fillId="3" borderId="25" xfId="0" applyNumberFormat="1" applyFont="1" applyFill="1" applyBorder="1" applyAlignment="1" applyProtection="1">
      <alignment horizontal="center" vertical="center"/>
      <protection hidden="1"/>
    </xf>
    <xf numFmtId="49" fontId="88" fillId="3" borderId="26" xfId="0" applyNumberFormat="1" applyFont="1" applyFill="1" applyBorder="1" applyAlignment="1" applyProtection="1">
      <alignment horizontal="center" vertical="center"/>
      <protection hidden="1"/>
    </xf>
    <xf numFmtId="0" fontId="89" fillId="45" borderId="28" xfId="0" applyFont="1" applyFill="1" applyBorder="1" applyAlignment="1" applyProtection="1">
      <alignment horizontal="center" vertical="center"/>
      <protection hidden="1"/>
    </xf>
    <xf numFmtId="0" fontId="89" fillId="45" borderId="25" xfId="0" applyFont="1" applyFill="1" applyBorder="1" applyAlignment="1" applyProtection="1">
      <alignment horizontal="center" vertical="center"/>
      <protection hidden="1"/>
    </xf>
    <xf numFmtId="14" fontId="88" fillId="3" borderId="25" xfId="0" applyNumberFormat="1" applyFont="1" applyFill="1" applyBorder="1" applyAlignment="1" applyProtection="1">
      <alignment horizontal="center" vertical="center"/>
      <protection hidden="1"/>
    </xf>
    <xf numFmtId="0" fontId="88" fillId="3" borderId="25" xfId="0" applyFont="1" applyFill="1" applyBorder="1" applyAlignment="1" applyProtection="1">
      <alignment horizontal="center" vertical="center"/>
      <protection hidden="1"/>
    </xf>
    <xf numFmtId="0" fontId="86" fillId="0" borderId="98" xfId="0" applyFont="1" applyBorder="1" applyAlignment="1">
      <alignment horizontal="center" vertical="center"/>
    </xf>
    <xf numFmtId="178" fontId="5" fillId="3" borderId="56" xfId="0" applyNumberFormat="1" applyFont="1" applyFill="1" applyBorder="1" applyAlignment="1" applyProtection="1">
      <alignment horizontal="center" vertical="center"/>
      <protection locked="0"/>
    </xf>
    <xf numFmtId="0" fontId="88" fillId="3" borderId="37" xfId="0" applyFont="1" applyFill="1" applyBorder="1" applyAlignment="1" applyProtection="1">
      <alignment horizontal="right" vertical="center"/>
      <protection hidden="1"/>
    </xf>
    <xf numFmtId="0" fontId="88" fillId="41" borderId="121" xfId="0" applyFont="1" applyFill="1" applyBorder="1" applyAlignment="1" applyProtection="1">
      <alignment horizontal="center" vertical="center"/>
      <protection locked="0"/>
    </xf>
    <xf numFmtId="0" fontId="88" fillId="41" borderId="85" xfId="0" applyFont="1" applyFill="1" applyBorder="1" applyAlignment="1" applyProtection="1">
      <alignment horizontal="center" vertical="center"/>
      <protection locked="0"/>
    </xf>
    <xf numFmtId="0" fontId="88" fillId="41" borderId="122" xfId="0" applyFont="1" applyFill="1" applyBorder="1" applyAlignment="1" applyProtection="1">
      <alignment horizontal="center" vertical="center"/>
      <protection locked="0"/>
    </xf>
    <xf numFmtId="0" fontId="86" fillId="0" borderId="0" xfId="0" applyFont="1" applyAlignment="1">
      <alignment horizontal="center" vertical="center"/>
    </xf>
    <xf numFmtId="9" fontId="88" fillId="2" borderId="10" xfId="1" applyNumberFormat="1" applyFont="1" applyFill="1" applyBorder="1" applyAlignment="1" applyProtection="1">
      <alignment horizontal="center" vertical="center"/>
      <protection hidden="1"/>
    </xf>
    <xf numFmtId="9" fontId="88" fillId="2" borderId="81" xfId="1" applyNumberFormat="1" applyFont="1" applyFill="1" applyBorder="1" applyAlignment="1" applyProtection="1">
      <alignment horizontal="center" vertical="center"/>
      <protection hidden="1"/>
    </xf>
    <xf numFmtId="9" fontId="88" fillId="2" borderId="84" xfId="1" applyNumberFormat="1" applyFont="1" applyFill="1" applyBorder="1" applyAlignment="1" applyProtection="1">
      <alignment horizontal="center" vertical="center"/>
      <protection hidden="1"/>
    </xf>
    <xf numFmtId="178" fontId="88" fillId="2" borderId="81" xfId="1" applyFont="1" applyFill="1" applyBorder="1" applyAlignment="1" applyProtection="1">
      <alignment horizontal="center" vertical="center"/>
      <protection hidden="1"/>
    </xf>
    <xf numFmtId="0" fontId="89" fillId="45" borderId="80" xfId="0" applyFont="1" applyFill="1" applyBorder="1" applyAlignment="1" applyProtection="1">
      <alignment horizontal="center" vertical="center"/>
      <protection hidden="1"/>
    </xf>
    <xf numFmtId="0" fontId="88" fillId="3" borderId="80" xfId="0" applyFont="1" applyFill="1" applyBorder="1" applyAlignment="1">
      <alignment horizontal="center" vertical="center"/>
    </xf>
    <xf numFmtId="184" fontId="88" fillId="46" borderId="80" xfId="0" applyNumberFormat="1" applyFont="1" applyFill="1" applyBorder="1" applyAlignment="1" applyProtection="1">
      <alignment horizontal="center" vertical="center"/>
      <protection locked="0"/>
    </xf>
    <xf numFmtId="184" fontId="88" fillId="46" borderId="80" xfId="0" applyNumberFormat="1" applyFont="1" applyFill="1" applyBorder="1" applyAlignment="1" applyProtection="1">
      <alignment horizontal="center" vertical="center"/>
      <protection hidden="1"/>
    </xf>
    <xf numFmtId="0" fontId="86" fillId="2" borderId="131" xfId="0" applyFont="1" applyFill="1" applyBorder="1" applyAlignment="1" applyProtection="1">
      <alignment horizontal="center" vertical="center"/>
      <protection hidden="1"/>
    </xf>
    <xf numFmtId="0" fontId="86" fillId="2" borderId="133" xfId="0" applyFont="1" applyFill="1" applyBorder="1" applyAlignment="1" applyProtection="1">
      <alignment horizontal="center" vertical="center"/>
      <protection hidden="1"/>
    </xf>
    <xf numFmtId="0" fontId="86" fillId="2" borderId="137" xfId="0" applyFont="1" applyFill="1" applyBorder="1" applyAlignment="1" applyProtection="1">
      <alignment horizontal="center" vertical="center"/>
      <protection hidden="1"/>
    </xf>
    <xf numFmtId="0" fontId="86" fillId="2" borderId="136" xfId="0" applyFont="1" applyFill="1" applyBorder="1" applyAlignment="1" applyProtection="1">
      <alignment horizontal="center" vertical="center"/>
      <protection hidden="1"/>
    </xf>
    <xf numFmtId="0" fontId="89" fillId="45" borderId="19" xfId="0" applyFont="1" applyFill="1" applyBorder="1" applyAlignment="1" applyProtection="1">
      <alignment horizontal="center" vertical="center" wrapText="1"/>
      <protection hidden="1"/>
    </xf>
    <xf numFmtId="0" fontId="89" fillId="45" borderId="127" xfId="0" applyFont="1" applyFill="1" applyBorder="1" applyAlignment="1" applyProtection="1">
      <alignment horizontal="center" vertical="center" wrapText="1"/>
      <protection hidden="1"/>
    </xf>
    <xf numFmtId="0" fontId="89" fillId="45" borderId="0" xfId="0" applyFont="1" applyFill="1" applyAlignment="1" applyProtection="1">
      <alignment horizontal="center" vertical="center" wrapText="1"/>
      <protection hidden="1"/>
    </xf>
    <xf numFmtId="0" fontId="89" fillId="45" borderId="128" xfId="0" applyFont="1" applyFill="1" applyBorder="1" applyAlignment="1" applyProtection="1">
      <alignment horizontal="center" vertical="center" wrapText="1"/>
      <protection hidden="1"/>
    </xf>
    <xf numFmtId="0" fontId="89" fillId="45" borderId="129" xfId="0" applyFont="1" applyFill="1" applyBorder="1" applyAlignment="1" applyProtection="1">
      <alignment horizontal="center" vertical="center" wrapText="1"/>
      <protection hidden="1"/>
    </xf>
    <xf numFmtId="0" fontId="89" fillId="45" borderId="130" xfId="0" applyFont="1" applyFill="1" applyBorder="1" applyAlignment="1" applyProtection="1">
      <alignment horizontal="center" vertical="center" wrapText="1"/>
      <protection hidden="1"/>
    </xf>
    <xf numFmtId="184" fontId="88" fillId="2" borderId="5" xfId="0" applyNumberFormat="1" applyFont="1" applyFill="1" applyBorder="1" applyAlignment="1" applyProtection="1">
      <alignment horizontal="center" vertical="center"/>
      <protection hidden="1"/>
    </xf>
    <xf numFmtId="184" fontId="88" fillId="2" borderId="6" xfId="0" applyNumberFormat="1" applyFont="1" applyFill="1" applyBorder="1" applyAlignment="1" applyProtection="1">
      <alignment horizontal="center" vertical="center"/>
      <protection hidden="1"/>
    </xf>
    <xf numFmtId="0" fontId="89" fillId="45" borderId="155" xfId="0" applyFont="1" applyFill="1" applyBorder="1" applyAlignment="1" applyProtection="1">
      <alignment horizontal="center" vertical="center"/>
      <protection hidden="1"/>
    </xf>
    <xf numFmtId="0" fontId="89" fillId="45" borderId="151" xfId="0" applyFont="1" applyFill="1" applyBorder="1" applyAlignment="1" applyProtection="1">
      <alignment horizontal="center" vertical="center"/>
      <protection hidden="1"/>
    </xf>
    <xf numFmtId="0" fontId="89" fillId="45" borderId="154" xfId="0" applyFont="1" applyFill="1" applyBorder="1" applyAlignment="1" applyProtection="1">
      <alignment horizontal="center" vertical="center"/>
      <protection hidden="1"/>
    </xf>
    <xf numFmtId="180" fontId="127" fillId="3" borderId="155" xfId="0" applyNumberFormat="1" applyFont="1" applyFill="1" applyBorder="1" applyAlignment="1" applyProtection="1">
      <alignment horizontal="center" vertical="center"/>
      <protection hidden="1"/>
    </xf>
    <xf numFmtId="180" fontId="127" fillId="3" borderId="151" xfId="0" applyNumberFormat="1" applyFont="1" applyFill="1" applyBorder="1" applyAlignment="1" applyProtection="1">
      <alignment horizontal="center" vertical="center"/>
      <protection hidden="1"/>
    </xf>
    <xf numFmtId="0" fontId="89" fillId="45" borderId="151" xfId="0" applyFont="1" applyFill="1" applyBorder="1" applyAlignment="1" applyProtection="1">
      <alignment horizontal="center" vertical="center" wrapText="1"/>
      <protection hidden="1"/>
    </xf>
    <xf numFmtId="184" fontId="87" fillId="3" borderId="18" xfId="0" applyNumberFormat="1" applyFont="1" applyFill="1" applyBorder="1" applyAlignment="1" applyProtection="1">
      <alignment horizontal="center" vertical="center"/>
      <protection hidden="1"/>
    </xf>
    <xf numFmtId="184" fontId="87" fillId="3" borderId="15" xfId="0" applyNumberFormat="1" applyFont="1" applyFill="1" applyBorder="1" applyAlignment="1" applyProtection="1">
      <alignment horizontal="center" vertical="center"/>
      <protection hidden="1"/>
    </xf>
    <xf numFmtId="184" fontId="127" fillId="3" borderId="18" xfId="0" applyNumberFormat="1" applyFont="1" applyFill="1" applyBorder="1" applyAlignment="1" applyProtection="1">
      <alignment horizontal="center" vertical="center"/>
      <protection hidden="1"/>
    </xf>
    <xf numFmtId="184" fontId="127" fillId="3" borderId="15" xfId="0" applyNumberFormat="1" applyFont="1" applyFill="1" applyBorder="1" applyAlignment="1" applyProtection="1">
      <alignment horizontal="center" vertical="center"/>
      <protection hidden="1"/>
    </xf>
    <xf numFmtId="184" fontId="97" fillId="3" borderId="6" xfId="0" applyNumberFormat="1" applyFont="1" applyFill="1" applyBorder="1" applyAlignment="1" applyProtection="1">
      <alignment horizontal="center" vertical="center"/>
      <protection hidden="1"/>
    </xf>
    <xf numFmtId="184" fontId="87" fillId="3" borderId="6" xfId="0" applyNumberFormat="1" applyFont="1" applyFill="1" applyBorder="1" applyAlignment="1" applyProtection="1">
      <alignment horizontal="center" vertical="center"/>
      <protection hidden="1"/>
    </xf>
    <xf numFmtId="184" fontId="87" fillId="3" borderId="3" xfId="0" applyNumberFormat="1" applyFont="1" applyFill="1" applyBorder="1" applyAlignment="1" applyProtection="1">
      <alignment horizontal="center" vertical="center"/>
      <protection hidden="1"/>
    </xf>
    <xf numFmtId="184" fontId="88" fillId="3" borderId="140" xfId="0" applyNumberFormat="1" applyFont="1" applyFill="1" applyBorder="1" applyAlignment="1" applyProtection="1">
      <alignment horizontal="center" vertical="center"/>
      <protection hidden="1"/>
    </xf>
    <xf numFmtId="184" fontId="88" fillId="3" borderId="1" xfId="0" applyNumberFormat="1" applyFont="1" applyFill="1" applyBorder="1" applyAlignment="1" applyProtection="1">
      <alignment horizontal="center" vertical="center"/>
      <protection hidden="1"/>
    </xf>
    <xf numFmtId="14" fontId="88" fillId="46" borderId="30" xfId="0" applyNumberFormat="1" applyFont="1" applyFill="1" applyBorder="1" applyAlignment="1">
      <alignment horizontal="center" vertical="center"/>
    </xf>
    <xf numFmtId="184" fontId="127" fillId="3" borderId="2" xfId="0" applyNumberFormat="1" applyFont="1" applyFill="1" applyBorder="1" applyAlignment="1" applyProtection="1">
      <alignment horizontal="center" vertical="center"/>
      <protection hidden="1"/>
    </xf>
    <xf numFmtId="184" fontId="127" fillId="3" borderId="140" xfId="0" applyNumberFormat="1" applyFont="1" applyFill="1" applyBorder="1" applyAlignment="1" applyProtection="1">
      <alignment horizontal="center" vertical="center"/>
      <protection hidden="1"/>
    </xf>
    <xf numFmtId="184" fontId="127" fillId="3" borderId="141" xfId="0" applyNumberFormat="1" applyFont="1" applyFill="1" applyBorder="1" applyAlignment="1" applyProtection="1">
      <alignment horizontal="center" vertical="center"/>
      <protection hidden="1"/>
    </xf>
    <xf numFmtId="0" fontId="111" fillId="45" borderId="140" xfId="0" applyFont="1" applyFill="1" applyBorder="1" applyAlignment="1" applyProtection="1">
      <alignment horizontal="center" vertical="center"/>
      <protection hidden="1"/>
    </xf>
    <xf numFmtId="184" fontId="88" fillId="46" borderId="97" xfId="0" applyNumberFormat="1" applyFont="1" applyFill="1" applyBorder="1" applyAlignment="1" applyProtection="1">
      <alignment horizontal="center" vertical="center"/>
      <protection locked="0"/>
    </xf>
    <xf numFmtId="178" fontId="87" fillId="3" borderId="83" xfId="0" applyNumberFormat="1" applyFont="1" applyFill="1" applyBorder="1" applyAlignment="1" applyProtection="1">
      <alignment horizontal="center" vertical="center"/>
      <protection hidden="1"/>
    </xf>
    <xf numFmtId="0" fontId="86" fillId="46" borderId="29" xfId="0" applyFont="1" applyFill="1" applyBorder="1" applyAlignment="1" applyProtection="1">
      <alignment horizontal="center" vertical="center"/>
      <protection hidden="1"/>
    </xf>
    <xf numFmtId="178" fontId="86" fillId="2" borderId="78" xfId="1" applyFont="1" applyFill="1" applyBorder="1" applyAlignment="1" applyProtection="1">
      <alignment horizontal="center" vertical="center"/>
      <protection hidden="1"/>
    </xf>
    <xf numFmtId="178" fontId="86" fillId="2" borderId="79" xfId="1" applyFont="1" applyFill="1" applyBorder="1" applyAlignment="1" applyProtection="1">
      <alignment horizontal="center" vertical="center"/>
      <protection hidden="1"/>
    </xf>
    <xf numFmtId="0" fontId="100" fillId="46" borderId="115" xfId="0" applyFont="1" applyFill="1" applyBorder="1" applyAlignment="1" applyProtection="1">
      <alignment horizontal="center" vertical="center"/>
      <protection hidden="1"/>
    </xf>
    <xf numFmtId="0" fontId="100" fillId="46" borderId="109" xfId="0" applyFont="1" applyFill="1" applyBorder="1" applyAlignment="1" applyProtection="1">
      <alignment horizontal="center" vertical="center"/>
      <protection hidden="1"/>
    </xf>
    <xf numFmtId="0" fontId="100" fillId="46" borderId="110" xfId="0" applyFont="1" applyFill="1" applyBorder="1" applyAlignment="1" applyProtection="1">
      <alignment horizontal="center" vertical="center"/>
      <protection hidden="1"/>
    </xf>
    <xf numFmtId="10" fontId="73" fillId="0" borderId="112" xfId="0" applyNumberFormat="1" applyFont="1" applyBorder="1" applyAlignment="1">
      <alignment horizontal="center" vertical="center"/>
    </xf>
    <xf numFmtId="10" fontId="73" fillId="0" borderId="114" xfId="0" applyNumberFormat="1" applyFont="1" applyBorder="1" applyAlignment="1">
      <alignment horizontal="center" vertical="center"/>
    </xf>
    <xf numFmtId="182" fontId="88" fillId="2" borderId="11" xfId="0" applyNumberFormat="1" applyFont="1" applyFill="1" applyBorder="1" applyAlignment="1" applyProtection="1">
      <alignment horizontal="center" vertical="center"/>
      <protection hidden="1"/>
    </xf>
    <xf numFmtId="38" fontId="91" fillId="3" borderId="96" xfId="0" applyNumberFormat="1" applyFont="1" applyFill="1" applyBorder="1" applyAlignment="1" applyProtection="1">
      <alignment horizontal="center" vertical="center"/>
      <protection locked="0"/>
    </xf>
    <xf numFmtId="38" fontId="91" fillId="3" borderId="95" xfId="0" applyNumberFormat="1" applyFont="1" applyFill="1" applyBorder="1" applyAlignment="1" applyProtection="1">
      <alignment horizontal="center" vertical="center"/>
      <protection locked="0"/>
    </xf>
    <xf numFmtId="0" fontId="87" fillId="3" borderId="19" xfId="0" applyFont="1" applyFill="1" applyBorder="1" applyAlignment="1" applyProtection="1">
      <alignment horizontal="center" vertical="center"/>
      <protection hidden="1"/>
    </xf>
    <xf numFmtId="0" fontId="91" fillId="45" borderId="36" xfId="0" applyFont="1" applyFill="1" applyBorder="1" applyAlignment="1" applyProtection="1">
      <alignment horizontal="center" vertical="center"/>
      <protection hidden="1"/>
    </xf>
    <xf numFmtId="0" fontId="91" fillId="45" borderId="13" xfId="0" applyFont="1" applyFill="1" applyBorder="1" applyAlignment="1" applyProtection="1">
      <alignment horizontal="center" vertical="center"/>
      <protection hidden="1"/>
    </xf>
    <xf numFmtId="176" fontId="92" fillId="3" borderId="14" xfId="1" applyNumberFormat="1" applyFont="1" applyFill="1" applyBorder="1" applyAlignment="1" applyProtection="1">
      <alignment horizontal="center" vertical="center"/>
      <protection hidden="1"/>
    </xf>
    <xf numFmtId="178" fontId="92" fillId="3" borderId="66" xfId="1" applyFont="1" applyFill="1" applyBorder="1" applyAlignment="1" applyProtection="1">
      <alignment horizontal="center" vertical="center"/>
      <protection hidden="1"/>
    </xf>
    <xf numFmtId="176" fontId="92" fillId="3" borderId="12" xfId="1" applyNumberFormat="1" applyFont="1" applyFill="1" applyBorder="1" applyAlignment="1" applyProtection="1">
      <alignment horizontal="center" vertical="center"/>
      <protection hidden="1"/>
    </xf>
    <xf numFmtId="176" fontId="92" fillId="3" borderId="65" xfId="1" applyNumberFormat="1" applyFont="1" applyFill="1" applyBorder="1" applyAlignment="1" applyProtection="1">
      <alignment horizontal="center" vertical="center"/>
      <protection hidden="1"/>
    </xf>
    <xf numFmtId="176" fontId="73" fillId="3" borderId="109" xfId="0" applyNumberFormat="1" applyFont="1" applyFill="1" applyBorder="1" applyAlignment="1" applyProtection="1">
      <alignment horizontal="center" vertical="center"/>
      <protection hidden="1"/>
    </xf>
    <xf numFmtId="0" fontId="73" fillId="3" borderId="109" xfId="0" applyFont="1" applyFill="1" applyBorder="1" applyAlignment="1" applyProtection="1">
      <alignment horizontal="center" vertical="center"/>
      <protection hidden="1"/>
    </xf>
    <xf numFmtId="0" fontId="73" fillId="3" borderId="111" xfId="0" applyFont="1" applyFill="1" applyBorder="1" applyAlignment="1" applyProtection="1">
      <alignment horizontal="center" vertical="center"/>
      <protection hidden="1"/>
    </xf>
    <xf numFmtId="176" fontId="73" fillId="0" borderId="112" xfId="0" applyNumberFormat="1" applyFont="1" applyBorder="1" applyAlignment="1">
      <alignment horizontal="center" vertical="center"/>
    </xf>
    <xf numFmtId="0" fontId="73" fillId="0" borderId="112" xfId="0" applyFont="1" applyBorder="1" applyAlignment="1">
      <alignment horizontal="center" vertical="center"/>
    </xf>
    <xf numFmtId="0" fontId="73" fillId="0" borderId="114" xfId="0" applyFont="1" applyBorder="1" applyAlignment="1">
      <alignment horizontal="center" vertical="center"/>
    </xf>
    <xf numFmtId="10" fontId="73" fillId="3" borderId="109" xfId="0" applyNumberFormat="1" applyFont="1" applyFill="1" applyBorder="1" applyAlignment="1" applyProtection="1">
      <alignment horizontal="center" vertical="center"/>
      <protection hidden="1"/>
    </xf>
    <xf numFmtId="10" fontId="73" fillId="3" borderId="111" xfId="0" applyNumberFormat="1" applyFont="1" applyFill="1" applyBorder="1" applyAlignment="1" applyProtection="1">
      <alignment horizontal="center" vertical="center"/>
      <protection hidden="1"/>
    </xf>
    <xf numFmtId="0" fontId="87" fillId="3" borderId="126" xfId="0" applyFont="1" applyFill="1" applyBorder="1" applyAlignment="1" applyProtection="1">
      <alignment horizontal="center" vertical="center"/>
      <protection hidden="1"/>
    </xf>
    <xf numFmtId="0" fontId="87" fillId="3" borderId="82" xfId="0" applyFont="1" applyFill="1" applyBorder="1" applyAlignment="1" applyProtection="1">
      <alignment horizontal="center" vertical="center"/>
      <protection hidden="1"/>
    </xf>
    <xf numFmtId="0" fontId="86" fillId="46" borderId="16" xfId="0" applyFont="1" applyFill="1" applyBorder="1" applyAlignment="1" applyProtection="1">
      <alignment horizontal="center" vertical="center"/>
      <protection hidden="1"/>
    </xf>
    <xf numFmtId="184" fontId="88" fillId="2" borderId="17" xfId="0" applyNumberFormat="1" applyFont="1" applyFill="1" applyBorder="1" applyAlignment="1" applyProtection="1">
      <alignment horizontal="center" vertical="center"/>
      <protection hidden="1"/>
    </xf>
    <xf numFmtId="184" fontId="88" fillId="2" borderId="18" xfId="0" applyNumberFormat="1" applyFont="1" applyFill="1" applyBorder="1" applyAlignment="1" applyProtection="1">
      <alignment horizontal="center" vertical="center"/>
      <protection hidden="1"/>
    </xf>
    <xf numFmtId="178" fontId="88" fillId="2" borderId="4" xfId="0" applyNumberFormat="1" applyFont="1" applyFill="1" applyBorder="1" applyAlignment="1" applyProtection="1">
      <alignment horizontal="center" vertical="center"/>
      <protection hidden="1"/>
    </xf>
    <xf numFmtId="0" fontId="86" fillId="46" borderId="17" xfId="0" applyFont="1" applyFill="1" applyBorder="1" applyAlignment="1" applyProtection="1">
      <alignment horizontal="center" vertical="center"/>
      <protection hidden="1"/>
    </xf>
    <xf numFmtId="0" fontId="86" fillId="46" borderId="18" xfId="0" applyFont="1" applyFill="1" applyBorder="1" applyAlignment="1" applyProtection="1">
      <alignment horizontal="center" vertical="center"/>
      <protection hidden="1"/>
    </xf>
    <xf numFmtId="0" fontId="86" fillId="46" borderId="15" xfId="0" applyFont="1" applyFill="1" applyBorder="1" applyAlignment="1" applyProtection="1">
      <alignment horizontal="center" vertical="center"/>
      <protection hidden="1"/>
    </xf>
    <xf numFmtId="0" fontId="86" fillId="46" borderId="78" xfId="0" applyFont="1" applyFill="1" applyBorder="1" applyAlignment="1" applyProtection="1">
      <alignment horizontal="center" vertical="center"/>
      <protection hidden="1"/>
    </xf>
    <xf numFmtId="0" fontId="86" fillId="46" borderId="79" xfId="0" applyFont="1" applyFill="1" applyBorder="1" applyAlignment="1" applyProtection="1">
      <alignment horizontal="center" vertical="center"/>
      <protection hidden="1"/>
    </xf>
    <xf numFmtId="0" fontId="86" fillId="46" borderId="7" xfId="0" applyFont="1" applyFill="1" applyBorder="1" applyAlignment="1" applyProtection="1">
      <alignment horizontal="center" vertical="center"/>
      <protection hidden="1"/>
    </xf>
    <xf numFmtId="184" fontId="89" fillId="45" borderId="2" xfId="0" applyNumberFormat="1" applyFont="1" applyFill="1" applyBorder="1" applyAlignment="1" applyProtection="1">
      <alignment horizontal="center" vertical="center" wrapText="1"/>
      <protection hidden="1"/>
    </xf>
    <xf numFmtId="184" fontId="89" fillId="45" borderId="140" xfId="0" applyNumberFormat="1" applyFont="1" applyFill="1" applyBorder="1" applyAlignment="1" applyProtection="1">
      <alignment horizontal="center" vertical="center"/>
      <protection hidden="1"/>
    </xf>
    <xf numFmtId="184" fontId="89" fillId="45" borderId="1" xfId="0" applyNumberFormat="1" applyFont="1" applyFill="1" applyBorder="1" applyAlignment="1" applyProtection="1">
      <alignment horizontal="center" vertical="center"/>
      <protection hidden="1"/>
    </xf>
    <xf numFmtId="184" fontId="89" fillId="45" borderId="2" xfId="0" applyNumberFormat="1" applyFont="1" applyFill="1" applyBorder="1" applyAlignment="1" applyProtection="1">
      <alignment horizontal="center" vertical="center"/>
      <protection hidden="1"/>
    </xf>
    <xf numFmtId="0" fontId="127" fillId="3" borderId="140" xfId="0" applyFont="1" applyFill="1" applyBorder="1" applyAlignment="1" applyProtection="1">
      <alignment horizontal="center" vertical="center"/>
      <protection hidden="1"/>
    </xf>
    <xf numFmtId="0" fontId="127" fillId="3" borderId="1" xfId="0" applyFont="1" applyFill="1" applyBorder="1" applyAlignment="1" applyProtection="1">
      <alignment horizontal="center" vertical="center"/>
      <protection hidden="1"/>
    </xf>
    <xf numFmtId="182" fontId="86" fillId="2" borderId="11" xfId="0" applyNumberFormat="1" applyFont="1" applyFill="1" applyBorder="1" applyAlignment="1" applyProtection="1">
      <alignment horizontal="center" vertical="center"/>
      <protection hidden="1"/>
    </xf>
    <xf numFmtId="0" fontId="86" fillId="2" borderId="11" xfId="0" applyFont="1" applyFill="1" applyBorder="1" applyAlignment="1" applyProtection="1">
      <alignment horizontal="center" vertical="center"/>
      <protection hidden="1"/>
    </xf>
    <xf numFmtId="0" fontId="86" fillId="2" borderId="12" xfId="0" applyFont="1" applyFill="1" applyBorder="1" applyAlignment="1" applyProtection="1">
      <alignment horizontal="center" vertical="center"/>
      <protection hidden="1"/>
    </xf>
    <xf numFmtId="181" fontId="86" fillId="2" borderId="11" xfId="0" applyNumberFormat="1" applyFont="1" applyFill="1" applyBorder="1" applyAlignment="1" applyProtection="1">
      <alignment horizontal="center" vertical="center"/>
      <protection hidden="1"/>
    </xf>
    <xf numFmtId="0" fontId="89" fillId="45" borderId="140" xfId="0" applyFont="1" applyFill="1" applyBorder="1" applyAlignment="1" applyProtection="1">
      <alignment horizontal="center" vertical="center"/>
      <protection hidden="1"/>
    </xf>
    <xf numFmtId="178" fontId="88" fillId="2" borderId="17" xfId="1" applyFont="1" applyFill="1" applyBorder="1" applyAlignment="1" applyProtection="1">
      <alignment horizontal="center" vertical="center"/>
      <protection hidden="1"/>
    </xf>
    <xf numFmtId="178" fontId="88" fillId="2" borderId="18" xfId="1" applyFont="1" applyFill="1" applyBorder="1" applyAlignment="1" applyProtection="1">
      <alignment horizontal="center" vertical="center"/>
      <protection hidden="1"/>
    </xf>
    <xf numFmtId="178" fontId="88" fillId="2" borderId="15" xfId="1" applyFont="1" applyFill="1" applyBorder="1" applyAlignment="1" applyProtection="1">
      <alignment horizontal="center" vertical="center"/>
      <protection hidden="1"/>
    </xf>
    <xf numFmtId="178" fontId="88" fillId="2" borderId="78" xfId="1" applyFont="1" applyFill="1" applyBorder="1" applyAlignment="1" applyProtection="1">
      <alignment horizontal="center" vertical="center"/>
      <protection hidden="1"/>
    </xf>
    <xf numFmtId="178" fontId="88" fillId="2" borderId="79" xfId="1" applyFont="1" applyFill="1" applyBorder="1" applyAlignment="1" applyProtection="1">
      <alignment horizontal="center" vertical="center"/>
      <protection hidden="1"/>
    </xf>
    <xf numFmtId="178" fontId="88" fillId="2" borderId="7" xfId="1" applyFont="1" applyFill="1" applyBorder="1" applyAlignment="1" applyProtection="1">
      <alignment horizontal="center" vertical="center"/>
      <protection hidden="1"/>
    </xf>
    <xf numFmtId="184" fontId="88" fillId="2" borderId="142" xfId="0" applyNumberFormat="1" applyFont="1" applyFill="1" applyBorder="1" applyAlignment="1" applyProtection="1">
      <alignment horizontal="center" vertical="center"/>
      <protection hidden="1"/>
    </xf>
    <xf numFmtId="184" fontId="88" fillId="2" borderId="78" xfId="0" applyNumberFormat="1" applyFont="1" applyFill="1" applyBorder="1" applyAlignment="1" applyProtection="1">
      <alignment horizontal="center" vertical="center"/>
      <protection hidden="1"/>
    </xf>
    <xf numFmtId="184" fontId="88" fillId="2" borderId="79" xfId="0" applyNumberFormat="1" applyFont="1" applyFill="1" applyBorder="1" applyAlignment="1" applyProtection="1">
      <alignment horizontal="center" vertical="center"/>
      <protection hidden="1"/>
    </xf>
    <xf numFmtId="184" fontId="88" fillId="2" borderId="143" xfId="0" applyNumberFormat="1" applyFont="1" applyFill="1" applyBorder="1" applyAlignment="1" applyProtection="1">
      <alignment horizontal="center" vertical="center"/>
      <protection hidden="1"/>
    </xf>
    <xf numFmtId="0" fontId="86" fillId="46" borderId="36" xfId="0" applyFont="1" applyFill="1" applyBorder="1" applyAlignment="1" applyProtection="1">
      <alignment horizontal="center" vertical="center"/>
      <protection hidden="1"/>
    </xf>
    <xf numFmtId="0" fontId="86" fillId="46" borderId="13" xfId="0" applyFont="1" applyFill="1" applyBorder="1" applyAlignment="1" applyProtection="1">
      <alignment horizontal="center" vertical="center"/>
      <protection hidden="1"/>
    </xf>
    <xf numFmtId="0" fontId="86" fillId="2" borderId="13" xfId="0" applyFont="1" applyFill="1" applyBorder="1" applyAlignment="1" applyProtection="1">
      <alignment horizontal="center" vertical="center"/>
      <protection hidden="1"/>
    </xf>
    <xf numFmtId="0" fontId="86" fillId="2" borderId="14" xfId="0" applyFont="1" applyFill="1" applyBorder="1" applyAlignment="1" applyProtection="1">
      <alignment horizontal="center" vertical="center"/>
      <protection hidden="1"/>
    </xf>
    <xf numFmtId="178" fontId="88" fillId="2" borderId="16" xfId="1" applyFont="1" applyFill="1" applyBorder="1" applyAlignment="1" applyProtection="1">
      <alignment horizontal="center" vertical="center"/>
      <protection hidden="1"/>
    </xf>
    <xf numFmtId="0" fontId="86" fillId="46" borderId="20" xfId="0" applyFont="1" applyFill="1" applyBorder="1" applyAlignment="1" applyProtection="1">
      <alignment horizontal="center" vertical="center"/>
      <protection hidden="1"/>
    </xf>
    <xf numFmtId="0" fontId="86" fillId="2" borderId="9" xfId="0" applyFont="1" applyFill="1" applyBorder="1" applyAlignment="1" applyProtection="1">
      <alignment horizontal="center" vertical="center"/>
      <protection hidden="1"/>
    </xf>
    <xf numFmtId="0" fontId="86" fillId="2" borderId="10" xfId="0" applyFont="1" applyFill="1" applyBorder="1" applyAlignment="1" applyProtection="1">
      <alignment horizontal="center" vertical="center"/>
      <protection hidden="1"/>
    </xf>
    <xf numFmtId="38" fontId="87" fillId="2" borderId="21" xfId="0" applyNumberFormat="1" applyFont="1" applyFill="1" applyBorder="1" applyAlignment="1" applyProtection="1">
      <alignment horizontal="center" vertical="center"/>
      <protection hidden="1"/>
    </xf>
    <xf numFmtId="38" fontId="87" fillId="2" borderId="22" xfId="0" applyNumberFormat="1" applyFont="1" applyFill="1" applyBorder="1" applyAlignment="1" applyProtection="1">
      <alignment horizontal="center" vertical="center"/>
      <protection hidden="1"/>
    </xf>
    <xf numFmtId="0" fontId="10" fillId="3" borderId="0" xfId="0" applyFont="1" applyFill="1" applyAlignment="1">
      <alignment horizontal="center" vertical="center"/>
    </xf>
    <xf numFmtId="0" fontId="26" fillId="38" borderId="62" xfId="0" applyFont="1" applyFill="1" applyBorder="1" applyAlignment="1" applyProtection="1">
      <alignment horizontal="center" vertical="center"/>
      <protection locked="0"/>
    </xf>
    <xf numFmtId="10" fontId="86" fillId="0" borderId="0" xfId="0" applyNumberFormat="1" applyFont="1" applyAlignment="1">
      <alignment horizontal="center" vertical="center"/>
    </xf>
    <xf numFmtId="187" fontId="88" fillId="46" borderId="80" xfId="0" applyNumberFormat="1" applyFont="1" applyFill="1" applyBorder="1" applyAlignment="1">
      <alignment horizontal="center" vertical="center"/>
    </xf>
    <xf numFmtId="0" fontId="26" fillId="0" borderId="138" xfId="0" applyFont="1" applyBorder="1" applyAlignment="1" applyProtection="1">
      <alignment horizontal="center" vertical="center"/>
      <protection locked="0"/>
    </xf>
    <xf numFmtId="0" fontId="5" fillId="38" borderId="62" xfId="0" applyFont="1" applyFill="1" applyBorder="1" applyAlignment="1" applyProtection="1">
      <alignment horizontal="center" vertical="center"/>
      <protection locked="0"/>
    </xf>
    <xf numFmtId="0" fontId="86" fillId="41" borderId="76" xfId="0" applyFont="1" applyFill="1" applyBorder="1" applyAlignment="1">
      <alignment horizontal="center" vertical="center"/>
    </xf>
    <xf numFmtId="0" fontId="86" fillId="41" borderId="64" xfId="0" applyFont="1" applyFill="1" applyBorder="1" applyAlignment="1">
      <alignment horizontal="center" vertical="center"/>
    </xf>
    <xf numFmtId="0" fontId="5" fillId="58" borderId="144" xfId="0" applyFont="1" applyFill="1" applyBorder="1" applyAlignment="1" applyProtection="1">
      <alignment horizontal="center" vertical="center"/>
      <protection locked="0"/>
    </xf>
    <xf numFmtId="0" fontId="5" fillId="58" borderId="85" xfId="0" applyFont="1" applyFill="1" applyBorder="1" applyAlignment="1" applyProtection="1">
      <alignment horizontal="center" vertical="center"/>
      <protection locked="0"/>
    </xf>
    <xf numFmtId="0" fontId="5" fillId="58" borderId="122" xfId="0" applyFont="1" applyFill="1" applyBorder="1" applyAlignment="1" applyProtection="1">
      <alignment horizontal="center" vertical="center"/>
      <protection locked="0"/>
    </xf>
    <xf numFmtId="0" fontId="28" fillId="51" borderId="58" xfId="0" applyFont="1" applyFill="1" applyBorder="1" applyAlignment="1" applyProtection="1">
      <alignment horizontal="center" vertical="center"/>
      <protection locked="0"/>
    </xf>
    <xf numFmtId="0" fontId="28" fillId="51" borderId="59" xfId="0" applyFont="1" applyFill="1" applyBorder="1" applyAlignment="1" applyProtection="1">
      <alignment horizontal="center" vertical="center"/>
      <protection locked="0"/>
    </xf>
    <xf numFmtId="0" fontId="28" fillId="51" borderId="60" xfId="0" applyFont="1" applyFill="1" applyBorder="1" applyAlignment="1" applyProtection="1">
      <alignment horizontal="center" vertical="center"/>
      <protection locked="0"/>
    </xf>
    <xf numFmtId="9" fontId="88" fillId="46" borderId="80" xfId="0" applyNumberFormat="1" applyFont="1" applyFill="1" applyBorder="1" applyAlignment="1">
      <alignment horizontal="center" vertical="center"/>
    </xf>
    <xf numFmtId="38" fontId="88" fillId="46" borderId="0" xfId="0" applyNumberFormat="1" applyFont="1" applyFill="1" applyAlignment="1" applyProtection="1">
      <alignment horizontal="center" vertical="center"/>
      <protection hidden="1"/>
    </xf>
    <xf numFmtId="9" fontId="86" fillId="0" borderId="80" xfId="0" applyNumberFormat="1" applyFont="1" applyBorder="1" applyAlignment="1">
      <alignment horizontal="center" vertical="center"/>
    </xf>
    <xf numFmtId="9" fontId="86" fillId="0" borderId="94" xfId="0" applyNumberFormat="1" applyFont="1" applyBorder="1" applyAlignment="1">
      <alignment horizontal="center" vertical="center"/>
    </xf>
    <xf numFmtId="176" fontId="86" fillId="0" borderId="0" xfId="0" applyNumberFormat="1" applyFont="1" applyAlignment="1">
      <alignment horizontal="center" vertical="center"/>
    </xf>
    <xf numFmtId="0" fontId="99" fillId="3" borderId="0" xfId="0" applyFont="1" applyFill="1" applyAlignment="1">
      <alignment horizontal="center" vertical="center" wrapText="1"/>
    </xf>
    <xf numFmtId="0" fontId="99" fillId="3" borderId="0" xfId="0" applyFont="1" applyFill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0" fontId="86" fillId="0" borderId="97" xfId="0" applyFont="1" applyBorder="1" applyAlignment="1">
      <alignment horizontal="center" vertical="center"/>
    </xf>
    <xf numFmtId="38" fontId="102" fillId="46" borderId="0" xfId="0" applyNumberFormat="1" applyFont="1" applyFill="1" applyAlignment="1" applyProtection="1">
      <alignment horizontal="center" vertical="center"/>
      <protection hidden="1"/>
    </xf>
    <xf numFmtId="0" fontId="91" fillId="3" borderId="157" xfId="0" applyFont="1" applyFill="1" applyBorder="1" applyAlignment="1">
      <alignment horizontal="left" vertical="center" wrapText="1"/>
    </xf>
    <xf numFmtId="0" fontId="91" fillId="3" borderId="157" xfId="0" applyFont="1" applyFill="1" applyBorder="1" applyAlignment="1">
      <alignment horizontal="left" vertical="center"/>
    </xf>
    <xf numFmtId="0" fontId="5" fillId="0" borderId="123" xfId="0" applyFont="1" applyBorder="1" applyAlignment="1">
      <alignment horizontal="center" vertical="center"/>
    </xf>
    <xf numFmtId="0" fontId="5" fillId="0" borderId="138" xfId="0" applyFont="1" applyBorder="1" applyAlignment="1">
      <alignment horizontal="center" vertical="center"/>
    </xf>
    <xf numFmtId="0" fontId="5" fillId="0" borderId="139" xfId="0" applyFont="1" applyBorder="1" applyAlignment="1">
      <alignment horizontal="center" vertical="center"/>
    </xf>
    <xf numFmtId="0" fontId="11" fillId="50" borderId="62" xfId="0" applyFont="1" applyFill="1" applyBorder="1" applyAlignment="1">
      <alignment horizontal="center" vertical="center"/>
    </xf>
    <xf numFmtId="0" fontId="5" fillId="50" borderId="62" xfId="0" applyFont="1" applyFill="1" applyBorder="1" applyAlignment="1">
      <alignment horizontal="center" vertical="center"/>
    </xf>
    <xf numFmtId="0" fontId="119" fillId="3" borderId="0" xfId="0" applyFont="1" applyFill="1" applyAlignment="1">
      <alignment horizontal="center" vertical="center"/>
    </xf>
    <xf numFmtId="0" fontId="83" fillId="41" borderId="76" xfId="0" applyFont="1" applyFill="1" applyBorder="1" applyAlignment="1" applyProtection="1">
      <alignment horizontal="center" vertical="center"/>
      <protection locked="0"/>
    </xf>
    <xf numFmtId="0" fontId="83" fillId="41" borderId="108" xfId="0" applyFont="1" applyFill="1" applyBorder="1" applyAlignment="1" applyProtection="1">
      <alignment horizontal="center" vertical="center"/>
      <protection locked="0"/>
    </xf>
    <xf numFmtId="0" fontId="83" fillId="41" borderId="64" xfId="0" applyFont="1" applyFill="1" applyBorder="1" applyAlignment="1" applyProtection="1">
      <alignment horizontal="center" vertical="center"/>
      <protection locked="0"/>
    </xf>
    <xf numFmtId="0" fontId="5" fillId="38" borderId="76" xfId="0" applyFont="1" applyFill="1" applyBorder="1" applyAlignment="1" applyProtection="1">
      <alignment horizontal="center" vertical="center"/>
      <protection locked="0"/>
    </xf>
    <xf numFmtId="0" fontId="5" fillId="38" borderId="64" xfId="0" applyFont="1" applyFill="1" applyBorder="1" applyAlignment="1" applyProtection="1">
      <alignment horizontal="center" vertical="center"/>
      <protection locked="0"/>
    </xf>
    <xf numFmtId="0" fontId="26" fillId="38" borderId="76" xfId="0" applyFont="1" applyFill="1" applyBorder="1" applyAlignment="1" applyProtection="1">
      <alignment horizontal="center" vertical="center"/>
      <protection locked="0"/>
    </xf>
    <xf numFmtId="0" fontId="26" fillId="38" borderId="64" xfId="0" applyFont="1" applyFill="1" applyBorder="1" applyAlignment="1" applyProtection="1">
      <alignment horizontal="center" vertical="center"/>
      <protection locked="0"/>
    </xf>
    <xf numFmtId="38" fontId="110" fillId="0" borderId="0" xfId="0" applyNumberFormat="1" applyFont="1" applyAlignment="1" applyProtection="1">
      <alignment horizontal="center" vertical="center"/>
      <protection locked="0"/>
    </xf>
    <xf numFmtId="0" fontId="26" fillId="0" borderId="145" xfId="0" applyFont="1" applyBorder="1" applyAlignment="1" applyProtection="1">
      <alignment horizontal="center" vertical="center"/>
      <protection locked="0"/>
    </xf>
    <xf numFmtId="0" fontId="26" fillId="0" borderId="61" xfId="0" applyFont="1" applyBorder="1" applyAlignment="1" applyProtection="1">
      <alignment horizontal="center" vertical="center"/>
      <protection locked="0"/>
    </xf>
    <xf numFmtId="0" fontId="26" fillId="0" borderId="60" xfId="0" applyFont="1" applyBorder="1" applyAlignment="1" applyProtection="1">
      <alignment horizontal="center" vertical="center"/>
      <protection locked="0"/>
    </xf>
    <xf numFmtId="0" fontId="88" fillId="0" borderId="19" xfId="0" applyFont="1" applyBorder="1" applyAlignment="1">
      <alignment horizontal="center" vertical="center"/>
    </xf>
    <xf numFmtId="0" fontId="144" fillId="41" borderId="67" xfId="0" applyFont="1" applyFill="1" applyBorder="1" applyAlignment="1">
      <alignment horizontal="center" vertical="center" wrapText="1"/>
    </xf>
    <xf numFmtId="0" fontId="144" fillId="41" borderId="68" xfId="0" applyFont="1" applyFill="1" applyBorder="1" applyAlignment="1">
      <alignment horizontal="center" vertical="center"/>
    </xf>
    <xf numFmtId="0" fontId="144" fillId="41" borderId="69" xfId="0" applyFont="1" applyFill="1" applyBorder="1" applyAlignment="1">
      <alignment horizontal="center" vertical="center"/>
    </xf>
    <xf numFmtId="0" fontId="144" fillId="41" borderId="70" xfId="0" applyFont="1" applyFill="1" applyBorder="1" applyAlignment="1">
      <alignment horizontal="center" vertical="center"/>
    </xf>
    <xf numFmtId="0" fontId="144" fillId="41" borderId="0" xfId="0" applyFont="1" applyFill="1" applyAlignment="1">
      <alignment horizontal="center" vertical="center"/>
    </xf>
    <xf numFmtId="0" fontId="144" fillId="41" borderId="71" xfId="0" applyFont="1" applyFill="1" applyBorder="1" applyAlignment="1">
      <alignment horizontal="center" vertical="center"/>
    </xf>
    <xf numFmtId="0" fontId="144" fillId="41" borderId="72" xfId="0" applyFont="1" applyFill="1" applyBorder="1" applyAlignment="1">
      <alignment horizontal="center" vertical="center"/>
    </xf>
    <xf numFmtId="0" fontId="144" fillId="41" borderId="73" xfId="0" applyFont="1" applyFill="1" applyBorder="1" applyAlignment="1">
      <alignment horizontal="center" vertical="center"/>
    </xf>
    <xf numFmtId="0" fontId="144" fillId="41" borderId="74" xfId="0" applyFont="1" applyFill="1" applyBorder="1" applyAlignment="1">
      <alignment horizontal="center" vertical="center"/>
    </xf>
    <xf numFmtId="0" fontId="26" fillId="3" borderId="0" xfId="0" applyFont="1" applyFill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6" fillId="0" borderId="62" xfId="0" applyFont="1" applyBorder="1" applyAlignment="1" applyProtection="1">
      <alignment horizontal="center" vertical="center"/>
      <protection hidden="1"/>
    </xf>
    <xf numFmtId="0" fontId="5" fillId="41" borderId="62" xfId="0" applyFont="1" applyFill="1" applyBorder="1" applyAlignment="1" applyProtection="1">
      <alignment horizontal="center" vertical="center"/>
      <protection locked="0"/>
    </xf>
    <xf numFmtId="0" fontId="86" fillId="58" borderId="90" xfId="0" applyFont="1" applyFill="1" applyBorder="1" applyAlignment="1">
      <alignment horizontal="center" vertical="center"/>
    </xf>
    <xf numFmtId="0" fontId="86" fillId="58" borderId="62" xfId="0" applyFont="1" applyFill="1" applyBorder="1" applyAlignment="1">
      <alignment horizontal="center" vertical="center"/>
    </xf>
    <xf numFmtId="0" fontId="86" fillId="58" borderId="91" xfId="0" applyFont="1" applyFill="1" applyBorder="1" applyAlignment="1">
      <alignment horizontal="center" vertical="center"/>
    </xf>
    <xf numFmtId="0" fontId="91" fillId="0" borderId="90" xfId="0" applyFont="1" applyBorder="1" applyAlignment="1">
      <alignment horizontal="center" vertical="center"/>
    </xf>
    <xf numFmtId="0" fontId="91" fillId="0" borderId="62" xfId="0" applyFont="1" applyBorder="1" applyAlignment="1">
      <alignment horizontal="center" vertical="center"/>
    </xf>
    <xf numFmtId="0" fontId="91" fillId="0" borderId="88" xfId="0" applyFont="1" applyBorder="1" applyAlignment="1">
      <alignment horizontal="center" vertical="center"/>
    </xf>
    <xf numFmtId="0" fontId="91" fillId="0" borderId="147" xfId="0" applyFont="1" applyBorder="1" applyAlignment="1">
      <alignment horizontal="center" vertical="center"/>
    </xf>
    <xf numFmtId="0" fontId="91" fillId="0" borderId="91" xfId="0" applyFont="1" applyBorder="1" applyAlignment="1">
      <alignment horizontal="center" vertical="center"/>
    </xf>
    <xf numFmtId="0" fontId="91" fillId="0" borderId="89" xfId="0" applyFont="1" applyBorder="1" applyAlignment="1">
      <alignment horizontal="center" vertical="center"/>
    </xf>
    <xf numFmtId="0" fontId="86" fillId="41" borderId="67" xfId="0" applyFont="1" applyFill="1" applyBorder="1" applyAlignment="1">
      <alignment horizontal="center" vertical="center"/>
    </xf>
    <xf numFmtId="0" fontId="86" fillId="41" borderId="68" xfId="0" applyFont="1" applyFill="1" applyBorder="1" applyAlignment="1">
      <alignment horizontal="center" vertical="center"/>
    </xf>
    <xf numFmtId="0" fontId="86" fillId="41" borderId="69" xfId="0" applyFont="1" applyFill="1" applyBorder="1" applyAlignment="1">
      <alignment horizontal="center" vertical="center"/>
    </xf>
    <xf numFmtId="0" fontId="91" fillId="0" borderId="76" xfId="0" applyFont="1" applyBorder="1" applyAlignment="1">
      <alignment horizontal="center" vertical="center"/>
    </xf>
    <xf numFmtId="0" fontId="91" fillId="0" borderId="150" xfId="0" applyFont="1" applyBorder="1" applyAlignment="1">
      <alignment horizontal="center" vertical="center"/>
    </xf>
    <xf numFmtId="0" fontId="3" fillId="47" borderId="144" xfId="0" applyFont="1" applyFill="1" applyBorder="1" applyAlignment="1">
      <alignment horizontal="center" vertical="center"/>
    </xf>
    <xf numFmtId="0" fontId="3" fillId="47" borderId="85" xfId="0" applyFont="1" applyFill="1" applyBorder="1" applyAlignment="1">
      <alignment horizontal="center" vertical="center"/>
    </xf>
    <xf numFmtId="0" fontId="3" fillId="47" borderId="122" xfId="0" applyFont="1" applyFill="1" applyBorder="1" applyAlignment="1">
      <alignment horizontal="center" vertical="center"/>
    </xf>
    <xf numFmtId="0" fontId="117" fillId="58" borderId="59" xfId="3" applyFont="1" applyFill="1" applyBorder="1" applyAlignment="1">
      <alignment horizontal="center" vertical="center"/>
    </xf>
    <xf numFmtId="0" fontId="116" fillId="58" borderId="59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27" fillId="41" borderId="0" xfId="0" applyFont="1" applyFill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56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</cellXfs>
  <cellStyles count="42804">
    <cellStyle name="20% - 강조색1" xfId="4314" builtinId="30" customBuiltin="1"/>
    <cellStyle name="20% - 강조색1 10" xfId="13"/>
    <cellStyle name="20% - 강조색1 10 10" xfId="4340"/>
    <cellStyle name="20% - 강조색1 10 11" xfId="4341"/>
    <cellStyle name="20% - 강조색1 10 12" xfId="4342"/>
    <cellStyle name="20% - 강조색1 10 13" xfId="4343"/>
    <cellStyle name="20% - 강조색1 10 14" xfId="4344"/>
    <cellStyle name="20% - 강조색1 10 2" xfId="14"/>
    <cellStyle name="20% - 강조색1 10 2 2" xfId="15"/>
    <cellStyle name="20% - 강조색1 10 2 2 2" xfId="4345"/>
    <cellStyle name="20% - 강조색1 10 2 3" xfId="16"/>
    <cellStyle name="20% - 강조색1 10 2 4" xfId="4346"/>
    <cellStyle name="20% - 강조색1 10 3" xfId="17"/>
    <cellStyle name="20% - 강조색1 10 3 2" xfId="18"/>
    <cellStyle name="20% - 강조색1 10 3 3" xfId="19"/>
    <cellStyle name="20% - 강조색1 10 3 4" xfId="4347"/>
    <cellStyle name="20% - 강조색1 10 4" xfId="20"/>
    <cellStyle name="20% - 강조색1 10 4 2" xfId="4348"/>
    <cellStyle name="20% - 강조색1 10 5" xfId="21"/>
    <cellStyle name="20% - 강조색1 10 5 2" xfId="4349"/>
    <cellStyle name="20% - 강조색1 10 6" xfId="4350"/>
    <cellStyle name="20% - 강조색1 10 7" xfId="4351"/>
    <cellStyle name="20% - 강조색1 10 8" xfId="4352"/>
    <cellStyle name="20% - 강조색1 10 9" xfId="4353"/>
    <cellStyle name="20% - 강조색1 11" xfId="22"/>
    <cellStyle name="20% - 강조색1 11 10" xfId="4354"/>
    <cellStyle name="20% - 강조색1 11 11" xfId="4355"/>
    <cellStyle name="20% - 강조색1 11 12" xfId="4356"/>
    <cellStyle name="20% - 강조색1 11 13" xfId="4357"/>
    <cellStyle name="20% - 강조색1 11 14" xfId="4358"/>
    <cellStyle name="20% - 강조색1 11 2" xfId="23"/>
    <cellStyle name="20% - 강조색1 11 2 2" xfId="24"/>
    <cellStyle name="20% - 강조색1 11 2 2 2" xfId="4359"/>
    <cellStyle name="20% - 강조색1 11 2 3" xfId="25"/>
    <cellStyle name="20% - 강조색1 11 2 4" xfId="4360"/>
    <cellStyle name="20% - 강조색1 11 3" xfId="26"/>
    <cellStyle name="20% - 강조색1 11 3 2" xfId="27"/>
    <cellStyle name="20% - 강조색1 11 3 3" xfId="28"/>
    <cellStyle name="20% - 강조색1 11 3 4" xfId="4361"/>
    <cellStyle name="20% - 강조색1 11 4" xfId="29"/>
    <cellStyle name="20% - 강조색1 11 4 2" xfId="4362"/>
    <cellStyle name="20% - 강조색1 11 5" xfId="30"/>
    <cellStyle name="20% - 강조색1 11 5 2" xfId="4363"/>
    <cellStyle name="20% - 강조색1 11 6" xfId="4364"/>
    <cellStyle name="20% - 강조색1 11 7" xfId="4365"/>
    <cellStyle name="20% - 강조색1 11 8" xfId="4366"/>
    <cellStyle name="20% - 강조색1 11 9" xfId="4367"/>
    <cellStyle name="20% - 강조색1 12" xfId="31"/>
    <cellStyle name="20% - 강조색1 12 10" xfId="4368"/>
    <cellStyle name="20% - 강조색1 12 11" xfId="4369"/>
    <cellStyle name="20% - 강조색1 12 12" xfId="4370"/>
    <cellStyle name="20% - 강조색1 12 13" xfId="4371"/>
    <cellStyle name="20% - 강조색1 12 14" xfId="4372"/>
    <cellStyle name="20% - 강조색1 12 2" xfId="32"/>
    <cellStyle name="20% - 강조색1 12 2 2" xfId="33"/>
    <cellStyle name="20% - 강조색1 12 2 2 2" xfId="4373"/>
    <cellStyle name="20% - 강조색1 12 2 3" xfId="34"/>
    <cellStyle name="20% - 강조색1 12 2 4" xfId="4374"/>
    <cellStyle name="20% - 강조색1 12 3" xfId="35"/>
    <cellStyle name="20% - 강조색1 12 3 2" xfId="36"/>
    <cellStyle name="20% - 강조색1 12 3 3" xfId="37"/>
    <cellStyle name="20% - 강조색1 12 3 4" xfId="4375"/>
    <cellStyle name="20% - 강조색1 12 4" xfId="38"/>
    <cellStyle name="20% - 강조색1 12 4 2" xfId="4376"/>
    <cellStyle name="20% - 강조색1 12 5" xfId="39"/>
    <cellStyle name="20% - 강조색1 12 5 2" xfId="4377"/>
    <cellStyle name="20% - 강조색1 12 6" xfId="4378"/>
    <cellStyle name="20% - 강조색1 12 7" xfId="4379"/>
    <cellStyle name="20% - 강조색1 12 8" xfId="4380"/>
    <cellStyle name="20% - 강조색1 12 9" xfId="4381"/>
    <cellStyle name="20% - 강조색1 13" xfId="40"/>
    <cellStyle name="20% - 강조색1 13 10" xfId="4382"/>
    <cellStyle name="20% - 강조색1 13 11" xfId="4383"/>
    <cellStyle name="20% - 강조색1 13 12" xfId="4384"/>
    <cellStyle name="20% - 강조색1 13 13" xfId="4385"/>
    <cellStyle name="20% - 강조색1 13 14" xfId="4386"/>
    <cellStyle name="20% - 강조색1 13 2" xfId="41"/>
    <cellStyle name="20% - 강조색1 13 2 2" xfId="42"/>
    <cellStyle name="20% - 강조색1 13 2 2 2" xfId="4387"/>
    <cellStyle name="20% - 강조색1 13 2 3" xfId="43"/>
    <cellStyle name="20% - 강조색1 13 2 4" xfId="4388"/>
    <cellStyle name="20% - 강조색1 13 3" xfId="44"/>
    <cellStyle name="20% - 강조색1 13 3 2" xfId="45"/>
    <cellStyle name="20% - 강조색1 13 3 3" xfId="46"/>
    <cellStyle name="20% - 강조색1 13 3 4" xfId="4389"/>
    <cellStyle name="20% - 강조색1 13 4" xfId="47"/>
    <cellStyle name="20% - 강조색1 13 4 2" xfId="4390"/>
    <cellStyle name="20% - 강조색1 13 5" xfId="48"/>
    <cellStyle name="20% - 강조색1 13 5 2" xfId="4391"/>
    <cellStyle name="20% - 강조색1 13 6" xfId="4392"/>
    <cellStyle name="20% - 강조색1 13 7" xfId="4393"/>
    <cellStyle name="20% - 강조색1 13 8" xfId="4394"/>
    <cellStyle name="20% - 강조색1 13 9" xfId="4395"/>
    <cellStyle name="20% - 강조색1 14" xfId="49"/>
    <cellStyle name="20% - 강조색1 14 10" xfId="4396"/>
    <cellStyle name="20% - 강조색1 14 11" xfId="4397"/>
    <cellStyle name="20% - 강조색1 14 12" xfId="4398"/>
    <cellStyle name="20% - 강조색1 14 13" xfId="4399"/>
    <cellStyle name="20% - 강조색1 14 14" xfId="4400"/>
    <cellStyle name="20% - 강조색1 14 2" xfId="50"/>
    <cellStyle name="20% - 강조색1 14 2 2" xfId="51"/>
    <cellStyle name="20% - 강조색1 14 2 2 2" xfId="4401"/>
    <cellStyle name="20% - 강조색1 14 2 3" xfId="52"/>
    <cellStyle name="20% - 강조색1 14 2 4" xfId="4402"/>
    <cellStyle name="20% - 강조색1 14 3" xfId="53"/>
    <cellStyle name="20% - 강조색1 14 3 2" xfId="54"/>
    <cellStyle name="20% - 강조색1 14 3 3" xfId="55"/>
    <cellStyle name="20% - 강조색1 14 3 4" xfId="4403"/>
    <cellStyle name="20% - 강조색1 14 4" xfId="56"/>
    <cellStyle name="20% - 강조색1 14 4 2" xfId="4404"/>
    <cellStyle name="20% - 강조색1 14 5" xfId="57"/>
    <cellStyle name="20% - 강조색1 14 5 2" xfId="4405"/>
    <cellStyle name="20% - 강조색1 14 6" xfId="4406"/>
    <cellStyle name="20% - 강조색1 14 7" xfId="4407"/>
    <cellStyle name="20% - 강조색1 14 8" xfId="4408"/>
    <cellStyle name="20% - 강조색1 14 9" xfId="4409"/>
    <cellStyle name="20% - 강조색1 15" xfId="58"/>
    <cellStyle name="20% - 강조색1 15 10" xfId="4410"/>
    <cellStyle name="20% - 강조색1 15 11" xfId="4411"/>
    <cellStyle name="20% - 강조색1 15 12" xfId="4412"/>
    <cellStyle name="20% - 강조색1 15 13" xfId="4413"/>
    <cellStyle name="20% - 강조색1 15 14" xfId="4414"/>
    <cellStyle name="20% - 강조색1 15 2" xfId="59"/>
    <cellStyle name="20% - 강조색1 15 2 2" xfId="60"/>
    <cellStyle name="20% - 강조색1 15 2 2 2" xfId="4415"/>
    <cellStyle name="20% - 강조색1 15 2 3" xfId="61"/>
    <cellStyle name="20% - 강조색1 15 2 4" xfId="4416"/>
    <cellStyle name="20% - 강조색1 15 3" xfId="62"/>
    <cellStyle name="20% - 강조색1 15 3 2" xfId="63"/>
    <cellStyle name="20% - 강조색1 15 3 3" xfId="64"/>
    <cellStyle name="20% - 강조색1 15 3 4" xfId="4417"/>
    <cellStyle name="20% - 강조색1 15 4" xfId="65"/>
    <cellStyle name="20% - 강조색1 15 4 2" xfId="4418"/>
    <cellStyle name="20% - 강조색1 15 5" xfId="66"/>
    <cellStyle name="20% - 강조색1 15 5 2" xfId="4419"/>
    <cellStyle name="20% - 강조색1 15 6" xfId="4420"/>
    <cellStyle name="20% - 강조색1 15 7" xfId="4421"/>
    <cellStyle name="20% - 강조색1 15 8" xfId="4422"/>
    <cellStyle name="20% - 강조색1 15 9" xfId="4423"/>
    <cellStyle name="20% - 강조색1 16" xfId="67"/>
    <cellStyle name="20% - 강조색1 16 10" xfId="4424"/>
    <cellStyle name="20% - 강조색1 16 11" xfId="4425"/>
    <cellStyle name="20% - 강조색1 16 12" xfId="4426"/>
    <cellStyle name="20% - 강조색1 16 13" xfId="4427"/>
    <cellStyle name="20% - 강조색1 16 14" xfId="4428"/>
    <cellStyle name="20% - 강조색1 16 2" xfId="68"/>
    <cellStyle name="20% - 강조색1 16 2 2" xfId="69"/>
    <cellStyle name="20% - 강조색1 16 2 2 2" xfId="4429"/>
    <cellStyle name="20% - 강조색1 16 2 3" xfId="70"/>
    <cellStyle name="20% - 강조색1 16 2 4" xfId="4430"/>
    <cellStyle name="20% - 강조색1 16 3" xfId="71"/>
    <cellStyle name="20% - 강조색1 16 3 2" xfId="72"/>
    <cellStyle name="20% - 강조색1 16 3 3" xfId="73"/>
    <cellStyle name="20% - 강조색1 16 3 4" xfId="4431"/>
    <cellStyle name="20% - 강조색1 16 4" xfId="74"/>
    <cellStyle name="20% - 강조색1 16 4 2" xfId="4432"/>
    <cellStyle name="20% - 강조색1 16 5" xfId="75"/>
    <cellStyle name="20% - 강조색1 16 5 2" xfId="4433"/>
    <cellStyle name="20% - 강조색1 16 6" xfId="4434"/>
    <cellStyle name="20% - 강조색1 16 7" xfId="4435"/>
    <cellStyle name="20% - 강조색1 16 8" xfId="4436"/>
    <cellStyle name="20% - 강조색1 16 9" xfId="4437"/>
    <cellStyle name="20% - 강조색1 17" xfId="76"/>
    <cellStyle name="20% - 강조색1 17 10" xfId="4438"/>
    <cellStyle name="20% - 강조색1 17 11" xfId="4439"/>
    <cellStyle name="20% - 강조색1 17 12" xfId="4440"/>
    <cellStyle name="20% - 강조색1 17 13" xfId="4441"/>
    <cellStyle name="20% - 강조색1 17 14" xfId="4442"/>
    <cellStyle name="20% - 강조색1 17 2" xfId="77"/>
    <cellStyle name="20% - 강조색1 17 2 2" xfId="78"/>
    <cellStyle name="20% - 강조색1 17 2 3" xfId="79"/>
    <cellStyle name="20% - 강조색1 17 2 4" xfId="4443"/>
    <cellStyle name="20% - 강조색1 17 3" xfId="80"/>
    <cellStyle name="20% - 강조색1 17 3 2" xfId="4444"/>
    <cellStyle name="20% - 강조색1 17 4" xfId="81"/>
    <cellStyle name="20% - 강조색1 17 4 2" xfId="4445"/>
    <cellStyle name="20% - 강조색1 17 5" xfId="4446"/>
    <cellStyle name="20% - 강조색1 17 6" xfId="4447"/>
    <cellStyle name="20% - 강조색1 17 7" xfId="4448"/>
    <cellStyle name="20% - 강조색1 17 8" xfId="4449"/>
    <cellStyle name="20% - 강조색1 17 9" xfId="4450"/>
    <cellStyle name="20% - 강조색1 18" xfId="82"/>
    <cellStyle name="20% - 강조색1 18 10" xfId="4451"/>
    <cellStyle name="20% - 강조색1 18 11" xfId="4452"/>
    <cellStyle name="20% - 강조색1 18 12" xfId="4453"/>
    <cellStyle name="20% - 강조색1 18 13" xfId="4454"/>
    <cellStyle name="20% - 강조색1 18 14" xfId="4455"/>
    <cellStyle name="20% - 강조색1 18 2" xfId="83"/>
    <cellStyle name="20% - 강조색1 18 2 2" xfId="84"/>
    <cellStyle name="20% - 강조색1 18 2 3" xfId="85"/>
    <cellStyle name="20% - 강조색1 18 2 4" xfId="4456"/>
    <cellStyle name="20% - 강조색1 18 3" xfId="86"/>
    <cellStyle name="20% - 강조색1 18 3 2" xfId="4457"/>
    <cellStyle name="20% - 강조색1 18 4" xfId="87"/>
    <cellStyle name="20% - 강조색1 18 4 2" xfId="4458"/>
    <cellStyle name="20% - 강조색1 18 5" xfId="4459"/>
    <cellStyle name="20% - 강조색1 18 6" xfId="4460"/>
    <cellStyle name="20% - 강조색1 18 7" xfId="4461"/>
    <cellStyle name="20% - 강조색1 18 8" xfId="4462"/>
    <cellStyle name="20% - 강조색1 18 9" xfId="4463"/>
    <cellStyle name="20% - 강조색1 19" xfId="88"/>
    <cellStyle name="20% - 강조색1 19 10" xfId="4464"/>
    <cellStyle name="20% - 강조색1 19 11" xfId="4465"/>
    <cellStyle name="20% - 강조색1 19 12" xfId="4466"/>
    <cellStyle name="20% - 강조색1 19 13" xfId="4467"/>
    <cellStyle name="20% - 강조색1 19 14" xfId="4468"/>
    <cellStyle name="20% - 강조색1 19 2" xfId="89"/>
    <cellStyle name="20% - 강조색1 19 2 2" xfId="90"/>
    <cellStyle name="20% - 강조색1 19 2 3" xfId="91"/>
    <cellStyle name="20% - 강조색1 19 2 4" xfId="4469"/>
    <cellStyle name="20% - 강조색1 19 3" xfId="92"/>
    <cellStyle name="20% - 강조색1 19 3 2" xfId="4470"/>
    <cellStyle name="20% - 강조색1 19 4" xfId="93"/>
    <cellStyle name="20% - 강조색1 19 4 2" xfId="4471"/>
    <cellStyle name="20% - 강조색1 19 5" xfId="4472"/>
    <cellStyle name="20% - 강조색1 19 6" xfId="4473"/>
    <cellStyle name="20% - 강조색1 19 7" xfId="4474"/>
    <cellStyle name="20% - 강조색1 19 8" xfId="4475"/>
    <cellStyle name="20% - 강조색1 19 9" xfId="4476"/>
    <cellStyle name="20% - 강조색1 2" xfId="94"/>
    <cellStyle name="20% - 강조색1 2 10" xfId="4477"/>
    <cellStyle name="20% - 강조색1 2 11" xfId="4478"/>
    <cellStyle name="20% - 강조색1 2 12" xfId="4479"/>
    <cellStyle name="20% - 강조색1 2 13" xfId="4480"/>
    <cellStyle name="20% - 강조색1 2 2" xfId="4481"/>
    <cellStyle name="20% - 강조색1 2 2 2" xfId="4482"/>
    <cellStyle name="20% - 강조색1 2 3" xfId="4483"/>
    <cellStyle name="20% - 강조색1 2 3 2" xfId="4484"/>
    <cellStyle name="20% - 강조색1 2 4" xfId="4485"/>
    <cellStyle name="20% - 강조색1 2 4 2" xfId="4486"/>
    <cellStyle name="20% - 강조색1 2 5" xfId="4487"/>
    <cellStyle name="20% - 강조색1 2 6" xfId="4488"/>
    <cellStyle name="20% - 강조색1 2 7" xfId="4489"/>
    <cellStyle name="20% - 강조색1 2 8" xfId="4490"/>
    <cellStyle name="20% - 강조색1 2 9" xfId="4491"/>
    <cellStyle name="20% - 강조색1 20" xfId="95"/>
    <cellStyle name="20% - 강조색1 20 2" xfId="96"/>
    <cellStyle name="20% - 강조색1 20 3" xfId="97"/>
    <cellStyle name="20% - 강조색1 20 4" xfId="4492"/>
    <cellStyle name="20% - 강조색1 21" xfId="98"/>
    <cellStyle name="20% - 강조색1 21 2" xfId="99"/>
    <cellStyle name="20% - 강조색1 21 3" xfId="100"/>
    <cellStyle name="20% - 강조색1 21 4" xfId="4493"/>
    <cellStyle name="20% - 강조색1 22" xfId="101"/>
    <cellStyle name="20% - 강조색1 22 2" xfId="102"/>
    <cellStyle name="20% - 강조색1 22 3" xfId="103"/>
    <cellStyle name="20% - 강조색1 22 4" xfId="4494"/>
    <cellStyle name="20% - 강조색1 23" xfId="104"/>
    <cellStyle name="20% - 강조색1 23 2" xfId="105"/>
    <cellStyle name="20% - 강조색1 23 3" xfId="106"/>
    <cellStyle name="20% - 강조색1 23 4" xfId="4495"/>
    <cellStyle name="20% - 강조색1 24" xfId="107"/>
    <cellStyle name="20% - 강조색1 24 2" xfId="108"/>
    <cellStyle name="20% - 강조색1 24 3" xfId="109"/>
    <cellStyle name="20% - 강조색1 24 4" xfId="4496"/>
    <cellStyle name="20% - 강조색1 25" xfId="110"/>
    <cellStyle name="20% - 강조색1 25 2" xfId="111"/>
    <cellStyle name="20% - 강조색1 25 3" xfId="112"/>
    <cellStyle name="20% - 강조색1 25 4" xfId="4497"/>
    <cellStyle name="20% - 강조색1 26" xfId="113"/>
    <cellStyle name="20% - 강조색1 26 2" xfId="114"/>
    <cellStyle name="20% - 강조색1 26 3" xfId="115"/>
    <cellStyle name="20% - 강조색1 26 4" xfId="4498"/>
    <cellStyle name="20% - 강조색1 27" xfId="116"/>
    <cellStyle name="20% - 강조색1 27 2" xfId="117"/>
    <cellStyle name="20% - 강조색1 27 3" xfId="118"/>
    <cellStyle name="20% - 강조색1 27 4" xfId="4499"/>
    <cellStyle name="20% - 강조색1 28" xfId="119"/>
    <cellStyle name="20% - 강조색1 28 2" xfId="120"/>
    <cellStyle name="20% - 강조색1 28 3" xfId="121"/>
    <cellStyle name="20% - 강조색1 28 4" xfId="4500"/>
    <cellStyle name="20% - 강조색1 29" xfId="122"/>
    <cellStyle name="20% - 강조색1 29 2" xfId="123"/>
    <cellStyle name="20% - 강조색1 29 3" xfId="124"/>
    <cellStyle name="20% - 강조색1 29 4" xfId="4501"/>
    <cellStyle name="20% - 강조색1 3" xfId="125"/>
    <cellStyle name="20% - 강조색1 3 10" xfId="4502"/>
    <cellStyle name="20% - 강조색1 3 11" xfId="4503"/>
    <cellStyle name="20% - 강조색1 3 12" xfId="4504"/>
    <cellStyle name="20% - 강조색1 3 13" xfId="4505"/>
    <cellStyle name="20% - 강조색1 3 14" xfId="4506"/>
    <cellStyle name="20% - 강조색1 3 2" xfId="126"/>
    <cellStyle name="20% - 강조색1 3 2 2" xfId="127"/>
    <cellStyle name="20% - 강조색1 3 2 2 2" xfId="128"/>
    <cellStyle name="20% - 강조색1 3 2 2 3" xfId="129"/>
    <cellStyle name="20% - 강조색1 3 2 2 4" xfId="4507"/>
    <cellStyle name="20% - 강조색1 3 2 3" xfId="130"/>
    <cellStyle name="20% - 강조색1 3 2 3 2" xfId="131"/>
    <cellStyle name="20% - 강조색1 3 2 3 3" xfId="132"/>
    <cellStyle name="20% - 강조색1 3 2 4" xfId="133"/>
    <cellStyle name="20% - 강조색1 3 2 5" xfId="134"/>
    <cellStyle name="20% - 강조색1 3 2 6" xfId="4508"/>
    <cellStyle name="20% - 강조색1 3 3" xfId="135"/>
    <cellStyle name="20% - 강조색1 3 3 2" xfId="136"/>
    <cellStyle name="20% - 강조색1 3 3 2 2" xfId="137"/>
    <cellStyle name="20% - 강조색1 3 3 2 3" xfId="138"/>
    <cellStyle name="20% - 강조색1 3 3 3" xfId="139"/>
    <cellStyle name="20% - 강조색1 3 3 3 2" xfId="140"/>
    <cellStyle name="20% - 강조색1 3 3 3 3" xfId="141"/>
    <cellStyle name="20% - 강조색1 3 3 4" xfId="142"/>
    <cellStyle name="20% - 강조색1 3 3 5" xfId="143"/>
    <cellStyle name="20% - 강조색1 3 3 6" xfId="4509"/>
    <cellStyle name="20% - 강조색1 3 4" xfId="144"/>
    <cellStyle name="20% - 강조색1 3 4 2" xfId="145"/>
    <cellStyle name="20% - 강조색1 3 4 3" xfId="146"/>
    <cellStyle name="20% - 강조색1 3 4 4" xfId="4510"/>
    <cellStyle name="20% - 강조색1 3 5" xfId="147"/>
    <cellStyle name="20% - 강조색1 3 5 2" xfId="148"/>
    <cellStyle name="20% - 강조색1 3 5 3" xfId="149"/>
    <cellStyle name="20% - 강조색1 3 5 4" xfId="4511"/>
    <cellStyle name="20% - 강조색1 3 6" xfId="150"/>
    <cellStyle name="20% - 강조색1 3 6 2" xfId="4512"/>
    <cellStyle name="20% - 강조색1 3 7" xfId="151"/>
    <cellStyle name="20% - 강조색1 3 7 2" xfId="4513"/>
    <cellStyle name="20% - 강조색1 3 8" xfId="4514"/>
    <cellStyle name="20% - 강조색1 3 9" xfId="4515"/>
    <cellStyle name="20% - 강조색1 30" xfId="152"/>
    <cellStyle name="20% - 강조색1 30 2" xfId="153"/>
    <cellStyle name="20% - 강조색1 30 3" xfId="4516"/>
    <cellStyle name="20% - 강조색1 31" xfId="154"/>
    <cellStyle name="20% - 강조색1 31 2" xfId="4517"/>
    <cellStyle name="20% - 강조색1 32" xfId="155"/>
    <cellStyle name="20% - 강조색1 32 2" xfId="4518"/>
    <cellStyle name="20% - 강조색1 33" xfId="156"/>
    <cellStyle name="20% - 강조색1 34" xfId="157"/>
    <cellStyle name="20% - 강조색1 35" xfId="158"/>
    <cellStyle name="20% - 강조색1 36" xfId="159"/>
    <cellStyle name="20% - 강조색1 37" xfId="160"/>
    <cellStyle name="20% - 강조색1 38" xfId="161"/>
    <cellStyle name="20% - 강조색1 4" xfId="162"/>
    <cellStyle name="20% - 강조색1 4 10" xfId="4519"/>
    <cellStyle name="20% - 강조색1 4 11" xfId="4520"/>
    <cellStyle name="20% - 강조색1 4 12" xfId="4521"/>
    <cellStyle name="20% - 강조색1 4 13" xfId="4522"/>
    <cellStyle name="20% - 강조색1 4 14" xfId="4523"/>
    <cellStyle name="20% - 강조색1 4 2" xfId="163"/>
    <cellStyle name="20% - 강조색1 4 2 2" xfId="164"/>
    <cellStyle name="20% - 강조색1 4 2 2 2" xfId="165"/>
    <cellStyle name="20% - 강조색1 4 2 2 3" xfId="166"/>
    <cellStyle name="20% - 강조색1 4 2 2 4" xfId="4524"/>
    <cellStyle name="20% - 강조색1 4 2 3" xfId="167"/>
    <cellStyle name="20% - 강조색1 4 2 3 2" xfId="168"/>
    <cellStyle name="20% - 강조색1 4 2 3 3" xfId="169"/>
    <cellStyle name="20% - 강조색1 4 2 4" xfId="170"/>
    <cellStyle name="20% - 강조색1 4 2 5" xfId="171"/>
    <cellStyle name="20% - 강조색1 4 2 6" xfId="4525"/>
    <cellStyle name="20% - 강조색1 4 3" xfId="172"/>
    <cellStyle name="20% - 강조색1 4 3 2" xfId="173"/>
    <cellStyle name="20% - 강조색1 4 3 2 2" xfId="174"/>
    <cellStyle name="20% - 강조색1 4 3 2 3" xfId="175"/>
    <cellStyle name="20% - 강조색1 4 3 3" xfId="176"/>
    <cellStyle name="20% - 강조색1 4 3 3 2" xfId="177"/>
    <cellStyle name="20% - 강조색1 4 3 3 3" xfId="178"/>
    <cellStyle name="20% - 강조색1 4 3 4" xfId="179"/>
    <cellStyle name="20% - 강조색1 4 3 5" xfId="180"/>
    <cellStyle name="20% - 강조색1 4 3 6" xfId="4526"/>
    <cellStyle name="20% - 강조색1 4 4" xfId="181"/>
    <cellStyle name="20% - 강조색1 4 4 2" xfId="182"/>
    <cellStyle name="20% - 강조색1 4 4 3" xfId="183"/>
    <cellStyle name="20% - 강조색1 4 4 4" xfId="4527"/>
    <cellStyle name="20% - 강조색1 4 5" xfId="184"/>
    <cellStyle name="20% - 강조색1 4 5 2" xfId="185"/>
    <cellStyle name="20% - 강조색1 4 5 3" xfId="186"/>
    <cellStyle name="20% - 강조색1 4 5 4" xfId="4528"/>
    <cellStyle name="20% - 강조색1 4 6" xfId="187"/>
    <cellStyle name="20% - 강조색1 4 6 2" xfId="4529"/>
    <cellStyle name="20% - 강조색1 4 7" xfId="188"/>
    <cellStyle name="20% - 강조색1 4 7 2" xfId="4530"/>
    <cellStyle name="20% - 강조색1 4 8" xfId="4531"/>
    <cellStyle name="20% - 강조색1 4 9" xfId="4532"/>
    <cellStyle name="20% - 강조색1 5" xfId="189"/>
    <cellStyle name="20% - 강조색1 5 10" xfId="4533"/>
    <cellStyle name="20% - 강조색1 5 11" xfId="4534"/>
    <cellStyle name="20% - 강조색1 5 12" xfId="4535"/>
    <cellStyle name="20% - 강조색1 5 13" xfId="4536"/>
    <cellStyle name="20% - 강조색1 5 14" xfId="4537"/>
    <cellStyle name="20% - 강조색1 5 2" xfId="190"/>
    <cellStyle name="20% - 강조색1 5 2 2" xfId="191"/>
    <cellStyle name="20% - 강조색1 5 2 2 2" xfId="192"/>
    <cellStyle name="20% - 강조색1 5 2 2 3" xfId="193"/>
    <cellStyle name="20% - 강조색1 5 2 2 4" xfId="4538"/>
    <cellStyle name="20% - 강조색1 5 2 3" xfId="194"/>
    <cellStyle name="20% - 강조색1 5 2 3 2" xfId="195"/>
    <cellStyle name="20% - 강조색1 5 2 3 3" xfId="196"/>
    <cellStyle name="20% - 강조색1 5 2 4" xfId="197"/>
    <cellStyle name="20% - 강조색1 5 2 5" xfId="198"/>
    <cellStyle name="20% - 강조색1 5 2 6" xfId="4539"/>
    <cellStyle name="20% - 강조색1 5 3" xfId="199"/>
    <cellStyle name="20% - 강조색1 5 3 2" xfId="200"/>
    <cellStyle name="20% - 강조색1 5 3 2 2" xfId="201"/>
    <cellStyle name="20% - 강조색1 5 3 2 3" xfId="202"/>
    <cellStyle name="20% - 강조색1 5 3 3" xfId="203"/>
    <cellStyle name="20% - 강조색1 5 3 3 2" xfId="204"/>
    <cellStyle name="20% - 강조색1 5 3 3 3" xfId="205"/>
    <cellStyle name="20% - 강조색1 5 3 4" xfId="206"/>
    <cellStyle name="20% - 강조색1 5 3 5" xfId="207"/>
    <cellStyle name="20% - 강조색1 5 3 6" xfId="4540"/>
    <cellStyle name="20% - 강조색1 5 4" xfId="208"/>
    <cellStyle name="20% - 강조색1 5 4 2" xfId="209"/>
    <cellStyle name="20% - 강조색1 5 4 3" xfId="210"/>
    <cellStyle name="20% - 강조색1 5 4 4" xfId="4541"/>
    <cellStyle name="20% - 강조색1 5 5" xfId="211"/>
    <cellStyle name="20% - 강조색1 5 5 2" xfId="212"/>
    <cellStyle name="20% - 강조색1 5 5 3" xfId="213"/>
    <cellStyle name="20% - 강조색1 5 5 4" xfId="4542"/>
    <cellStyle name="20% - 강조색1 5 6" xfId="214"/>
    <cellStyle name="20% - 강조색1 5 6 2" xfId="4543"/>
    <cellStyle name="20% - 강조색1 5 7" xfId="215"/>
    <cellStyle name="20% - 강조색1 5 7 2" xfId="4544"/>
    <cellStyle name="20% - 강조색1 5 8" xfId="4545"/>
    <cellStyle name="20% - 강조색1 5 9" xfId="4546"/>
    <cellStyle name="20% - 강조색1 6" xfId="216"/>
    <cellStyle name="20% - 강조색1 6 10" xfId="4547"/>
    <cellStyle name="20% - 강조색1 6 11" xfId="4548"/>
    <cellStyle name="20% - 강조색1 6 12" xfId="4549"/>
    <cellStyle name="20% - 강조색1 6 13" xfId="4550"/>
    <cellStyle name="20% - 강조색1 6 14" xfId="4551"/>
    <cellStyle name="20% - 강조색1 6 2" xfId="217"/>
    <cellStyle name="20% - 강조색1 6 2 2" xfId="218"/>
    <cellStyle name="20% - 강조색1 6 2 2 2" xfId="219"/>
    <cellStyle name="20% - 강조색1 6 2 2 3" xfId="220"/>
    <cellStyle name="20% - 강조색1 6 2 2 4" xfId="4552"/>
    <cellStyle name="20% - 강조색1 6 2 3" xfId="221"/>
    <cellStyle name="20% - 강조색1 6 2 3 2" xfId="222"/>
    <cellStyle name="20% - 강조색1 6 2 3 3" xfId="223"/>
    <cellStyle name="20% - 강조색1 6 2 4" xfId="224"/>
    <cellStyle name="20% - 강조색1 6 2 5" xfId="225"/>
    <cellStyle name="20% - 강조색1 6 2 6" xfId="4553"/>
    <cellStyle name="20% - 강조색1 6 3" xfId="226"/>
    <cellStyle name="20% - 강조색1 6 3 2" xfId="227"/>
    <cellStyle name="20% - 강조색1 6 3 2 2" xfId="228"/>
    <cellStyle name="20% - 강조색1 6 3 2 3" xfId="229"/>
    <cellStyle name="20% - 강조색1 6 3 3" xfId="230"/>
    <cellStyle name="20% - 강조색1 6 3 3 2" xfId="231"/>
    <cellStyle name="20% - 강조색1 6 3 3 3" xfId="232"/>
    <cellStyle name="20% - 강조색1 6 3 4" xfId="233"/>
    <cellStyle name="20% - 강조색1 6 3 5" xfId="234"/>
    <cellStyle name="20% - 강조색1 6 3 6" xfId="4554"/>
    <cellStyle name="20% - 강조색1 6 4" xfId="235"/>
    <cellStyle name="20% - 강조색1 6 4 2" xfId="236"/>
    <cellStyle name="20% - 강조색1 6 4 3" xfId="237"/>
    <cellStyle name="20% - 강조색1 6 4 4" xfId="4555"/>
    <cellStyle name="20% - 강조색1 6 5" xfId="238"/>
    <cellStyle name="20% - 강조색1 6 5 2" xfId="239"/>
    <cellStyle name="20% - 강조색1 6 5 3" xfId="240"/>
    <cellStyle name="20% - 강조색1 6 5 4" xfId="4556"/>
    <cellStyle name="20% - 강조색1 6 6" xfId="241"/>
    <cellStyle name="20% - 강조색1 6 6 2" xfId="4557"/>
    <cellStyle name="20% - 강조색1 6 7" xfId="242"/>
    <cellStyle name="20% - 강조색1 6 7 2" xfId="4558"/>
    <cellStyle name="20% - 강조색1 6 8" xfId="4559"/>
    <cellStyle name="20% - 강조색1 6 9" xfId="4560"/>
    <cellStyle name="20% - 강조색1 7" xfId="243"/>
    <cellStyle name="20% - 강조색1 7 10" xfId="4561"/>
    <cellStyle name="20% - 강조색1 7 11" xfId="4562"/>
    <cellStyle name="20% - 강조색1 7 12" xfId="4563"/>
    <cellStyle name="20% - 강조색1 7 13" xfId="4564"/>
    <cellStyle name="20% - 강조색1 7 14" xfId="4565"/>
    <cellStyle name="20% - 강조색1 7 2" xfId="244"/>
    <cellStyle name="20% - 강조색1 7 2 2" xfId="245"/>
    <cellStyle name="20% - 강조색1 7 2 2 2" xfId="246"/>
    <cellStyle name="20% - 강조색1 7 2 2 3" xfId="247"/>
    <cellStyle name="20% - 강조색1 7 2 2 4" xfId="4566"/>
    <cellStyle name="20% - 강조색1 7 2 3" xfId="248"/>
    <cellStyle name="20% - 강조색1 7 2 3 2" xfId="249"/>
    <cellStyle name="20% - 강조색1 7 2 3 3" xfId="250"/>
    <cellStyle name="20% - 강조색1 7 2 4" xfId="251"/>
    <cellStyle name="20% - 강조색1 7 2 5" xfId="252"/>
    <cellStyle name="20% - 강조색1 7 2 6" xfId="4567"/>
    <cellStyle name="20% - 강조색1 7 3" xfId="253"/>
    <cellStyle name="20% - 강조색1 7 3 2" xfId="254"/>
    <cellStyle name="20% - 강조색1 7 3 2 2" xfId="255"/>
    <cellStyle name="20% - 강조색1 7 3 2 3" xfId="256"/>
    <cellStyle name="20% - 강조색1 7 3 3" xfId="257"/>
    <cellStyle name="20% - 강조색1 7 3 3 2" xfId="258"/>
    <cellStyle name="20% - 강조색1 7 3 3 3" xfId="259"/>
    <cellStyle name="20% - 강조색1 7 3 4" xfId="260"/>
    <cellStyle name="20% - 강조색1 7 3 5" xfId="261"/>
    <cellStyle name="20% - 강조색1 7 3 6" xfId="4568"/>
    <cellStyle name="20% - 강조색1 7 4" xfId="262"/>
    <cellStyle name="20% - 강조색1 7 4 2" xfId="263"/>
    <cellStyle name="20% - 강조색1 7 4 3" xfId="264"/>
    <cellStyle name="20% - 강조색1 7 4 4" xfId="4569"/>
    <cellStyle name="20% - 강조색1 7 5" xfId="265"/>
    <cellStyle name="20% - 강조색1 7 5 2" xfId="266"/>
    <cellStyle name="20% - 강조색1 7 5 3" xfId="267"/>
    <cellStyle name="20% - 강조색1 7 5 4" xfId="4570"/>
    <cellStyle name="20% - 강조색1 7 6" xfId="268"/>
    <cellStyle name="20% - 강조색1 7 6 2" xfId="4571"/>
    <cellStyle name="20% - 강조색1 7 7" xfId="269"/>
    <cellStyle name="20% - 강조색1 7 7 2" xfId="4572"/>
    <cellStyle name="20% - 강조색1 7 8" xfId="4573"/>
    <cellStyle name="20% - 강조색1 7 9" xfId="4574"/>
    <cellStyle name="20% - 강조색1 8" xfId="270"/>
    <cellStyle name="20% - 강조색1 8 10" xfId="4575"/>
    <cellStyle name="20% - 강조색1 8 11" xfId="4576"/>
    <cellStyle name="20% - 강조색1 8 12" xfId="4577"/>
    <cellStyle name="20% - 강조색1 8 13" xfId="4578"/>
    <cellStyle name="20% - 강조색1 8 14" xfId="4579"/>
    <cellStyle name="20% - 강조색1 8 2" xfId="271"/>
    <cellStyle name="20% - 강조색1 8 2 2" xfId="272"/>
    <cellStyle name="20% - 강조색1 8 2 2 2" xfId="273"/>
    <cellStyle name="20% - 강조색1 8 2 2 3" xfId="274"/>
    <cellStyle name="20% - 강조색1 8 2 2 4" xfId="4580"/>
    <cellStyle name="20% - 강조색1 8 2 3" xfId="275"/>
    <cellStyle name="20% - 강조색1 8 2 3 2" xfId="276"/>
    <cellStyle name="20% - 강조색1 8 2 3 3" xfId="277"/>
    <cellStyle name="20% - 강조색1 8 2 4" xfId="278"/>
    <cellStyle name="20% - 강조색1 8 2 5" xfId="279"/>
    <cellStyle name="20% - 강조색1 8 2 6" xfId="4581"/>
    <cellStyle name="20% - 강조색1 8 3" xfId="280"/>
    <cellStyle name="20% - 강조색1 8 3 2" xfId="281"/>
    <cellStyle name="20% - 강조색1 8 3 2 2" xfId="282"/>
    <cellStyle name="20% - 강조색1 8 3 2 3" xfId="283"/>
    <cellStyle name="20% - 강조색1 8 3 3" xfId="284"/>
    <cellStyle name="20% - 강조색1 8 3 3 2" xfId="285"/>
    <cellStyle name="20% - 강조색1 8 3 3 3" xfId="286"/>
    <cellStyle name="20% - 강조색1 8 3 4" xfId="287"/>
    <cellStyle name="20% - 강조색1 8 3 5" xfId="288"/>
    <cellStyle name="20% - 강조색1 8 3 6" xfId="4582"/>
    <cellStyle name="20% - 강조색1 8 4" xfId="289"/>
    <cellStyle name="20% - 강조색1 8 4 2" xfId="290"/>
    <cellStyle name="20% - 강조색1 8 4 3" xfId="291"/>
    <cellStyle name="20% - 강조색1 8 4 4" xfId="4583"/>
    <cellStyle name="20% - 강조색1 8 5" xfId="292"/>
    <cellStyle name="20% - 강조색1 8 5 2" xfId="293"/>
    <cellStyle name="20% - 강조색1 8 5 3" xfId="294"/>
    <cellStyle name="20% - 강조색1 8 5 4" xfId="4584"/>
    <cellStyle name="20% - 강조색1 8 6" xfId="295"/>
    <cellStyle name="20% - 강조색1 8 6 2" xfId="4585"/>
    <cellStyle name="20% - 강조색1 8 7" xfId="296"/>
    <cellStyle name="20% - 강조색1 8 7 2" xfId="4586"/>
    <cellStyle name="20% - 강조색1 8 8" xfId="4587"/>
    <cellStyle name="20% - 강조색1 8 9" xfId="4588"/>
    <cellStyle name="20% - 강조색1 9" xfId="297"/>
    <cellStyle name="20% - 강조색1 9 10" xfId="4589"/>
    <cellStyle name="20% - 강조색1 9 11" xfId="4590"/>
    <cellStyle name="20% - 강조색1 9 12" xfId="4591"/>
    <cellStyle name="20% - 강조색1 9 13" xfId="4592"/>
    <cellStyle name="20% - 강조색1 9 14" xfId="4593"/>
    <cellStyle name="20% - 강조색1 9 2" xfId="298"/>
    <cellStyle name="20% - 강조색1 9 2 2" xfId="299"/>
    <cellStyle name="20% - 강조색1 9 2 2 2" xfId="4594"/>
    <cellStyle name="20% - 강조색1 9 2 3" xfId="300"/>
    <cellStyle name="20% - 강조색1 9 2 4" xfId="4595"/>
    <cellStyle name="20% - 강조색1 9 3" xfId="301"/>
    <cellStyle name="20% - 강조색1 9 3 2" xfId="302"/>
    <cellStyle name="20% - 강조색1 9 3 3" xfId="303"/>
    <cellStyle name="20% - 강조색1 9 3 4" xfId="4596"/>
    <cellStyle name="20% - 강조색1 9 4" xfId="304"/>
    <cellStyle name="20% - 강조색1 9 4 2" xfId="4597"/>
    <cellStyle name="20% - 강조색1 9 5" xfId="305"/>
    <cellStyle name="20% - 강조색1 9 5 2" xfId="4598"/>
    <cellStyle name="20% - 강조색1 9 6" xfId="4599"/>
    <cellStyle name="20% - 강조색1 9 7" xfId="4600"/>
    <cellStyle name="20% - 강조색1 9 8" xfId="4601"/>
    <cellStyle name="20% - 강조색1 9 9" xfId="4602"/>
    <cellStyle name="20% - 강조색2" xfId="4318" builtinId="34" customBuiltin="1"/>
    <cellStyle name="20% - 강조색2 10" xfId="306"/>
    <cellStyle name="20% - 강조색2 10 10" xfId="4603"/>
    <cellStyle name="20% - 강조색2 10 11" xfId="4604"/>
    <cellStyle name="20% - 강조색2 10 12" xfId="4605"/>
    <cellStyle name="20% - 강조색2 10 13" xfId="4606"/>
    <cellStyle name="20% - 강조색2 10 14" xfId="4607"/>
    <cellStyle name="20% - 강조색2 10 2" xfId="307"/>
    <cellStyle name="20% - 강조색2 10 2 2" xfId="308"/>
    <cellStyle name="20% - 강조색2 10 2 2 2" xfId="4608"/>
    <cellStyle name="20% - 강조색2 10 2 3" xfId="309"/>
    <cellStyle name="20% - 강조색2 10 2 4" xfId="4609"/>
    <cellStyle name="20% - 강조색2 10 3" xfId="310"/>
    <cellStyle name="20% - 강조색2 10 3 2" xfId="311"/>
    <cellStyle name="20% - 강조색2 10 3 3" xfId="312"/>
    <cellStyle name="20% - 강조색2 10 3 4" xfId="4610"/>
    <cellStyle name="20% - 강조색2 10 4" xfId="313"/>
    <cellStyle name="20% - 강조색2 10 4 2" xfId="4611"/>
    <cellStyle name="20% - 강조색2 10 5" xfId="314"/>
    <cellStyle name="20% - 강조색2 10 5 2" xfId="4612"/>
    <cellStyle name="20% - 강조색2 10 6" xfId="4613"/>
    <cellStyle name="20% - 강조색2 10 7" xfId="4614"/>
    <cellStyle name="20% - 강조색2 10 8" xfId="4615"/>
    <cellStyle name="20% - 강조색2 10 9" xfId="4616"/>
    <cellStyle name="20% - 강조색2 11" xfId="315"/>
    <cellStyle name="20% - 강조색2 11 10" xfId="4617"/>
    <cellStyle name="20% - 강조색2 11 11" xfId="4618"/>
    <cellStyle name="20% - 강조색2 11 12" xfId="4619"/>
    <cellStyle name="20% - 강조색2 11 13" xfId="4620"/>
    <cellStyle name="20% - 강조색2 11 14" xfId="4621"/>
    <cellStyle name="20% - 강조색2 11 2" xfId="316"/>
    <cellStyle name="20% - 강조색2 11 2 2" xfId="317"/>
    <cellStyle name="20% - 강조색2 11 2 2 2" xfId="4622"/>
    <cellStyle name="20% - 강조색2 11 2 3" xfId="318"/>
    <cellStyle name="20% - 강조색2 11 2 4" xfId="4623"/>
    <cellStyle name="20% - 강조색2 11 3" xfId="319"/>
    <cellStyle name="20% - 강조색2 11 3 2" xfId="320"/>
    <cellStyle name="20% - 강조색2 11 3 3" xfId="321"/>
    <cellStyle name="20% - 강조색2 11 3 4" xfId="4624"/>
    <cellStyle name="20% - 강조색2 11 4" xfId="322"/>
    <cellStyle name="20% - 강조색2 11 4 2" xfId="4625"/>
    <cellStyle name="20% - 강조색2 11 5" xfId="323"/>
    <cellStyle name="20% - 강조색2 11 5 2" xfId="4626"/>
    <cellStyle name="20% - 강조색2 11 6" xfId="4627"/>
    <cellStyle name="20% - 강조색2 11 7" xfId="4628"/>
    <cellStyle name="20% - 강조색2 11 8" xfId="4629"/>
    <cellStyle name="20% - 강조색2 11 9" xfId="4630"/>
    <cellStyle name="20% - 강조색2 12" xfId="324"/>
    <cellStyle name="20% - 강조색2 12 10" xfId="4631"/>
    <cellStyle name="20% - 강조색2 12 11" xfId="4632"/>
    <cellStyle name="20% - 강조색2 12 12" xfId="4633"/>
    <cellStyle name="20% - 강조색2 12 13" xfId="4634"/>
    <cellStyle name="20% - 강조색2 12 14" xfId="4635"/>
    <cellStyle name="20% - 강조색2 12 2" xfId="325"/>
    <cellStyle name="20% - 강조색2 12 2 2" xfId="326"/>
    <cellStyle name="20% - 강조색2 12 2 2 2" xfId="4636"/>
    <cellStyle name="20% - 강조색2 12 2 3" xfId="327"/>
    <cellStyle name="20% - 강조색2 12 2 4" xfId="4637"/>
    <cellStyle name="20% - 강조색2 12 3" xfId="328"/>
    <cellStyle name="20% - 강조색2 12 3 2" xfId="329"/>
    <cellStyle name="20% - 강조색2 12 3 3" xfId="330"/>
    <cellStyle name="20% - 강조색2 12 3 4" xfId="4638"/>
    <cellStyle name="20% - 강조색2 12 4" xfId="331"/>
    <cellStyle name="20% - 강조색2 12 4 2" xfId="4639"/>
    <cellStyle name="20% - 강조색2 12 5" xfId="332"/>
    <cellStyle name="20% - 강조색2 12 5 2" xfId="4640"/>
    <cellStyle name="20% - 강조색2 12 6" xfId="4641"/>
    <cellStyle name="20% - 강조색2 12 7" xfId="4642"/>
    <cellStyle name="20% - 강조색2 12 8" xfId="4643"/>
    <cellStyle name="20% - 강조색2 12 9" xfId="4644"/>
    <cellStyle name="20% - 강조색2 13" xfId="333"/>
    <cellStyle name="20% - 강조색2 13 10" xfId="4645"/>
    <cellStyle name="20% - 강조색2 13 11" xfId="4646"/>
    <cellStyle name="20% - 강조색2 13 12" xfId="4647"/>
    <cellStyle name="20% - 강조색2 13 13" xfId="4648"/>
    <cellStyle name="20% - 강조색2 13 14" xfId="4649"/>
    <cellStyle name="20% - 강조색2 13 2" xfId="334"/>
    <cellStyle name="20% - 강조색2 13 2 2" xfId="335"/>
    <cellStyle name="20% - 강조색2 13 2 2 2" xfId="4650"/>
    <cellStyle name="20% - 강조색2 13 2 3" xfId="336"/>
    <cellStyle name="20% - 강조색2 13 2 4" xfId="4651"/>
    <cellStyle name="20% - 강조색2 13 3" xfId="337"/>
    <cellStyle name="20% - 강조색2 13 3 2" xfId="338"/>
    <cellStyle name="20% - 강조색2 13 3 3" xfId="339"/>
    <cellStyle name="20% - 강조색2 13 3 4" xfId="4652"/>
    <cellStyle name="20% - 강조색2 13 4" xfId="340"/>
    <cellStyle name="20% - 강조색2 13 4 2" xfId="4653"/>
    <cellStyle name="20% - 강조색2 13 5" xfId="341"/>
    <cellStyle name="20% - 강조색2 13 5 2" xfId="4654"/>
    <cellStyle name="20% - 강조색2 13 6" xfId="4655"/>
    <cellStyle name="20% - 강조색2 13 7" xfId="4656"/>
    <cellStyle name="20% - 강조색2 13 8" xfId="4657"/>
    <cellStyle name="20% - 강조색2 13 9" xfId="4658"/>
    <cellStyle name="20% - 강조색2 14" xfId="342"/>
    <cellStyle name="20% - 강조색2 14 10" xfId="4659"/>
    <cellStyle name="20% - 강조색2 14 11" xfId="4660"/>
    <cellStyle name="20% - 강조색2 14 12" xfId="4661"/>
    <cellStyle name="20% - 강조색2 14 13" xfId="4662"/>
    <cellStyle name="20% - 강조색2 14 14" xfId="4663"/>
    <cellStyle name="20% - 강조색2 14 2" xfId="343"/>
    <cellStyle name="20% - 강조색2 14 2 2" xfId="344"/>
    <cellStyle name="20% - 강조색2 14 2 2 2" xfId="4664"/>
    <cellStyle name="20% - 강조색2 14 2 3" xfId="345"/>
    <cellStyle name="20% - 강조색2 14 2 4" xfId="4665"/>
    <cellStyle name="20% - 강조색2 14 3" xfId="346"/>
    <cellStyle name="20% - 강조색2 14 3 2" xfId="347"/>
    <cellStyle name="20% - 강조색2 14 3 3" xfId="348"/>
    <cellStyle name="20% - 강조색2 14 3 4" xfId="4666"/>
    <cellStyle name="20% - 강조색2 14 4" xfId="349"/>
    <cellStyle name="20% - 강조색2 14 4 2" xfId="4667"/>
    <cellStyle name="20% - 강조색2 14 5" xfId="350"/>
    <cellStyle name="20% - 강조색2 14 5 2" xfId="4668"/>
    <cellStyle name="20% - 강조색2 14 6" xfId="4669"/>
    <cellStyle name="20% - 강조색2 14 7" xfId="4670"/>
    <cellStyle name="20% - 강조색2 14 8" xfId="4671"/>
    <cellStyle name="20% - 강조색2 14 9" xfId="4672"/>
    <cellStyle name="20% - 강조색2 15" xfId="351"/>
    <cellStyle name="20% - 강조색2 15 10" xfId="4673"/>
    <cellStyle name="20% - 강조색2 15 11" xfId="4674"/>
    <cellStyle name="20% - 강조색2 15 12" xfId="4675"/>
    <cellStyle name="20% - 강조색2 15 13" xfId="4676"/>
    <cellStyle name="20% - 강조색2 15 14" xfId="4677"/>
    <cellStyle name="20% - 강조색2 15 2" xfId="352"/>
    <cellStyle name="20% - 강조색2 15 2 2" xfId="353"/>
    <cellStyle name="20% - 강조색2 15 2 2 2" xfId="4678"/>
    <cellStyle name="20% - 강조색2 15 2 3" xfId="354"/>
    <cellStyle name="20% - 강조색2 15 2 4" xfId="4679"/>
    <cellStyle name="20% - 강조색2 15 3" xfId="355"/>
    <cellStyle name="20% - 강조색2 15 3 2" xfId="356"/>
    <cellStyle name="20% - 강조색2 15 3 3" xfId="357"/>
    <cellStyle name="20% - 강조색2 15 3 4" xfId="4680"/>
    <cellStyle name="20% - 강조색2 15 4" xfId="358"/>
    <cellStyle name="20% - 강조색2 15 4 2" xfId="4681"/>
    <cellStyle name="20% - 강조색2 15 5" xfId="359"/>
    <cellStyle name="20% - 강조색2 15 5 2" xfId="4682"/>
    <cellStyle name="20% - 강조색2 15 6" xfId="4683"/>
    <cellStyle name="20% - 강조색2 15 7" xfId="4684"/>
    <cellStyle name="20% - 강조색2 15 8" xfId="4685"/>
    <cellStyle name="20% - 강조색2 15 9" xfId="4686"/>
    <cellStyle name="20% - 강조색2 16" xfId="360"/>
    <cellStyle name="20% - 강조색2 16 10" xfId="4687"/>
    <cellStyle name="20% - 강조색2 16 11" xfId="4688"/>
    <cellStyle name="20% - 강조색2 16 12" xfId="4689"/>
    <cellStyle name="20% - 강조색2 16 13" xfId="4690"/>
    <cellStyle name="20% - 강조색2 16 14" xfId="4691"/>
    <cellStyle name="20% - 강조색2 16 2" xfId="361"/>
    <cellStyle name="20% - 강조색2 16 2 2" xfId="362"/>
    <cellStyle name="20% - 강조색2 16 2 2 2" xfId="4692"/>
    <cellStyle name="20% - 강조색2 16 2 3" xfId="363"/>
    <cellStyle name="20% - 강조색2 16 2 4" xfId="4693"/>
    <cellStyle name="20% - 강조색2 16 3" xfId="364"/>
    <cellStyle name="20% - 강조색2 16 3 2" xfId="365"/>
    <cellStyle name="20% - 강조색2 16 3 3" xfId="366"/>
    <cellStyle name="20% - 강조색2 16 3 4" xfId="4694"/>
    <cellStyle name="20% - 강조색2 16 4" xfId="367"/>
    <cellStyle name="20% - 강조색2 16 4 2" xfId="4695"/>
    <cellStyle name="20% - 강조색2 16 5" xfId="368"/>
    <cellStyle name="20% - 강조색2 16 5 2" xfId="4696"/>
    <cellStyle name="20% - 강조색2 16 6" xfId="4697"/>
    <cellStyle name="20% - 강조색2 16 7" xfId="4698"/>
    <cellStyle name="20% - 강조색2 16 8" xfId="4699"/>
    <cellStyle name="20% - 강조색2 16 9" xfId="4700"/>
    <cellStyle name="20% - 강조색2 17" xfId="369"/>
    <cellStyle name="20% - 강조색2 17 10" xfId="4701"/>
    <cellStyle name="20% - 강조색2 17 11" xfId="4702"/>
    <cellStyle name="20% - 강조색2 17 12" xfId="4703"/>
    <cellStyle name="20% - 강조색2 17 13" xfId="4704"/>
    <cellStyle name="20% - 강조색2 17 14" xfId="4705"/>
    <cellStyle name="20% - 강조색2 17 2" xfId="370"/>
    <cellStyle name="20% - 강조색2 17 2 2" xfId="371"/>
    <cellStyle name="20% - 강조색2 17 2 3" xfId="372"/>
    <cellStyle name="20% - 강조색2 17 2 4" xfId="4706"/>
    <cellStyle name="20% - 강조색2 17 3" xfId="373"/>
    <cellStyle name="20% - 강조색2 17 3 2" xfId="4707"/>
    <cellStyle name="20% - 강조색2 17 4" xfId="374"/>
    <cellStyle name="20% - 강조색2 17 4 2" xfId="4708"/>
    <cellStyle name="20% - 강조색2 17 5" xfId="4709"/>
    <cellStyle name="20% - 강조색2 17 6" xfId="4710"/>
    <cellStyle name="20% - 강조색2 17 7" xfId="4711"/>
    <cellStyle name="20% - 강조색2 17 8" xfId="4712"/>
    <cellStyle name="20% - 강조색2 17 9" xfId="4713"/>
    <cellStyle name="20% - 강조색2 18" xfId="375"/>
    <cellStyle name="20% - 강조색2 18 10" xfId="4714"/>
    <cellStyle name="20% - 강조색2 18 11" xfId="4715"/>
    <cellStyle name="20% - 강조색2 18 12" xfId="4716"/>
    <cellStyle name="20% - 강조색2 18 13" xfId="4717"/>
    <cellStyle name="20% - 강조색2 18 14" xfId="4718"/>
    <cellStyle name="20% - 강조색2 18 2" xfId="376"/>
    <cellStyle name="20% - 강조색2 18 2 2" xfId="377"/>
    <cellStyle name="20% - 강조색2 18 2 3" xfId="378"/>
    <cellStyle name="20% - 강조색2 18 2 4" xfId="4719"/>
    <cellStyle name="20% - 강조색2 18 3" xfId="379"/>
    <cellStyle name="20% - 강조색2 18 3 2" xfId="4720"/>
    <cellStyle name="20% - 강조색2 18 4" xfId="380"/>
    <cellStyle name="20% - 강조색2 18 4 2" xfId="4721"/>
    <cellStyle name="20% - 강조색2 18 5" xfId="4722"/>
    <cellStyle name="20% - 강조색2 18 6" xfId="4723"/>
    <cellStyle name="20% - 강조색2 18 7" xfId="4724"/>
    <cellStyle name="20% - 강조색2 18 8" xfId="4725"/>
    <cellStyle name="20% - 강조색2 18 9" xfId="4726"/>
    <cellStyle name="20% - 강조색2 19" xfId="381"/>
    <cellStyle name="20% - 강조색2 19 10" xfId="4727"/>
    <cellStyle name="20% - 강조색2 19 11" xfId="4728"/>
    <cellStyle name="20% - 강조색2 19 12" xfId="4729"/>
    <cellStyle name="20% - 강조색2 19 13" xfId="4730"/>
    <cellStyle name="20% - 강조색2 19 14" xfId="4731"/>
    <cellStyle name="20% - 강조색2 19 2" xfId="382"/>
    <cellStyle name="20% - 강조색2 19 2 2" xfId="383"/>
    <cellStyle name="20% - 강조색2 19 2 3" xfId="384"/>
    <cellStyle name="20% - 강조색2 19 2 4" xfId="4732"/>
    <cellStyle name="20% - 강조색2 19 3" xfId="385"/>
    <cellStyle name="20% - 강조색2 19 3 2" xfId="4733"/>
    <cellStyle name="20% - 강조색2 19 4" xfId="386"/>
    <cellStyle name="20% - 강조색2 19 4 2" xfId="4734"/>
    <cellStyle name="20% - 강조색2 19 5" xfId="4735"/>
    <cellStyle name="20% - 강조색2 19 6" xfId="4736"/>
    <cellStyle name="20% - 강조색2 19 7" xfId="4737"/>
    <cellStyle name="20% - 강조색2 19 8" xfId="4738"/>
    <cellStyle name="20% - 강조색2 19 9" xfId="4739"/>
    <cellStyle name="20% - 강조색2 2" xfId="387"/>
    <cellStyle name="20% - 강조색2 2 10" xfId="4740"/>
    <cellStyle name="20% - 강조색2 2 11" xfId="4741"/>
    <cellStyle name="20% - 강조색2 2 12" xfId="4742"/>
    <cellStyle name="20% - 강조색2 2 13" xfId="4743"/>
    <cellStyle name="20% - 강조색2 2 2" xfId="4744"/>
    <cellStyle name="20% - 강조색2 2 2 2" xfId="4745"/>
    <cellStyle name="20% - 강조색2 2 3" xfId="4746"/>
    <cellStyle name="20% - 강조색2 2 3 2" xfId="4747"/>
    <cellStyle name="20% - 강조색2 2 4" xfId="4748"/>
    <cellStyle name="20% - 강조색2 2 4 2" xfId="4749"/>
    <cellStyle name="20% - 강조색2 2 5" xfId="4750"/>
    <cellStyle name="20% - 강조색2 2 6" xfId="4751"/>
    <cellStyle name="20% - 강조색2 2 7" xfId="4752"/>
    <cellStyle name="20% - 강조색2 2 8" xfId="4753"/>
    <cellStyle name="20% - 강조색2 2 9" xfId="4754"/>
    <cellStyle name="20% - 강조색2 20" xfId="388"/>
    <cellStyle name="20% - 강조색2 20 2" xfId="389"/>
    <cellStyle name="20% - 강조색2 20 3" xfId="390"/>
    <cellStyle name="20% - 강조색2 20 4" xfId="4755"/>
    <cellStyle name="20% - 강조색2 21" xfId="391"/>
    <cellStyle name="20% - 강조색2 21 2" xfId="392"/>
    <cellStyle name="20% - 강조색2 21 3" xfId="393"/>
    <cellStyle name="20% - 강조색2 21 4" xfId="4756"/>
    <cellStyle name="20% - 강조색2 22" xfId="394"/>
    <cellStyle name="20% - 강조색2 22 2" xfId="395"/>
    <cellStyle name="20% - 강조색2 22 3" xfId="396"/>
    <cellStyle name="20% - 강조색2 22 4" xfId="4757"/>
    <cellStyle name="20% - 강조색2 23" xfId="397"/>
    <cellStyle name="20% - 강조색2 23 2" xfId="398"/>
    <cellStyle name="20% - 강조색2 23 3" xfId="399"/>
    <cellStyle name="20% - 강조색2 23 4" xfId="4758"/>
    <cellStyle name="20% - 강조색2 24" xfId="400"/>
    <cellStyle name="20% - 강조색2 24 2" xfId="401"/>
    <cellStyle name="20% - 강조색2 24 3" xfId="402"/>
    <cellStyle name="20% - 강조색2 24 4" xfId="4759"/>
    <cellStyle name="20% - 강조색2 25" xfId="403"/>
    <cellStyle name="20% - 강조색2 25 2" xfId="404"/>
    <cellStyle name="20% - 강조색2 25 3" xfId="405"/>
    <cellStyle name="20% - 강조색2 25 4" xfId="4760"/>
    <cellStyle name="20% - 강조색2 26" xfId="406"/>
    <cellStyle name="20% - 강조색2 26 2" xfId="407"/>
    <cellStyle name="20% - 강조색2 26 3" xfId="408"/>
    <cellStyle name="20% - 강조색2 26 4" xfId="4761"/>
    <cellStyle name="20% - 강조색2 27" xfId="409"/>
    <cellStyle name="20% - 강조색2 27 2" xfId="410"/>
    <cellStyle name="20% - 강조색2 27 3" xfId="411"/>
    <cellStyle name="20% - 강조색2 27 4" xfId="4762"/>
    <cellStyle name="20% - 강조색2 28" xfId="412"/>
    <cellStyle name="20% - 강조색2 28 2" xfId="413"/>
    <cellStyle name="20% - 강조색2 28 3" xfId="414"/>
    <cellStyle name="20% - 강조색2 28 4" xfId="4763"/>
    <cellStyle name="20% - 강조색2 29" xfId="415"/>
    <cellStyle name="20% - 강조색2 29 2" xfId="416"/>
    <cellStyle name="20% - 강조색2 29 3" xfId="417"/>
    <cellStyle name="20% - 강조색2 29 4" xfId="4764"/>
    <cellStyle name="20% - 강조색2 3" xfId="418"/>
    <cellStyle name="20% - 강조색2 3 10" xfId="4765"/>
    <cellStyle name="20% - 강조색2 3 11" xfId="4766"/>
    <cellStyle name="20% - 강조색2 3 12" xfId="4767"/>
    <cellStyle name="20% - 강조색2 3 13" xfId="4768"/>
    <cellStyle name="20% - 강조색2 3 14" xfId="4769"/>
    <cellStyle name="20% - 강조색2 3 2" xfId="419"/>
    <cellStyle name="20% - 강조색2 3 2 2" xfId="420"/>
    <cellStyle name="20% - 강조색2 3 2 2 2" xfId="421"/>
    <cellStyle name="20% - 강조색2 3 2 2 3" xfId="422"/>
    <cellStyle name="20% - 강조색2 3 2 2 4" xfId="4770"/>
    <cellStyle name="20% - 강조색2 3 2 3" xfId="423"/>
    <cellStyle name="20% - 강조색2 3 2 3 2" xfId="424"/>
    <cellStyle name="20% - 강조색2 3 2 3 3" xfId="425"/>
    <cellStyle name="20% - 강조색2 3 2 4" xfId="426"/>
    <cellStyle name="20% - 강조색2 3 2 5" xfId="427"/>
    <cellStyle name="20% - 강조색2 3 2 6" xfId="4771"/>
    <cellStyle name="20% - 강조색2 3 3" xfId="428"/>
    <cellStyle name="20% - 강조색2 3 3 2" xfId="429"/>
    <cellStyle name="20% - 강조색2 3 3 2 2" xfId="430"/>
    <cellStyle name="20% - 강조색2 3 3 2 3" xfId="431"/>
    <cellStyle name="20% - 강조색2 3 3 3" xfId="432"/>
    <cellStyle name="20% - 강조색2 3 3 3 2" xfId="433"/>
    <cellStyle name="20% - 강조색2 3 3 3 3" xfId="434"/>
    <cellStyle name="20% - 강조색2 3 3 4" xfId="435"/>
    <cellStyle name="20% - 강조색2 3 3 5" xfId="436"/>
    <cellStyle name="20% - 강조색2 3 3 6" xfId="4772"/>
    <cellStyle name="20% - 강조색2 3 4" xfId="437"/>
    <cellStyle name="20% - 강조색2 3 4 2" xfId="438"/>
    <cellStyle name="20% - 강조색2 3 4 3" xfId="439"/>
    <cellStyle name="20% - 강조색2 3 4 4" xfId="4773"/>
    <cellStyle name="20% - 강조색2 3 5" xfId="440"/>
    <cellStyle name="20% - 강조색2 3 5 2" xfId="441"/>
    <cellStyle name="20% - 강조색2 3 5 3" xfId="442"/>
    <cellStyle name="20% - 강조색2 3 5 4" xfId="4774"/>
    <cellStyle name="20% - 강조색2 3 6" xfId="443"/>
    <cellStyle name="20% - 강조색2 3 6 2" xfId="4775"/>
    <cellStyle name="20% - 강조색2 3 7" xfId="444"/>
    <cellStyle name="20% - 강조색2 3 7 2" xfId="4776"/>
    <cellStyle name="20% - 강조색2 3 8" xfId="4777"/>
    <cellStyle name="20% - 강조색2 3 9" xfId="4778"/>
    <cellStyle name="20% - 강조색2 30" xfId="445"/>
    <cellStyle name="20% - 강조색2 30 2" xfId="446"/>
    <cellStyle name="20% - 강조색2 30 3" xfId="4779"/>
    <cellStyle name="20% - 강조색2 31" xfId="447"/>
    <cellStyle name="20% - 강조색2 31 2" xfId="4780"/>
    <cellStyle name="20% - 강조색2 32" xfId="448"/>
    <cellStyle name="20% - 강조색2 32 2" xfId="4781"/>
    <cellStyle name="20% - 강조색2 33" xfId="449"/>
    <cellStyle name="20% - 강조색2 34" xfId="450"/>
    <cellStyle name="20% - 강조색2 35" xfId="451"/>
    <cellStyle name="20% - 강조색2 36" xfId="452"/>
    <cellStyle name="20% - 강조색2 37" xfId="453"/>
    <cellStyle name="20% - 강조색2 38" xfId="454"/>
    <cellStyle name="20% - 강조색2 4" xfId="455"/>
    <cellStyle name="20% - 강조색2 4 10" xfId="4782"/>
    <cellStyle name="20% - 강조색2 4 11" xfId="4783"/>
    <cellStyle name="20% - 강조색2 4 12" xfId="4784"/>
    <cellStyle name="20% - 강조색2 4 13" xfId="4785"/>
    <cellStyle name="20% - 강조색2 4 14" xfId="4786"/>
    <cellStyle name="20% - 강조색2 4 2" xfId="456"/>
    <cellStyle name="20% - 강조색2 4 2 2" xfId="457"/>
    <cellStyle name="20% - 강조색2 4 2 2 2" xfId="458"/>
    <cellStyle name="20% - 강조색2 4 2 2 3" xfId="459"/>
    <cellStyle name="20% - 강조색2 4 2 2 4" xfId="4787"/>
    <cellStyle name="20% - 강조색2 4 2 3" xfId="460"/>
    <cellStyle name="20% - 강조색2 4 2 3 2" xfId="461"/>
    <cellStyle name="20% - 강조색2 4 2 3 3" xfId="462"/>
    <cellStyle name="20% - 강조색2 4 2 4" xfId="463"/>
    <cellStyle name="20% - 강조색2 4 2 5" xfId="464"/>
    <cellStyle name="20% - 강조색2 4 2 6" xfId="4788"/>
    <cellStyle name="20% - 강조색2 4 3" xfId="465"/>
    <cellStyle name="20% - 강조색2 4 3 2" xfId="466"/>
    <cellStyle name="20% - 강조색2 4 3 2 2" xfId="467"/>
    <cellStyle name="20% - 강조색2 4 3 2 3" xfId="468"/>
    <cellStyle name="20% - 강조색2 4 3 3" xfId="469"/>
    <cellStyle name="20% - 강조색2 4 3 3 2" xfId="470"/>
    <cellStyle name="20% - 강조색2 4 3 3 3" xfId="471"/>
    <cellStyle name="20% - 강조색2 4 3 4" xfId="472"/>
    <cellStyle name="20% - 강조색2 4 3 5" xfId="473"/>
    <cellStyle name="20% - 강조색2 4 3 6" xfId="4789"/>
    <cellStyle name="20% - 강조색2 4 4" xfId="474"/>
    <cellStyle name="20% - 강조색2 4 4 2" xfId="475"/>
    <cellStyle name="20% - 강조색2 4 4 3" xfId="476"/>
    <cellStyle name="20% - 강조색2 4 4 4" xfId="4790"/>
    <cellStyle name="20% - 강조색2 4 5" xfId="477"/>
    <cellStyle name="20% - 강조색2 4 5 2" xfId="478"/>
    <cellStyle name="20% - 강조색2 4 5 3" xfId="479"/>
    <cellStyle name="20% - 강조색2 4 5 4" xfId="4791"/>
    <cellStyle name="20% - 강조색2 4 6" xfId="480"/>
    <cellStyle name="20% - 강조색2 4 6 2" xfId="4792"/>
    <cellStyle name="20% - 강조색2 4 7" xfId="481"/>
    <cellStyle name="20% - 강조색2 4 7 2" xfId="4793"/>
    <cellStyle name="20% - 강조색2 4 8" xfId="4794"/>
    <cellStyle name="20% - 강조색2 4 9" xfId="4795"/>
    <cellStyle name="20% - 강조색2 5" xfId="482"/>
    <cellStyle name="20% - 강조색2 5 10" xfId="4796"/>
    <cellStyle name="20% - 강조색2 5 11" xfId="4797"/>
    <cellStyle name="20% - 강조색2 5 12" xfId="4798"/>
    <cellStyle name="20% - 강조색2 5 13" xfId="4799"/>
    <cellStyle name="20% - 강조색2 5 14" xfId="4800"/>
    <cellStyle name="20% - 강조색2 5 2" xfId="483"/>
    <cellStyle name="20% - 강조색2 5 2 2" xfId="484"/>
    <cellStyle name="20% - 강조색2 5 2 2 2" xfId="485"/>
    <cellStyle name="20% - 강조색2 5 2 2 3" xfId="486"/>
    <cellStyle name="20% - 강조색2 5 2 2 4" xfId="4801"/>
    <cellStyle name="20% - 강조색2 5 2 3" xfId="487"/>
    <cellStyle name="20% - 강조색2 5 2 3 2" xfId="488"/>
    <cellStyle name="20% - 강조색2 5 2 3 3" xfId="489"/>
    <cellStyle name="20% - 강조색2 5 2 4" xfId="490"/>
    <cellStyle name="20% - 강조색2 5 2 5" xfId="491"/>
    <cellStyle name="20% - 강조색2 5 2 6" xfId="4802"/>
    <cellStyle name="20% - 강조색2 5 3" xfId="492"/>
    <cellStyle name="20% - 강조색2 5 3 2" xfId="493"/>
    <cellStyle name="20% - 강조색2 5 3 2 2" xfId="494"/>
    <cellStyle name="20% - 강조색2 5 3 2 3" xfId="495"/>
    <cellStyle name="20% - 강조색2 5 3 3" xfId="496"/>
    <cellStyle name="20% - 강조색2 5 3 3 2" xfId="497"/>
    <cellStyle name="20% - 강조색2 5 3 3 3" xfId="498"/>
    <cellStyle name="20% - 강조색2 5 3 4" xfId="499"/>
    <cellStyle name="20% - 강조색2 5 3 5" xfId="500"/>
    <cellStyle name="20% - 강조색2 5 3 6" xfId="4803"/>
    <cellStyle name="20% - 강조색2 5 4" xfId="501"/>
    <cellStyle name="20% - 강조색2 5 4 2" xfId="502"/>
    <cellStyle name="20% - 강조색2 5 4 3" xfId="503"/>
    <cellStyle name="20% - 강조색2 5 4 4" xfId="4804"/>
    <cellStyle name="20% - 강조색2 5 5" xfId="504"/>
    <cellStyle name="20% - 강조색2 5 5 2" xfId="505"/>
    <cellStyle name="20% - 강조색2 5 5 3" xfId="506"/>
    <cellStyle name="20% - 강조색2 5 5 4" xfId="4805"/>
    <cellStyle name="20% - 강조색2 5 6" xfId="507"/>
    <cellStyle name="20% - 강조색2 5 6 2" xfId="4806"/>
    <cellStyle name="20% - 강조색2 5 7" xfId="508"/>
    <cellStyle name="20% - 강조색2 5 7 2" xfId="4807"/>
    <cellStyle name="20% - 강조색2 5 8" xfId="4808"/>
    <cellStyle name="20% - 강조색2 5 9" xfId="4809"/>
    <cellStyle name="20% - 강조색2 6" xfId="509"/>
    <cellStyle name="20% - 강조색2 6 10" xfId="4810"/>
    <cellStyle name="20% - 강조색2 6 11" xfId="4811"/>
    <cellStyle name="20% - 강조색2 6 12" xfId="4812"/>
    <cellStyle name="20% - 강조색2 6 13" xfId="4813"/>
    <cellStyle name="20% - 강조색2 6 14" xfId="4814"/>
    <cellStyle name="20% - 강조색2 6 2" xfId="510"/>
    <cellStyle name="20% - 강조색2 6 2 2" xfId="511"/>
    <cellStyle name="20% - 강조색2 6 2 2 2" xfId="512"/>
    <cellStyle name="20% - 강조색2 6 2 2 3" xfId="513"/>
    <cellStyle name="20% - 강조색2 6 2 2 4" xfId="4815"/>
    <cellStyle name="20% - 강조색2 6 2 3" xfId="514"/>
    <cellStyle name="20% - 강조색2 6 2 3 2" xfId="515"/>
    <cellStyle name="20% - 강조색2 6 2 3 3" xfId="516"/>
    <cellStyle name="20% - 강조색2 6 2 4" xfId="517"/>
    <cellStyle name="20% - 강조색2 6 2 5" xfId="518"/>
    <cellStyle name="20% - 강조색2 6 2 6" xfId="4816"/>
    <cellStyle name="20% - 강조색2 6 3" xfId="519"/>
    <cellStyle name="20% - 강조색2 6 3 2" xfId="520"/>
    <cellStyle name="20% - 강조색2 6 3 2 2" xfId="521"/>
    <cellStyle name="20% - 강조색2 6 3 2 3" xfId="522"/>
    <cellStyle name="20% - 강조색2 6 3 3" xfId="523"/>
    <cellStyle name="20% - 강조색2 6 3 3 2" xfId="524"/>
    <cellStyle name="20% - 강조색2 6 3 3 3" xfId="525"/>
    <cellStyle name="20% - 강조색2 6 3 4" xfId="526"/>
    <cellStyle name="20% - 강조색2 6 3 5" xfId="527"/>
    <cellStyle name="20% - 강조색2 6 3 6" xfId="4817"/>
    <cellStyle name="20% - 강조색2 6 4" xfId="528"/>
    <cellStyle name="20% - 강조색2 6 4 2" xfId="529"/>
    <cellStyle name="20% - 강조색2 6 4 3" xfId="530"/>
    <cellStyle name="20% - 강조색2 6 4 4" xfId="4818"/>
    <cellStyle name="20% - 강조색2 6 5" xfId="531"/>
    <cellStyle name="20% - 강조색2 6 5 2" xfId="532"/>
    <cellStyle name="20% - 강조색2 6 5 3" xfId="533"/>
    <cellStyle name="20% - 강조색2 6 5 4" xfId="4819"/>
    <cellStyle name="20% - 강조색2 6 6" xfId="534"/>
    <cellStyle name="20% - 강조색2 6 6 2" xfId="4820"/>
    <cellStyle name="20% - 강조색2 6 7" xfId="535"/>
    <cellStyle name="20% - 강조색2 6 7 2" xfId="4821"/>
    <cellStyle name="20% - 강조색2 6 8" xfId="4822"/>
    <cellStyle name="20% - 강조색2 6 9" xfId="4823"/>
    <cellStyle name="20% - 강조색2 7" xfId="536"/>
    <cellStyle name="20% - 강조색2 7 10" xfId="4824"/>
    <cellStyle name="20% - 강조색2 7 11" xfId="4825"/>
    <cellStyle name="20% - 강조색2 7 12" xfId="4826"/>
    <cellStyle name="20% - 강조색2 7 13" xfId="4827"/>
    <cellStyle name="20% - 강조색2 7 14" xfId="4828"/>
    <cellStyle name="20% - 강조색2 7 2" xfId="537"/>
    <cellStyle name="20% - 강조색2 7 2 2" xfId="538"/>
    <cellStyle name="20% - 강조색2 7 2 2 2" xfId="539"/>
    <cellStyle name="20% - 강조색2 7 2 2 3" xfId="540"/>
    <cellStyle name="20% - 강조색2 7 2 2 4" xfId="4829"/>
    <cellStyle name="20% - 강조색2 7 2 3" xfId="541"/>
    <cellStyle name="20% - 강조색2 7 2 3 2" xfId="542"/>
    <cellStyle name="20% - 강조색2 7 2 3 3" xfId="543"/>
    <cellStyle name="20% - 강조색2 7 2 4" xfId="544"/>
    <cellStyle name="20% - 강조색2 7 2 5" xfId="545"/>
    <cellStyle name="20% - 강조색2 7 2 6" xfId="4830"/>
    <cellStyle name="20% - 강조색2 7 3" xfId="546"/>
    <cellStyle name="20% - 강조색2 7 3 2" xfId="547"/>
    <cellStyle name="20% - 강조색2 7 3 2 2" xfId="548"/>
    <cellStyle name="20% - 강조색2 7 3 2 3" xfId="549"/>
    <cellStyle name="20% - 강조색2 7 3 3" xfId="550"/>
    <cellStyle name="20% - 강조색2 7 3 3 2" xfId="551"/>
    <cellStyle name="20% - 강조색2 7 3 3 3" xfId="552"/>
    <cellStyle name="20% - 강조색2 7 3 4" xfId="553"/>
    <cellStyle name="20% - 강조색2 7 3 5" xfId="554"/>
    <cellStyle name="20% - 강조색2 7 3 6" xfId="4831"/>
    <cellStyle name="20% - 강조색2 7 4" xfId="555"/>
    <cellStyle name="20% - 강조색2 7 4 2" xfId="556"/>
    <cellStyle name="20% - 강조색2 7 4 3" xfId="557"/>
    <cellStyle name="20% - 강조색2 7 4 4" xfId="4832"/>
    <cellStyle name="20% - 강조색2 7 5" xfId="558"/>
    <cellStyle name="20% - 강조색2 7 5 2" xfId="559"/>
    <cellStyle name="20% - 강조색2 7 5 3" xfId="560"/>
    <cellStyle name="20% - 강조색2 7 5 4" xfId="4833"/>
    <cellStyle name="20% - 강조색2 7 6" xfId="561"/>
    <cellStyle name="20% - 강조색2 7 6 2" xfId="4834"/>
    <cellStyle name="20% - 강조색2 7 7" xfId="562"/>
    <cellStyle name="20% - 강조색2 7 7 2" xfId="4835"/>
    <cellStyle name="20% - 강조색2 7 8" xfId="4836"/>
    <cellStyle name="20% - 강조색2 7 9" xfId="4837"/>
    <cellStyle name="20% - 강조색2 8" xfId="563"/>
    <cellStyle name="20% - 강조색2 8 10" xfId="4838"/>
    <cellStyle name="20% - 강조색2 8 11" xfId="4839"/>
    <cellStyle name="20% - 강조색2 8 12" xfId="4840"/>
    <cellStyle name="20% - 강조색2 8 13" xfId="4841"/>
    <cellStyle name="20% - 강조색2 8 14" xfId="4842"/>
    <cellStyle name="20% - 강조색2 8 2" xfId="564"/>
    <cellStyle name="20% - 강조색2 8 2 2" xfId="565"/>
    <cellStyle name="20% - 강조색2 8 2 2 2" xfId="566"/>
    <cellStyle name="20% - 강조색2 8 2 2 3" xfId="567"/>
    <cellStyle name="20% - 강조색2 8 2 2 4" xfId="4843"/>
    <cellStyle name="20% - 강조색2 8 2 3" xfId="568"/>
    <cellStyle name="20% - 강조색2 8 2 3 2" xfId="569"/>
    <cellStyle name="20% - 강조색2 8 2 3 3" xfId="570"/>
    <cellStyle name="20% - 강조색2 8 2 4" xfId="571"/>
    <cellStyle name="20% - 강조색2 8 2 5" xfId="572"/>
    <cellStyle name="20% - 강조색2 8 2 6" xfId="4844"/>
    <cellStyle name="20% - 강조색2 8 3" xfId="573"/>
    <cellStyle name="20% - 강조색2 8 3 2" xfId="574"/>
    <cellStyle name="20% - 강조색2 8 3 2 2" xfId="575"/>
    <cellStyle name="20% - 강조색2 8 3 2 3" xfId="576"/>
    <cellStyle name="20% - 강조색2 8 3 3" xfId="577"/>
    <cellStyle name="20% - 강조색2 8 3 3 2" xfId="578"/>
    <cellStyle name="20% - 강조색2 8 3 3 3" xfId="579"/>
    <cellStyle name="20% - 강조색2 8 3 4" xfId="580"/>
    <cellStyle name="20% - 강조색2 8 3 5" xfId="581"/>
    <cellStyle name="20% - 강조색2 8 3 6" xfId="4845"/>
    <cellStyle name="20% - 강조색2 8 4" xfId="582"/>
    <cellStyle name="20% - 강조색2 8 4 2" xfId="583"/>
    <cellStyle name="20% - 강조색2 8 4 3" xfId="584"/>
    <cellStyle name="20% - 강조색2 8 4 4" xfId="4846"/>
    <cellStyle name="20% - 강조색2 8 5" xfId="585"/>
    <cellStyle name="20% - 강조색2 8 5 2" xfId="586"/>
    <cellStyle name="20% - 강조색2 8 5 3" xfId="587"/>
    <cellStyle name="20% - 강조색2 8 5 4" xfId="4847"/>
    <cellStyle name="20% - 강조색2 8 6" xfId="588"/>
    <cellStyle name="20% - 강조색2 8 6 2" xfId="4848"/>
    <cellStyle name="20% - 강조색2 8 7" xfId="589"/>
    <cellStyle name="20% - 강조색2 8 7 2" xfId="4849"/>
    <cellStyle name="20% - 강조색2 8 8" xfId="4850"/>
    <cellStyle name="20% - 강조색2 8 9" xfId="4851"/>
    <cellStyle name="20% - 강조색2 9" xfId="590"/>
    <cellStyle name="20% - 강조색2 9 10" xfId="4852"/>
    <cellStyle name="20% - 강조색2 9 11" xfId="4853"/>
    <cellStyle name="20% - 강조색2 9 12" xfId="4854"/>
    <cellStyle name="20% - 강조색2 9 13" xfId="4855"/>
    <cellStyle name="20% - 강조색2 9 14" xfId="4856"/>
    <cellStyle name="20% - 강조색2 9 2" xfId="591"/>
    <cellStyle name="20% - 강조색2 9 2 2" xfId="592"/>
    <cellStyle name="20% - 강조색2 9 2 2 2" xfId="4857"/>
    <cellStyle name="20% - 강조색2 9 2 3" xfId="593"/>
    <cellStyle name="20% - 강조색2 9 2 4" xfId="4858"/>
    <cellStyle name="20% - 강조색2 9 3" xfId="594"/>
    <cellStyle name="20% - 강조색2 9 3 2" xfId="595"/>
    <cellStyle name="20% - 강조색2 9 3 3" xfId="596"/>
    <cellStyle name="20% - 강조색2 9 3 4" xfId="4859"/>
    <cellStyle name="20% - 강조색2 9 4" xfId="597"/>
    <cellStyle name="20% - 강조색2 9 4 2" xfId="4860"/>
    <cellStyle name="20% - 강조색2 9 5" xfId="598"/>
    <cellStyle name="20% - 강조색2 9 5 2" xfId="4861"/>
    <cellStyle name="20% - 강조색2 9 6" xfId="4862"/>
    <cellStyle name="20% - 강조색2 9 7" xfId="4863"/>
    <cellStyle name="20% - 강조색2 9 8" xfId="4864"/>
    <cellStyle name="20% - 강조색2 9 9" xfId="4865"/>
    <cellStyle name="20% - 강조색3" xfId="4322" builtinId="38" customBuiltin="1"/>
    <cellStyle name="20% - 강조색3 10" xfId="599"/>
    <cellStyle name="20% - 강조색3 10 10" xfId="4866"/>
    <cellStyle name="20% - 강조색3 10 11" xfId="4867"/>
    <cellStyle name="20% - 강조색3 10 12" xfId="4868"/>
    <cellStyle name="20% - 강조색3 10 13" xfId="4869"/>
    <cellStyle name="20% - 강조색3 10 14" xfId="4870"/>
    <cellStyle name="20% - 강조색3 10 2" xfId="600"/>
    <cellStyle name="20% - 강조색3 10 2 2" xfId="601"/>
    <cellStyle name="20% - 강조색3 10 2 2 2" xfId="4871"/>
    <cellStyle name="20% - 강조색3 10 2 3" xfId="602"/>
    <cellStyle name="20% - 강조색3 10 2 4" xfId="4872"/>
    <cellStyle name="20% - 강조색3 10 3" xfId="603"/>
    <cellStyle name="20% - 강조색3 10 3 2" xfId="604"/>
    <cellStyle name="20% - 강조색3 10 3 3" xfId="605"/>
    <cellStyle name="20% - 강조색3 10 3 4" xfId="4873"/>
    <cellStyle name="20% - 강조색3 10 4" xfId="606"/>
    <cellStyle name="20% - 강조색3 10 4 2" xfId="4874"/>
    <cellStyle name="20% - 강조색3 10 5" xfId="607"/>
    <cellStyle name="20% - 강조색3 10 5 2" xfId="4875"/>
    <cellStyle name="20% - 강조색3 10 6" xfId="4876"/>
    <cellStyle name="20% - 강조색3 10 7" xfId="4877"/>
    <cellStyle name="20% - 강조색3 10 8" xfId="4878"/>
    <cellStyle name="20% - 강조색3 10 9" xfId="4879"/>
    <cellStyle name="20% - 강조색3 11" xfId="608"/>
    <cellStyle name="20% - 강조색3 11 10" xfId="4880"/>
    <cellStyle name="20% - 강조색3 11 11" xfId="4881"/>
    <cellStyle name="20% - 강조색3 11 12" xfId="4882"/>
    <cellStyle name="20% - 강조색3 11 13" xfId="4883"/>
    <cellStyle name="20% - 강조색3 11 14" xfId="4884"/>
    <cellStyle name="20% - 강조색3 11 2" xfId="609"/>
    <cellStyle name="20% - 강조색3 11 2 2" xfId="610"/>
    <cellStyle name="20% - 강조색3 11 2 2 2" xfId="4885"/>
    <cellStyle name="20% - 강조색3 11 2 3" xfId="611"/>
    <cellStyle name="20% - 강조색3 11 2 4" xfId="4886"/>
    <cellStyle name="20% - 강조색3 11 3" xfId="612"/>
    <cellStyle name="20% - 강조색3 11 3 2" xfId="613"/>
    <cellStyle name="20% - 강조색3 11 3 3" xfId="614"/>
    <cellStyle name="20% - 강조색3 11 3 4" xfId="4887"/>
    <cellStyle name="20% - 강조색3 11 4" xfId="615"/>
    <cellStyle name="20% - 강조색3 11 4 2" xfId="4888"/>
    <cellStyle name="20% - 강조색3 11 5" xfId="616"/>
    <cellStyle name="20% - 강조색3 11 5 2" xfId="4889"/>
    <cellStyle name="20% - 강조색3 11 6" xfId="4890"/>
    <cellStyle name="20% - 강조색3 11 7" xfId="4891"/>
    <cellStyle name="20% - 강조색3 11 8" xfId="4892"/>
    <cellStyle name="20% - 강조색3 11 9" xfId="4893"/>
    <cellStyle name="20% - 강조색3 12" xfId="617"/>
    <cellStyle name="20% - 강조색3 12 10" xfId="4894"/>
    <cellStyle name="20% - 강조색3 12 11" xfId="4895"/>
    <cellStyle name="20% - 강조색3 12 12" xfId="4896"/>
    <cellStyle name="20% - 강조색3 12 13" xfId="4897"/>
    <cellStyle name="20% - 강조색3 12 14" xfId="4898"/>
    <cellStyle name="20% - 강조색3 12 2" xfId="618"/>
    <cellStyle name="20% - 강조색3 12 2 2" xfId="619"/>
    <cellStyle name="20% - 강조색3 12 2 2 2" xfId="4899"/>
    <cellStyle name="20% - 강조색3 12 2 3" xfId="620"/>
    <cellStyle name="20% - 강조색3 12 2 4" xfId="4900"/>
    <cellStyle name="20% - 강조색3 12 3" xfId="621"/>
    <cellStyle name="20% - 강조색3 12 3 2" xfId="622"/>
    <cellStyle name="20% - 강조색3 12 3 3" xfId="623"/>
    <cellStyle name="20% - 강조색3 12 3 4" xfId="4901"/>
    <cellStyle name="20% - 강조색3 12 4" xfId="624"/>
    <cellStyle name="20% - 강조색3 12 4 2" xfId="4902"/>
    <cellStyle name="20% - 강조색3 12 5" xfId="625"/>
    <cellStyle name="20% - 강조색3 12 5 2" xfId="4903"/>
    <cellStyle name="20% - 강조색3 12 6" xfId="4904"/>
    <cellStyle name="20% - 강조색3 12 7" xfId="4905"/>
    <cellStyle name="20% - 강조색3 12 8" xfId="4906"/>
    <cellStyle name="20% - 강조색3 12 9" xfId="4907"/>
    <cellStyle name="20% - 강조색3 13" xfId="626"/>
    <cellStyle name="20% - 강조색3 13 10" xfId="4908"/>
    <cellStyle name="20% - 강조색3 13 11" xfId="4909"/>
    <cellStyle name="20% - 강조색3 13 12" xfId="4910"/>
    <cellStyle name="20% - 강조색3 13 13" xfId="4911"/>
    <cellStyle name="20% - 강조색3 13 14" xfId="4912"/>
    <cellStyle name="20% - 강조색3 13 2" xfId="627"/>
    <cellStyle name="20% - 강조색3 13 2 2" xfId="628"/>
    <cellStyle name="20% - 강조색3 13 2 2 2" xfId="4913"/>
    <cellStyle name="20% - 강조색3 13 2 3" xfId="629"/>
    <cellStyle name="20% - 강조색3 13 2 4" xfId="4914"/>
    <cellStyle name="20% - 강조색3 13 3" xfId="630"/>
    <cellStyle name="20% - 강조색3 13 3 2" xfId="631"/>
    <cellStyle name="20% - 강조색3 13 3 3" xfId="632"/>
    <cellStyle name="20% - 강조색3 13 3 4" xfId="4915"/>
    <cellStyle name="20% - 강조색3 13 4" xfId="633"/>
    <cellStyle name="20% - 강조색3 13 4 2" xfId="4916"/>
    <cellStyle name="20% - 강조색3 13 5" xfId="634"/>
    <cellStyle name="20% - 강조색3 13 5 2" xfId="4917"/>
    <cellStyle name="20% - 강조색3 13 6" xfId="4918"/>
    <cellStyle name="20% - 강조색3 13 7" xfId="4919"/>
    <cellStyle name="20% - 강조색3 13 8" xfId="4920"/>
    <cellStyle name="20% - 강조색3 13 9" xfId="4921"/>
    <cellStyle name="20% - 강조색3 14" xfId="635"/>
    <cellStyle name="20% - 강조색3 14 10" xfId="4922"/>
    <cellStyle name="20% - 강조색3 14 11" xfId="4923"/>
    <cellStyle name="20% - 강조색3 14 12" xfId="4924"/>
    <cellStyle name="20% - 강조색3 14 13" xfId="4925"/>
    <cellStyle name="20% - 강조색3 14 14" xfId="4926"/>
    <cellStyle name="20% - 강조색3 14 2" xfId="636"/>
    <cellStyle name="20% - 강조색3 14 2 2" xfId="637"/>
    <cellStyle name="20% - 강조색3 14 2 2 2" xfId="4927"/>
    <cellStyle name="20% - 강조색3 14 2 3" xfId="638"/>
    <cellStyle name="20% - 강조색3 14 2 4" xfId="4928"/>
    <cellStyle name="20% - 강조색3 14 3" xfId="639"/>
    <cellStyle name="20% - 강조색3 14 3 2" xfId="640"/>
    <cellStyle name="20% - 강조색3 14 3 3" xfId="641"/>
    <cellStyle name="20% - 강조색3 14 3 4" xfId="4929"/>
    <cellStyle name="20% - 강조색3 14 4" xfId="642"/>
    <cellStyle name="20% - 강조색3 14 4 2" xfId="4930"/>
    <cellStyle name="20% - 강조색3 14 5" xfId="643"/>
    <cellStyle name="20% - 강조색3 14 5 2" xfId="4931"/>
    <cellStyle name="20% - 강조색3 14 6" xfId="4932"/>
    <cellStyle name="20% - 강조색3 14 7" xfId="4933"/>
    <cellStyle name="20% - 강조색3 14 8" xfId="4934"/>
    <cellStyle name="20% - 강조색3 14 9" xfId="4935"/>
    <cellStyle name="20% - 강조색3 15" xfId="644"/>
    <cellStyle name="20% - 강조색3 15 10" xfId="4936"/>
    <cellStyle name="20% - 강조색3 15 11" xfId="4937"/>
    <cellStyle name="20% - 강조색3 15 12" xfId="4938"/>
    <cellStyle name="20% - 강조색3 15 13" xfId="4939"/>
    <cellStyle name="20% - 강조색3 15 14" xfId="4940"/>
    <cellStyle name="20% - 강조색3 15 2" xfId="645"/>
    <cellStyle name="20% - 강조색3 15 2 2" xfId="646"/>
    <cellStyle name="20% - 강조색3 15 2 2 2" xfId="4941"/>
    <cellStyle name="20% - 강조색3 15 2 3" xfId="647"/>
    <cellStyle name="20% - 강조색3 15 2 4" xfId="4942"/>
    <cellStyle name="20% - 강조색3 15 3" xfId="648"/>
    <cellStyle name="20% - 강조색3 15 3 2" xfId="649"/>
    <cellStyle name="20% - 강조색3 15 3 3" xfId="650"/>
    <cellStyle name="20% - 강조색3 15 3 4" xfId="4943"/>
    <cellStyle name="20% - 강조색3 15 4" xfId="651"/>
    <cellStyle name="20% - 강조색3 15 4 2" xfId="4944"/>
    <cellStyle name="20% - 강조색3 15 5" xfId="652"/>
    <cellStyle name="20% - 강조색3 15 5 2" xfId="4945"/>
    <cellStyle name="20% - 강조색3 15 6" xfId="4946"/>
    <cellStyle name="20% - 강조색3 15 7" xfId="4947"/>
    <cellStyle name="20% - 강조색3 15 8" xfId="4948"/>
    <cellStyle name="20% - 강조색3 15 9" xfId="4949"/>
    <cellStyle name="20% - 강조색3 16" xfId="653"/>
    <cellStyle name="20% - 강조색3 16 10" xfId="4950"/>
    <cellStyle name="20% - 강조색3 16 11" xfId="4951"/>
    <cellStyle name="20% - 강조색3 16 12" xfId="4952"/>
    <cellStyle name="20% - 강조색3 16 13" xfId="4953"/>
    <cellStyle name="20% - 강조색3 16 14" xfId="4954"/>
    <cellStyle name="20% - 강조색3 16 2" xfId="654"/>
    <cellStyle name="20% - 강조색3 16 2 2" xfId="655"/>
    <cellStyle name="20% - 강조색3 16 2 2 2" xfId="4955"/>
    <cellStyle name="20% - 강조색3 16 2 3" xfId="656"/>
    <cellStyle name="20% - 강조색3 16 2 4" xfId="4956"/>
    <cellStyle name="20% - 강조색3 16 3" xfId="657"/>
    <cellStyle name="20% - 강조색3 16 3 2" xfId="658"/>
    <cellStyle name="20% - 강조색3 16 3 3" xfId="659"/>
    <cellStyle name="20% - 강조색3 16 3 4" xfId="4957"/>
    <cellStyle name="20% - 강조색3 16 4" xfId="660"/>
    <cellStyle name="20% - 강조색3 16 4 2" xfId="4958"/>
    <cellStyle name="20% - 강조색3 16 5" xfId="661"/>
    <cellStyle name="20% - 강조색3 16 5 2" xfId="4959"/>
    <cellStyle name="20% - 강조색3 16 6" xfId="4960"/>
    <cellStyle name="20% - 강조색3 16 7" xfId="4961"/>
    <cellStyle name="20% - 강조색3 16 8" xfId="4962"/>
    <cellStyle name="20% - 강조색3 16 9" xfId="4963"/>
    <cellStyle name="20% - 강조색3 17" xfId="662"/>
    <cellStyle name="20% - 강조색3 17 10" xfId="4964"/>
    <cellStyle name="20% - 강조색3 17 11" xfId="4965"/>
    <cellStyle name="20% - 강조색3 17 12" xfId="4966"/>
    <cellStyle name="20% - 강조색3 17 13" xfId="4967"/>
    <cellStyle name="20% - 강조색3 17 14" xfId="4968"/>
    <cellStyle name="20% - 강조색3 17 2" xfId="663"/>
    <cellStyle name="20% - 강조색3 17 2 2" xfId="664"/>
    <cellStyle name="20% - 강조색3 17 2 3" xfId="665"/>
    <cellStyle name="20% - 강조색3 17 2 4" xfId="4969"/>
    <cellStyle name="20% - 강조색3 17 3" xfId="666"/>
    <cellStyle name="20% - 강조색3 17 3 2" xfId="4970"/>
    <cellStyle name="20% - 강조색3 17 4" xfId="667"/>
    <cellStyle name="20% - 강조색3 17 4 2" xfId="4971"/>
    <cellStyle name="20% - 강조색3 17 5" xfId="4972"/>
    <cellStyle name="20% - 강조색3 17 6" xfId="4973"/>
    <cellStyle name="20% - 강조색3 17 7" xfId="4974"/>
    <cellStyle name="20% - 강조색3 17 8" xfId="4975"/>
    <cellStyle name="20% - 강조색3 17 9" xfId="4976"/>
    <cellStyle name="20% - 강조색3 18" xfId="668"/>
    <cellStyle name="20% - 강조색3 18 10" xfId="4977"/>
    <cellStyle name="20% - 강조색3 18 11" xfId="4978"/>
    <cellStyle name="20% - 강조색3 18 12" xfId="4979"/>
    <cellStyle name="20% - 강조색3 18 13" xfId="4980"/>
    <cellStyle name="20% - 강조색3 18 14" xfId="4981"/>
    <cellStyle name="20% - 강조색3 18 2" xfId="669"/>
    <cellStyle name="20% - 강조색3 18 2 2" xfId="670"/>
    <cellStyle name="20% - 강조색3 18 2 3" xfId="671"/>
    <cellStyle name="20% - 강조색3 18 2 4" xfId="4982"/>
    <cellStyle name="20% - 강조색3 18 3" xfId="672"/>
    <cellStyle name="20% - 강조색3 18 3 2" xfId="4983"/>
    <cellStyle name="20% - 강조색3 18 4" xfId="673"/>
    <cellStyle name="20% - 강조색3 18 4 2" xfId="4984"/>
    <cellStyle name="20% - 강조색3 18 5" xfId="4985"/>
    <cellStyle name="20% - 강조색3 18 6" xfId="4986"/>
    <cellStyle name="20% - 강조색3 18 7" xfId="4987"/>
    <cellStyle name="20% - 강조색3 18 8" xfId="4988"/>
    <cellStyle name="20% - 강조색3 18 9" xfId="4989"/>
    <cellStyle name="20% - 강조색3 19" xfId="674"/>
    <cellStyle name="20% - 강조색3 19 10" xfId="4990"/>
    <cellStyle name="20% - 강조색3 19 11" xfId="4991"/>
    <cellStyle name="20% - 강조색3 19 12" xfId="4992"/>
    <cellStyle name="20% - 강조색3 19 13" xfId="4993"/>
    <cellStyle name="20% - 강조색3 19 14" xfId="4994"/>
    <cellStyle name="20% - 강조색3 19 2" xfId="675"/>
    <cellStyle name="20% - 강조색3 19 2 2" xfId="676"/>
    <cellStyle name="20% - 강조색3 19 2 3" xfId="677"/>
    <cellStyle name="20% - 강조색3 19 2 4" xfId="4995"/>
    <cellStyle name="20% - 강조색3 19 3" xfId="678"/>
    <cellStyle name="20% - 강조색3 19 3 2" xfId="4996"/>
    <cellStyle name="20% - 강조색3 19 4" xfId="679"/>
    <cellStyle name="20% - 강조색3 19 4 2" xfId="4997"/>
    <cellStyle name="20% - 강조색3 19 5" xfId="4998"/>
    <cellStyle name="20% - 강조색3 19 6" xfId="4999"/>
    <cellStyle name="20% - 강조색3 19 7" xfId="5000"/>
    <cellStyle name="20% - 강조색3 19 8" xfId="5001"/>
    <cellStyle name="20% - 강조색3 19 9" xfId="5002"/>
    <cellStyle name="20% - 강조색3 2" xfId="680"/>
    <cellStyle name="20% - 강조색3 2 10" xfId="5003"/>
    <cellStyle name="20% - 강조색3 2 11" xfId="5004"/>
    <cellStyle name="20% - 강조색3 2 12" xfId="5005"/>
    <cellStyle name="20% - 강조색3 2 13" xfId="5006"/>
    <cellStyle name="20% - 강조색3 2 2" xfId="5007"/>
    <cellStyle name="20% - 강조색3 2 2 2" xfId="5008"/>
    <cellStyle name="20% - 강조색3 2 3" xfId="5009"/>
    <cellStyle name="20% - 강조색3 2 3 2" xfId="5010"/>
    <cellStyle name="20% - 강조색3 2 4" xfId="5011"/>
    <cellStyle name="20% - 강조색3 2 4 2" xfId="5012"/>
    <cellStyle name="20% - 강조색3 2 5" xfId="5013"/>
    <cellStyle name="20% - 강조색3 2 6" xfId="5014"/>
    <cellStyle name="20% - 강조색3 2 7" xfId="5015"/>
    <cellStyle name="20% - 강조색3 2 8" xfId="5016"/>
    <cellStyle name="20% - 강조색3 2 9" xfId="5017"/>
    <cellStyle name="20% - 강조색3 20" xfId="681"/>
    <cellStyle name="20% - 강조색3 20 2" xfId="682"/>
    <cellStyle name="20% - 강조색3 20 3" xfId="683"/>
    <cellStyle name="20% - 강조색3 20 4" xfId="5018"/>
    <cellStyle name="20% - 강조색3 21" xfId="684"/>
    <cellStyle name="20% - 강조색3 21 2" xfId="685"/>
    <cellStyle name="20% - 강조색3 21 3" xfId="686"/>
    <cellStyle name="20% - 강조색3 21 4" xfId="5019"/>
    <cellStyle name="20% - 강조색3 22" xfId="687"/>
    <cellStyle name="20% - 강조색3 22 2" xfId="688"/>
    <cellStyle name="20% - 강조색3 22 3" xfId="689"/>
    <cellStyle name="20% - 강조색3 22 4" xfId="5020"/>
    <cellStyle name="20% - 강조색3 23" xfId="690"/>
    <cellStyle name="20% - 강조색3 23 2" xfId="691"/>
    <cellStyle name="20% - 강조색3 23 3" xfId="692"/>
    <cellStyle name="20% - 강조색3 23 4" xfId="5021"/>
    <cellStyle name="20% - 강조색3 24" xfId="693"/>
    <cellStyle name="20% - 강조색3 24 2" xfId="694"/>
    <cellStyle name="20% - 강조색3 24 3" xfId="695"/>
    <cellStyle name="20% - 강조색3 24 4" xfId="5022"/>
    <cellStyle name="20% - 강조색3 25" xfId="696"/>
    <cellStyle name="20% - 강조색3 25 2" xfId="697"/>
    <cellStyle name="20% - 강조색3 25 3" xfId="698"/>
    <cellStyle name="20% - 강조색3 25 4" xfId="5023"/>
    <cellStyle name="20% - 강조색3 26" xfId="699"/>
    <cellStyle name="20% - 강조색3 26 2" xfId="700"/>
    <cellStyle name="20% - 강조색3 26 3" xfId="701"/>
    <cellStyle name="20% - 강조색3 26 4" xfId="5024"/>
    <cellStyle name="20% - 강조색3 27" xfId="702"/>
    <cellStyle name="20% - 강조색3 27 2" xfId="703"/>
    <cellStyle name="20% - 강조색3 27 3" xfId="704"/>
    <cellStyle name="20% - 강조색3 27 4" xfId="5025"/>
    <cellStyle name="20% - 강조색3 28" xfId="705"/>
    <cellStyle name="20% - 강조색3 28 2" xfId="706"/>
    <cellStyle name="20% - 강조색3 28 3" xfId="707"/>
    <cellStyle name="20% - 강조색3 28 4" xfId="5026"/>
    <cellStyle name="20% - 강조색3 29" xfId="708"/>
    <cellStyle name="20% - 강조색3 29 2" xfId="709"/>
    <cellStyle name="20% - 강조색3 29 3" xfId="710"/>
    <cellStyle name="20% - 강조색3 29 4" xfId="5027"/>
    <cellStyle name="20% - 강조색3 3" xfId="711"/>
    <cellStyle name="20% - 강조색3 3 10" xfId="5028"/>
    <cellStyle name="20% - 강조색3 3 11" xfId="5029"/>
    <cellStyle name="20% - 강조색3 3 12" xfId="5030"/>
    <cellStyle name="20% - 강조색3 3 13" xfId="5031"/>
    <cellStyle name="20% - 강조색3 3 14" xfId="5032"/>
    <cellStyle name="20% - 강조색3 3 2" xfId="712"/>
    <cellStyle name="20% - 강조색3 3 2 2" xfId="713"/>
    <cellStyle name="20% - 강조색3 3 2 2 2" xfId="714"/>
    <cellStyle name="20% - 강조색3 3 2 2 3" xfId="715"/>
    <cellStyle name="20% - 강조색3 3 2 2 4" xfId="5033"/>
    <cellStyle name="20% - 강조색3 3 2 3" xfId="716"/>
    <cellStyle name="20% - 강조색3 3 2 3 2" xfId="717"/>
    <cellStyle name="20% - 강조색3 3 2 3 3" xfId="718"/>
    <cellStyle name="20% - 강조색3 3 2 4" xfId="719"/>
    <cellStyle name="20% - 강조색3 3 2 5" xfId="720"/>
    <cellStyle name="20% - 강조색3 3 2 6" xfId="5034"/>
    <cellStyle name="20% - 강조색3 3 3" xfId="721"/>
    <cellStyle name="20% - 강조색3 3 3 2" xfId="722"/>
    <cellStyle name="20% - 강조색3 3 3 2 2" xfId="723"/>
    <cellStyle name="20% - 강조색3 3 3 2 3" xfId="724"/>
    <cellStyle name="20% - 강조색3 3 3 3" xfId="725"/>
    <cellStyle name="20% - 강조색3 3 3 3 2" xfId="726"/>
    <cellStyle name="20% - 강조색3 3 3 3 3" xfId="727"/>
    <cellStyle name="20% - 강조색3 3 3 4" xfId="728"/>
    <cellStyle name="20% - 강조색3 3 3 5" xfId="729"/>
    <cellStyle name="20% - 강조색3 3 3 6" xfId="5035"/>
    <cellStyle name="20% - 강조색3 3 4" xfId="730"/>
    <cellStyle name="20% - 강조색3 3 4 2" xfId="731"/>
    <cellStyle name="20% - 강조색3 3 4 3" xfId="732"/>
    <cellStyle name="20% - 강조색3 3 4 4" xfId="5036"/>
    <cellStyle name="20% - 강조색3 3 5" xfId="733"/>
    <cellStyle name="20% - 강조색3 3 5 2" xfId="734"/>
    <cellStyle name="20% - 강조색3 3 5 3" xfId="735"/>
    <cellStyle name="20% - 강조색3 3 5 4" xfId="5037"/>
    <cellStyle name="20% - 강조색3 3 6" xfId="736"/>
    <cellStyle name="20% - 강조색3 3 6 2" xfId="5038"/>
    <cellStyle name="20% - 강조색3 3 7" xfId="737"/>
    <cellStyle name="20% - 강조색3 3 7 2" xfId="5039"/>
    <cellStyle name="20% - 강조색3 3 8" xfId="5040"/>
    <cellStyle name="20% - 강조색3 3 9" xfId="5041"/>
    <cellStyle name="20% - 강조색3 30" xfId="738"/>
    <cellStyle name="20% - 강조색3 30 2" xfId="739"/>
    <cellStyle name="20% - 강조색3 30 3" xfId="5042"/>
    <cellStyle name="20% - 강조색3 31" xfId="740"/>
    <cellStyle name="20% - 강조색3 31 2" xfId="5043"/>
    <cellStyle name="20% - 강조색3 32" xfId="741"/>
    <cellStyle name="20% - 강조색3 32 2" xfId="5044"/>
    <cellStyle name="20% - 강조색3 33" xfId="742"/>
    <cellStyle name="20% - 강조색3 34" xfId="743"/>
    <cellStyle name="20% - 강조색3 35" xfId="744"/>
    <cellStyle name="20% - 강조색3 36" xfId="745"/>
    <cellStyle name="20% - 강조색3 37" xfId="746"/>
    <cellStyle name="20% - 강조색3 38" xfId="747"/>
    <cellStyle name="20% - 강조색3 4" xfId="748"/>
    <cellStyle name="20% - 강조색3 4 10" xfId="5045"/>
    <cellStyle name="20% - 강조색3 4 11" xfId="5046"/>
    <cellStyle name="20% - 강조색3 4 12" xfId="5047"/>
    <cellStyle name="20% - 강조색3 4 13" xfId="5048"/>
    <cellStyle name="20% - 강조색3 4 14" xfId="5049"/>
    <cellStyle name="20% - 강조색3 4 2" xfId="749"/>
    <cellStyle name="20% - 강조색3 4 2 2" xfId="750"/>
    <cellStyle name="20% - 강조색3 4 2 2 2" xfId="751"/>
    <cellStyle name="20% - 강조색3 4 2 2 3" xfId="752"/>
    <cellStyle name="20% - 강조색3 4 2 2 4" xfId="5050"/>
    <cellStyle name="20% - 강조색3 4 2 3" xfId="753"/>
    <cellStyle name="20% - 강조색3 4 2 3 2" xfId="754"/>
    <cellStyle name="20% - 강조색3 4 2 3 3" xfId="755"/>
    <cellStyle name="20% - 강조색3 4 2 4" xfId="756"/>
    <cellStyle name="20% - 강조색3 4 2 5" xfId="757"/>
    <cellStyle name="20% - 강조색3 4 2 6" xfId="5051"/>
    <cellStyle name="20% - 강조색3 4 3" xfId="758"/>
    <cellStyle name="20% - 강조색3 4 3 2" xfId="759"/>
    <cellStyle name="20% - 강조색3 4 3 2 2" xfId="760"/>
    <cellStyle name="20% - 강조색3 4 3 2 3" xfId="761"/>
    <cellStyle name="20% - 강조색3 4 3 3" xfId="762"/>
    <cellStyle name="20% - 강조색3 4 3 3 2" xfId="763"/>
    <cellStyle name="20% - 강조색3 4 3 3 3" xfId="764"/>
    <cellStyle name="20% - 강조색3 4 3 4" xfId="765"/>
    <cellStyle name="20% - 강조색3 4 3 5" xfId="766"/>
    <cellStyle name="20% - 강조색3 4 3 6" xfId="5052"/>
    <cellStyle name="20% - 강조색3 4 4" xfId="767"/>
    <cellStyle name="20% - 강조색3 4 4 2" xfId="768"/>
    <cellStyle name="20% - 강조색3 4 4 3" xfId="769"/>
    <cellStyle name="20% - 강조색3 4 4 4" xfId="5053"/>
    <cellStyle name="20% - 강조색3 4 5" xfId="770"/>
    <cellStyle name="20% - 강조색3 4 5 2" xfId="771"/>
    <cellStyle name="20% - 강조색3 4 5 3" xfId="772"/>
    <cellStyle name="20% - 강조색3 4 5 4" xfId="5054"/>
    <cellStyle name="20% - 강조색3 4 6" xfId="773"/>
    <cellStyle name="20% - 강조색3 4 6 2" xfId="5055"/>
    <cellStyle name="20% - 강조색3 4 7" xfId="774"/>
    <cellStyle name="20% - 강조색3 4 7 2" xfId="5056"/>
    <cellStyle name="20% - 강조색3 4 8" xfId="5057"/>
    <cellStyle name="20% - 강조색3 4 9" xfId="5058"/>
    <cellStyle name="20% - 강조색3 5" xfId="775"/>
    <cellStyle name="20% - 강조색3 5 10" xfId="5059"/>
    <cellStyle name="20% - 강조색3 5 11" xfId="5060"/>
    <cellStyle name="20% - 강조색3 5 12" xfId="5061"/>
    <cellStyle name="20% - 강조색3 5 13" xfId="5062"/>
    <cellStyle name="20% - 강조색3 5 14" xfId="5063"/>
    <cellStyle name="20% - 강조색3 5 2" xfId="776"/>
    <cellStyle name="20% - 강조색3 5 2 2" xfId="777"/>
    <cellStyle name="20% - 강조색3 5 2 2 2" xfId="778"/>
    <cellStyle name="20% - 강조색3 5 2 2 3" xfId="779"/>
    <cellStyle name="20% - 강조색3 5 2 2 4" xfId="5064"/>
    <cellStyle name="20% - 강조색3 5 2 3" xfId="780"/>
    <cellStyle name="20% - 강조색3 5 2 3 2" xfId="781"/>
    <cellStyle name="20% - 강조색3 5 2 3 3" xfId="782"/>
    <cellStyle name="20% - 강조색3 5 2 4" xfId="783"/>
    <cellStyle name="20% - 강조색3 5 2 5" xfId="784"/>
    <cellStyle name="20% - 강조색3 5 2 6" xfId="5065"/>
    <cellStyle name="20% - 강조색3 5 3" xfId="785"/>
    <cellStyle name="20% - 강조색3 5 3 2" xfId="786"/>
    <cellStyle name="20% - 강조색3 5 3 2 2" xfId="787"/>
    <cellStyle name="20% - 강조색3 5 3 2 3" xfId="788"/>
    <cellStyle name="20% - 강조색3 5 3 3" xfId="789"/>
    <cellStyle name="20% - 강조색3 5 3 3 2" xfId="790"/>
    <cellStyle name="20% - 강조색3 5 3 3 3" xfId="791"/>
    <cellStyle name="20% - 강조색3 5 3 4" xfId="792"/>
    <cellStyle name="20% - 강조색3 5 3 5" xfId="793"/>
    <cellStyle name="20% - 강조색3 5 3 6" xfId="5066"/>
    <cellStyle name="20% - 강조색3 5 4" xfId="794"/>
    <cellStyle name="20% - 강조색3 5 4 2" xfId="795"/>
    <cellStyle name="20% - 강조색3 5 4 3" xfId="796"/>
    <cellStyle name="20% - 강조색3 5 4 4" xfId="5067"/>
    <cellStyle name="20% - 강조색3 5 5" xfId="797"/>
    <cellStyle name="20% - 강조색3 5 5 2" xfId="798"/>
    <cellStyle name="20% - 강조색3 5 5 3" xfId="799"/>
    <cellStyle name="20% - 강조색3 5 5 4" xfId="5068"/>
    <cellStyle name="20% - 강조색3 5 6" xfId="800"/>
    <cellStyle name="20% - 강조색3 5 6 2" xfId="5069"/>
    <cellStyle name="20% - 강조색3 5 7" xfId="801"/>
    <cellStyle name="20% - 강조색3 5 7 2" xfId="5070"/>
    <cellStyle name="20% - 강조색3 5 8" xfId="5071"/>
    <cellStyle name="20% - 강조색3 5 9" xfId="5072"/>
    <cellStyle name="20% - 강조색3 6" xfId="802"/>
    <cellStyle name="20% - 강조색3 6 10" xfId="5073"/>
    <cellStyle name="20% - 강조색3 6 11" xfId="5074"/>
    <cellStyle name="20% - 강조색3 6 12" xfId="5075"/>
    <cellStyle name="20% - 강조색3 6 13" xfId="5076"/>
    <cellStyle name="20% - 강조색3 6 14" xfId="5077"/>
    <cellStyle name="20% - 강조색3 6 2" xfId="803"/>
    <cellStyle name="20% - 강조색3 6 2 2" xfId="804"/>
    <cellStyle name="20% - 강조색3 6 2 2 2" xfId="805"/>
    <cellStyle name="20% - 강조색3 6 2 2 3" xfId="806"/>
    <cellStyle name="20% - 강조색3 6 2 2 4" xfId="5078"/>
    <cellStyle name="20% - 강조색3 6 2 3" xfId="807"/>
    <cellStyle name="20% - 강조색3 6 2 3 2" xfId="808"/>
    <cellStyle name="20% - 강조색3 6 2 3 3" xfId="809"/>
    <cellStyle name="20% - 강조색3 6 2 4" xfId="810"/>
    <cellStyle name="20% - 강조색3 6 2 5" xfId="811"/>
    <cellStyle name="20% - 강조색3 6 2 6" xfId="5079"/>
    <cellStyle name="20% - 강조색3 6 3" xfId="812"/>
    <cellStyle name="20% - 강조색3 6 3 2" xfId="813"/>
    <cellStyle name="20% - 강조색3 6 3 2 2" xfId="814"/>
    <cellStyle name="20% - 강조색3 6 3 2 3" xfId="815"/>
    <cellStyle name="20% - 강조색3 6 3 3" xfId="816"/>
    <cellStyle name="20% - 강조색3 6 3 3 2" xfId="817"/>
    <cellStyle name="20% - 강조색3 6 3 3 3" xfId="818"/>
    <cellStyle name="20% - 강조색3 6 3 4" xfId="819"/>
    <cellStyle name="20% - 강조색3 6 3 5" xfId="820"/>
    <cellStyle name="20% - 강조색3 6 3 6" xfId="5080"/>
    <cellStyle name="20% - 강조색3 6 4" xfId="821"/>
    <cellStyle name="20% - 강조색3 6 4 2" xfId="822"/>
    <cellStyle name="20% - 강조색3 6 4 3" xfId="823"/>
    <cellStyle name="20% - 강조색3 6 4 4" xfId="5081"/>
    <cellStyle name="20% - 강조색3 6 5" xfId="824"/>
    <cellStyle name="20% - 강조색3 6 5 2" xfId="825"/>
    <cellStyle name="20% - 강조색3 6 5 3" xfId="826"/>
    <cellStyle name="20% - 강조색3 6 5 4" xfId="5082"/>
    <cellStyle name="20% - 강조색3 6 6" xfId="827"/>
    <cellStyle name="20% - 강조색3 6 6 2" xfId="5083"/>
    <cellStyle name="20% - 강조색3 6 7" xfId="828"/>
    <cellStyle name="20% - 강조색3 6 7 2" xfId="5084"/>
    <cellStyle name="20% - 강조색3 6 8" xfId="5085"/>
    <cellStyle name="20% - 강조색3 6 9" xfId="5086"/>
    <cellStyle name="20% - 강조색3 7" xfId="829"/>
    <cellStyle name="20% - 강조색3 7 10" xfId="5087"/>
    <cellStyle name="20% - 강조색3 7 11" xfId="5088"/>
    <cellStyle name="20% - 강조색3 7 12" xfId="5089"/>
    <cellStyle name="20% - 강조색3 7 13" xfId="5090"/>
    <cellStyle name="20% - 강조색3 7 14" xfId="5091"/>
    <cellStyle name="20% - 강조색3 7 2" xfId="830"/>
    <cellStyle name="20% - 강조색3 7 2 2" xfId="831"/>
    <cellStyle name="20% - 강조색3 7 2 2 2" xfId="832"/>
    <cellStyle name="20% - 강조색3 7 2 2 3" xfId="833"/>
    <cellStyle name="20% - 강조색3 7 2 2 4" xfId="5092"/>
    <cellStyle name="20% - 강조색3 7 2 3" xfId="834"/>
    <cellStyle name="20% - 강조색3 7 2 3 2" xfId="835"/>
    <cellStyle name="20% - 강조색3 7 2 3 3" xfId="836"/>
    <cellStyle name="20% - 강조색3 7 2 4" xfId="837"/>
    <cellStyle name="20% - 강조색3 7 2 5" xfId="838"/>
    <cellStyle name="20% - 강조색3 7 2 6" xfId="5093"/>
    <cellStyle name="20% - 강조색3 7 3" xfId="839"/>
    <cellStyle name="20% - 강조색3 7 3 2" xfId="840"/>
    <cellStyle name="20% - 강조색3 7 3 2 2" xfId="841"/>
    <cellStyle name="20% - 강조색3 7 3 2 3" xfId="842"/>
    <cellStyle name="20% - 강조색3 7 3 3" xfId="843"/>
    <cellStyle name="20% - 강조색3 7 3 3 2" xfId="844"/>
    <cellStyle name="20% - 강조색3 7 3 3 3" xfId="845"/>
    <cellStyle name="20% - 강조색3 7 3 4" xfId="846"/>
    <cellStyle name="20% - 강조색3 7 3 5" xfId="847"/>
    <cellStyle name="20% - 강조색3 7 3 6" xfId="5094"/>
    <cellStyle name="20% - 강조색3 7 4" xfId="848"/>
    <cellStyle name="20% - 강조색3 7 4 2" xfId="849"/>
    <cellStyle name="20% - 강조색3 7 4 3" xfId="850"/>
    <cellStyle name="20% - 강조색3 7 4 4" xfId="5095"/>
    <cellStyle name="20% - 강조색3 7 5" xfId="851"/>
    <cellStyle name="20% - 강조색3 7 5 2" xfId="852"/>
    <cellStyle name="20% - 강조색3 7 5 3" xfId="853"/>
    <cellStyle name="20% - 강조색3 7 5 4" xfId="5096"/>
    <cellStyle name="20% - 강조색3 7 6" xfId="854"/>
    <cellStyle name="20% - 강조색3 7 6 2" xfId="5097"/>
    <cellStyle name="20% - 강조색3 7 7" xfId="855"/>
    <cellStyle name="20% - 강조색3 7 7 2" xfId="5098"/>
    <cellStyle name="20% - 강조색3 7 8" xfId="5099"/>
    <cellStyle name="20% - 강조색3 7 9" xfId="5100"/>
    <cellStyle name="20% - 강조색3 8" xfId="856"/>
    <cellStyle name="20% - 강조색3 8 10" xfId="5101"/>
    <cellStyle name="20% - 강조색3 8 11" xfId="5102"/>
    <cellStyle name="20% - 강조색3 8 12" xfId="5103"/>
    <cellStyle name="20% - 강조색3 8 13" xfId="5104"/>
    <cellStyle name="20% - 강조색3 8 14" xfId="5105"/>
    <cellStyle name="20% - 강조색3 8 2" xfId="857"/>
    <cellStyle name="20% - 강조색3 8 2 2" xfId="858"/>
    <cellStyle name="20% - 강조색3 8 2 2 2" xfId="859"/>
    <cellStyle name="20% - 강조색3 8 2 2 3" xfId="860"/>
    <cellStyle name="20% - 강조색3 8 2 2 4" xfId="5106"/>
    <cellStyle name="20% - 강조색3 8 2 3" xfId="861"/>
    <cellStyle name="20% - 강조색3 8 2 3 2" xfId="862"/>
    <cellStyle name="20% - 강조색3 8 2 3 3" xfId="863"/>
    <cellStyle name="20% - 강조색3 8 2 4" xfId="864"/>
    <cellStyle name="20% - 강조색3 8 2 5" xfId="865"/>
    <cellStyle name="20% - 강조색3 8 2 6" xfId="5107"/>
    <cellStyle name="20% - 강조색3 8 3" xfId="866"/>
    <cellStyle name="20% - 강조색3 8 3 2" xfId="867"/>
    <cellStyle name="20% - 강조색3 8 3 2 2" xfId="868"/>
    <cellStyle name="20% - 강조색3 8 3 2 3" xfId="869"/>
    <cellStyle name="20% - 강조색3 8 3 3" xfId="870"/>
    <cellStyle name="20% - 강조색3 8 3 3 2" xfId="871"/>
    <cellStyle name="20% - 강조색3 8 3 3 3" xfId="872"/>
    <cellStyle name="20% - 강조색3 8 3 4" xfId="873"/>
    <cellStyle name="20% - 강조색3 8 3 5" xfId="874"/>
    <cellStyle name="20% - 강조색3 8 3 6" xfId="5108"/>
    <cellStyle name="20% - 강조색3 8 4" xfId="875"/>
    <cellStyle name="20% - 강조색3 8 4 2" xfId="876"/>
    <cellStyle name="20% - 강조색3 8 4 3" xfId="877"/>
    <cellStyle name="20% - 강조색3 8 4 4" xfId="5109"/>
    <cellStyle name="20% - 강조색3 8 5" xfId="878"/>
    <cellStyle name="20% - 강조색3 8 5 2" xfId="879"/>
    <cellStyle name="20% - 강조색3 8 5 3" xfId="880"/>
    <cellStyle name="20% - 강조색3 8 5 4" xfId="5110"/>
    <cellStyle name="20% - 강조색3 8 6" xfId="881"/>
    <cellStyle name="20% - 강조색3 8 6 2" xfId="5111"/>
    <cellStyle name="20% - 강조색3 8 7" xfId="882"/>
    <cellStyle name="20% - 강조색3 8 7 2" xfId="5112"/>
    <cellStyle name="20% - 강조색3 8 8" xfId="5113"/>
    <cellStyle name="20% - 강조색3 8 9" xfId="5114"/>
    <cellStyle name="20% - 강조색3 9" xfId="883"/>
    <cellStyle name="20% - 강조색3 9 10" xfId="5115"/>
    <cellStyle name="20% - 강조색3 9 11" xfId="5116"/>
    <cellStyle name="20% - 강조색3 9 12" xfId="5117"/>
    <cellStyle name="20% - 강조색3 9 13" xfId="5118"/>
    <cellStyle name="20% - 강조색3 9 14" xfId="5119"/>
    <cellStyle name="20% - 강조색3 9 2" xfId="884"/>
    <cellStyle name="20% - 강조색3 9 2 2" xfId="885"/>
    <cellStyle name="20% - 강조색3 9 2 2 2" xfId="5120"/>
    <cellStyle name="20% - 강조색3 9 2 3" xfId="886"/>
    <cellStyle name="20% - 강조색3 9 2 4" xfId="5121"/>
    <cellStyle name="20% - 강조색3 9 3" xfId="887"/>
    <cellStyle name="20% - 강조색3 9 3 2" xfId="888"/>
    <cellStyle name="20% - 강조색3 9 3 3" xfId="889"/>
    <cellStyle name="20% - 강조색3 9 3 4" xfId="5122"/>
    <cellStyle name="20% - 강조색3 9 4" xfId="890"/>
    <cellStyle name="20% - 강조색3 9 4 2" xfId="5123"/>
    <cellStyle name="20% - 강조색3 9 5" xfId="891"/>
    <cellStyle name="20% - 강조색3 9 5 2" xfId="5124"/>
    <cellStyle name="20% - 강조색3 9 6" xfId="5125"/>
    <cellStyle name="20% - 강조색3 9 7" xfId="5126"/>
    <cellStyle name="20% - 강조색3 9 8" xfId="5127"/>
    <cellStyle name="20% - 강조색3 9 9" xfId="5128"/>
    <cellStyle name="20% - 강조색4" xfId="4326" builtinId="42" customBuiltin="1"/>
    <cellStyle name="20% - 강조색4 10" xfId="892"/>
    <cellStyle name="20% - 강조색4 10 10" xfId="5129"/>
    <cellStyle name="20% - 강조색4 10 11" xfId="5130"/>
    <cellStyle name="20% - 강조색4 10 12" xfId="5131"/>
    <cellStyle name="20% - 강조색4 10 13" xfId="5132"/>
    <cellStyle name="20% - 강조색4 10 14" xfId="5133"/>
    <cellStyle name="20% - 강조색4 10 2" xfId="893"/>
    <cellStyle name="20% - 강조색4 10 2 2" xfId="894"/>
    <cellStyle name="20% - 강조색4 10 2 2 2" xfId="5134"/>
    <cellStyle name="20% - 강조색4 10 2 3" xfId="895"/>
    <cellStyle name="20% - 강조색4 10 2 4" xfId="5135"/>
    <cellStyle name="20% - 강조색4 10 3" xfId="896"/>
    <cellStyle name="20% - 강조색4 10 3 2" xfId="897"/>
    <cellStyle name="20% - 강조색4 10 3 3" xfId="898"/>
    <cellStyle name="20% - 강조색4 10 3 4" xfId="5136"/>
    <cellStyle name="20% - 강조색4 10 4" xfId="899"/>
    <cellStyle name="20% - 강조색4 10 4 2" xfId="5137"/>
    <cellStyle name="20% - 강조색4 10 5" xfId="900"/>
    <cellStyle name="20% - 강조색4 10 5 2" xfId="5138"/>
    <cellStyle name="20% - 강조색4 10 6" xfId="5139"/>
    <cellStyle name="20% - 강조색4 10 7" xfId="5140"/>
    <cellStyle name="20% - 강조색4 10 8" xfId="5141"/>
    <cellStyle name="20% - 강조색4 10 9" xfId="5142"/>
    <cellStyle name="20% - 강조색4 11" xfId="901"/>
    <cellStyle name="20% - 강조색4 11 10" xfId="5143"/>
    <cellStyle name="20% - 강조색4 11 11" xfId="5144"/>
    <cellStyle name="20% - 강조색4 11 12" xfId="5145"/>
    <cellStyle name="20% - 강조색4 11 13" xfId="5146"/>
    <cellStyle name="20% - 강조색4 11 14" xfId="5147"/>
    <cellStyle name="20% - 강조색4 11 2" xfId="902"/>
    <cellStyle name="20% - 강조색4 11 2 2" xfId="903"/>
    <cellStyle name="20% - 강조색4 11 2 2 2" xfId="5148"/>
    <cellStyle name="20% - 강조색4 11 2 3" xfId="904"/>
    <cellStyle name="20% - 강조색4 11 2 4" xfId="5149"/>
    <cellStyle name="20% - 강조색4 11 3" xfId="905"/>
    <cellStyle name="20% - 강조색4 11 3 2" xfId="906"/>
    <cellStyle name="20% - 강조색4 11 3 3" xfId="907"/>
    <cellStyle name="20% - 강조색4 11 3 4" xfId="5150"/>
    <cellStyle name="20% - 강조색4 11 4" xfId="908"/>
    <cellStyle name="20% - 강조색4 11 4 2" xfId="5151"/>
    <cellStyle name="20% - 강조색4 11 5" xfId="909"/>
    <cellStyle name="20% - 강조색4 11 5 2" xfId="5152"/>
    <cellStyle name="20% - 강조색4 11 6" xfId="5153"/>
    <cellStyle name="20% - 강조색4 11 7" xfId="5154"/>
    <cellStyle name="20% - 강조색4 11 8" xfId="5155"/>
    <cellStyle name="20% - 강조색4 11 9" xfId="5156"/>
    <cellStyle name="20% - 강조색4 12" xfId="910"/>
    <cellStyle name="20% - 강조색4 12 10" xfId="5157"/>
    <cellStyle name="20% - 강조색4 12 11" xfId="5158"/>
    <cellStyle name="20% - 강조색4 12 12" xfId="5159"/>
    <cellStyle name="20% - 강조색4 12 13" xfId="5160"/>
    <cellStyle name="20% - 강조색4 12 14" xfId="5161"/>
    <cellStyle name="20% - 강조색4 12 2" xfId="911"/>
    <cellStyle name="20% - 강조색4 12 2 2" xfId="912"/>
    <cellStyle name="20% - 강조색4 12 2 2 2" xfId="5162"/>
    <cellStyle name="20% - 강조색4 12 2 3" xfId="913"/>
    <cellStyle name="20% - 강조색4 12 2 4" xfId="5163"/>
    <cellStyle name="20% - 강조색4 12 3" xfId="914"/>
    <cellStyle name="20% - 강조색4 12 3 2" xfId="915"/>
    <cellStyle name="20% - 강조색4 12 3 3" xfId="916"/>
    <cellStyle name="20% - 강조색4 12 3 4" xfId="5164"/>
    <cellStyle name="20% - 강조색4 12 4" xfId="917"/>
    <cellStyle name="20% - 강조색4 12 4 2" xfId="5165"/>
    <cellStyle name="20% - 강조색4 12 5" xfId="918"/>
    <cellStyle name="20% - 강조색4 12 5 2" xfId="5166"/>
    <cellStyle name="20% - 강조색4 12 6" xfId="5167"/>
    <cellStyle name="20% - 강조색4 12 7" xfId="5168"/>
    <cellStyle name="20% - 강조색4 12 8" xfId="5169"/>
    <cellStyle name="20% - 강조색4 12 9" xfId="5170"/>
    <cellStyle name="20% - 강조색4 13" xfId="919"/>
    <cellStyle name="20% - 강조색4 13 10" xfId="5171"/>
    <cellStyle name="20% - 강조색4 13 11" xfId="5172"/>
    <cellStyle name="20% - 강조색4 13 12" xfId="5173"/>
    <cellStyle name="20% - 강조색4 13 13" xfId="5174"/>
    <cellStyle name="20% - 강조색4 13 14" xfId="5175"/>
    <cellStyle name="20% - 강조색4 13 2" xfId="920"/>
    <cellStyle name="20% - 강조색4 13 2 2" xfId="921"/>
    <cellStyle name="20% - 강조색4 13 2 2 2" xfId="5176"/>
    <cellStyle name="20% - 강조색4 13 2 3" xfId="922"/>
    <cellStyle name="20% - 강조색4 13 2 4" xfId="5177"/>
    <cellStyle name="20% - 강조색4 13 3" xfId="923"/>
    <cellStyle name="20% - 강조색4 13 3 2" xfId="924"/>
    <cellStyle name="20% - 강조색4 13 3 3" xfId="925"/>
    <cellStyle name="20% - 강조색4 13 3 4" xfId="5178"/>
    <cellStyle name="20% - 강조색4 13 4" xfId="926"/>
    <cellStyle name="20% - 강조색4 13 4 2" xfId="5179"/>
    <cellStyle name="20% - 강조색4 13 5" xfId="927"/>
    <cellStyle name="20% - 강조색4 13 5 2" xfId="5180"/>
    <cellStyle name="20% - 강조색4 13 6" xfId="5181"/>
    <cellStyle name="20% - 강조색4 13 7" xfId="5182"/>
    <cellStyle name="20% - 강조색4 13 8" xfId="5183"/>
    <cellStyle name="20% - 강조색4 13 9" xfId="5184"/>
    <cellStyle name="20% - 강조색4 14" xfId="928"/>
    <cellStyle name="20% - 강조색4 14 10" xfId="5185"/>
    <cellStyle name="20% - 강조색4 14 11" xfId="5186"/>
    <cellStyle name="20% - 강조색4 14 12" xfId="5187"/>
    <cellStyle name="20% - 강조색4 14 13" xfId="5188"/>
    <cellStyle name="20% - 강조색4 14 14" xfId="5189"/>
    <cellStyle name="20% - 강조색4 14 2" xfId="929"/>
    <cellStyle name="20% - 강조색4 14 2 2" xfId="930"/>
    <cellStyle name="20% - 강조색4 14 2 2 2" xfId="5190"/>
    <cellStyle name="20% - 강조색4 14 2 3" xfId="931"/>
    <cellStyle name="20% - 강조색4 14 2 4" xfId="5191"/>
    <cellStyle name="20% - 강조색4 14 3" xfId="932"/>
    <cellStyle name="20% - 강조색4 14 3 2" xfId="933"/>
    <cellStyle name="20% - 강조색4 14 3 3" xfId="934"/>
    <cellStyle name="20% - 강조색4 14 3 4" xfId="5192"/>
    <cellStyle name="20% - 강조색4 14 4" xfId="935"/>
    <cellStyle name="20% - 강조색4 14 4 2" xfId="5193"/>
    <cellStyle name="20% - 강조색4 14 5" xfId="936"/>
    <cellStyle name="20% - 강조색4 14 5 2" xfId="5194"/>
    <cellStyle name="20% - 강조색4 14 6" xfId="5195"/>
    <cellStyle name="20% - 강조색4 14 7" xfId="5196"/>
    <cellStyle name="20% - 강조색4 14 8" xfId="5197"/>
    <cellStyle name="20% - 강조색4 14 9" xfId="5198"/>
    <cellStyle name="20% - 강조색4 15" xfId="937"/>
    <cellStyle name="20% - 강조색4 15 10" xfId="5199"/>
    <cellStyle name="20% - 강조색4 15 11" xfId="5200"/>
    <cellStyle name="20% - 강조색4 15 12" xfId="5201"/>
    <cellStyle name="20% - 강조색4 15 13" xfId="5202"/>
    <cellStyle name="20% - 강조색4 15 14" xfId="5203"/>
    <cellStyle name="20% - 강조색4 15 2" xfId="938"/>
    <cellStyle name="20% - 강조색4 15 2 2" xfId="939"/>
    <cellStyle name="20% - 강조색4 15 2 2 2" xfId="5204"/>
    <cellStyle name="20% - 강조색4 15 2 3" xfId="940"/>
    <cellStyle name="20% - 강조색4 15 2 4" xfId="5205"/>
    <cellStyle name="20% - 강조색4 15 3" xfId="941"/>
    <cellStyle name="20% - 강조색4 15 3 2" xfId="942"/>
    <cellStyle name="20% - 강조색4 15 3 3" xfId="943"/>
    <cellStyle name="20% - 강조색4 15 3 4" xfId="5206"/>
    <cellStyle name="20% - 강조색4 15 4" xfId="944"/>
    <cellStyle name="20% - 강조색4 15 4 2" xfId="5207"/>
    <cellStyle name="20% - 강조색4 15 5" xfId="945"/>
    <cellStyle name="20% - 강조색4 15 5 2" xfId="5208"/>
    <cellStyle name="20% - 강조색4 15 6" xfId="5209"/>
    <cellStyle name="20% - 강조색4 15 7" xfId="5210"/>
    <cellStyle name="20% - 강조색4 15 8" xfId="5211"/>
    <cellStyle name="20% - 강조색4 15 9" xfId="5212"/>
    <cellStyle name="20% - 강조색4 16" xfId="946"/>
    <cellStyle name="20% - 강조색4 16 10" xfId="5213"/>
    <cellStyle name="20% - 강조색4 16 11" xfId="5214"/>
    <cellStyle name="20% - 강조색4 16 12" xfId="5215"/>
    <cellStyle name="20% - 강조색4 16 13" xfId="5216"/>
    <cellStyle name="20% - 강조색4 16 14" xfId="5217"/>
    <cellStyle name="20% - 강조색4 16 2" xfId="947"/>
    <cellStyle name="20% - 강조색4 16 2 2" xfId="948"/>
    <cellStyle name="20% - 강조색4 16 2 2 2" xfId="5218"/>
    <cellStyle name="20% - 강조색4 16 2 3" xfId="949"/>
    <cellStyle name="20% - 강조색4 16 2 4" xfId="5219"/>
    <cellStyle name="20% - 강조색4 16 3" xfId="950"/>
    <cellStyle name="20% - 강조색4 16 3 2" xfId="951"/>
    <cellStyle name="20% - 강조색4 16 3 3" xfId="952"/>
    <cellStyle name="20% - 강조색4 16 3 4" xfId="5220"/>
    <cellStyle name="20% - 강조색4 16 4" xfId="953"/>
    <cellStyle name="20% - 강조색4 16 4 2" xfId="5221"/>
    <cellStyle name="20% - 강조색4 16 5" xfId="954"/>
    <cellStyle name="20% - 강조색4 16 5 2" xfId="5222"/>
    <cellStyle name="20% - 강조색4 16 6" xfId="5223"/>
    <cellStyle name="20% - 강조색4 16 7" xfId="5224"/>
    <cellStyle name="20% - 강조색4 16 8" xfId="5225"/>
    <cellStyle name="20% - 강조색4 16 9" xfId="5226"/>
    <cellStyle name="20% - 강조색4 17" xfId="955"/>
    <cellStyle name="20% - 강조색4 17 10" xfId="5227"/>
    <cellStyle name="20% - 강조색4 17 11" xfId="5228"/>
    <cellStyle name="20% - 강조색4 17 12" xfId="5229"/>
    <cellStyle name="20% - 강조색4 17 13" xfId="5230"/>
    <cellStyle name="20% - 강조색4 17 14" xfId="5231"/>
    <cellStyle name="20% - 강조색4 17 2" xfId="956"/>
    <cellStyle name="20% - 강조색4 17 2 2" xfId="957"/>
    <cellStyle name="20% - 강조색4 17 2 3" xfId="958"/>
    <cellStyle name="20% - 강조색4 17 2 4" xfId="5232"/>
    <cellStyle name="20% - 강조색4 17 3" xfId="959"/>
    <cellStyle name="20% - 강조색4 17 3 2" xfId="5233"/>
    <cellStyle name="20% - 강조색4 17 4" xfId="960"/>
    <cellStyle name="20% - 강조색4 17 4 2" xfId="5234"/>
    <cellStyle name="20% - 강조색4 17 5" xfId="5235"/>
    <cellStyle name="20% - 강조색4 17 6" xfId="5236"/>
    <cellStyle name="20% - 강조색4 17 7" xfId="5237"/>
    <cellStyle name="20% - 강조색4 17 8" xfId="5238"/>
    <cellStyle name="20% - 강조색4 17 9" xfId="5239"/>
    <cellStyle name="20% - 강조색4 18" xfId="961"/>
    <cellStyle name="20% - 강조색4 18 10" xfId="5240"/>
    <cellStyle name="20% - 강조색4 18 11" xfId="5241"/>
    <cellStyle name="20% - 강조색4 18 12" xfId="5242"/>
    <cellStyle name="20% - 강조색4 18 13" xfId="5243"/>
    <cellStyle name="20% - 강조색4 18 14" xfId="5244"/>
    <cellStyle name="20% - 강조색4 18 2" xfId="962"/>
    <cellStyle name="20% - 강조색4 18 2 2" xfId="963"/>
    <cellStyle name="20% - 강조색4 18 2 3" xfId="964"/>
    <cellStyle name="20% - 강조색4 18 2 4" xfId="5245"/>
    <cellStyle name="20% - 강조색4 18 3" xfId="965"/>
    <cellStyle name="20% - 강조색4 18 3 2" xfId="5246"/>
    <cellStyle name="20% - 강조색4 18 4" xfId="966"/>
    <cellStyle name="20% - 강조색4 18 4 2" xfId="5247"/>
    <cellStyle name="20% - 강조색4 18 5" xfId="5248"/>
    <cellStyle name="20% - 강조색4 18 6" xfId="5249"/>
    <cellStyle name="20% - 강조색4 18 7" xfId="5250"/>
    <cellStyle name="20% - 강조색4 18 8" xfId="5251"/>
    <cellStyle name="20% - 강조색4 18 9" xfId="5252"/>
    <cellStyle name="20% - 강조색4 19" xfId="967"/>
    <cellStyle name="20% - 강조색4 19 10" xfId="5253"/>
    <cellStyle name="20% - 강조색4 19 11" xfId="5254"/>
    <cellStyle name="20% - 강조색4 19 12" xfId="5255"/>
    <cellStyle name="20% - 강조색4 19 13" xfId="5256"/>
    <cellStyle name="20% - 강조색4 19 14" xfId="5257"/>
    <cellStyle name="20% - 강조색4 19 2" xfId="968"/>
    <cellStyle name="20% - 강조색4 19 2 2" xfId="969"/>
    <cellStyle name="20% - 강조색4 19 2 3" xfId="970"/>
    <cellStyle name="20% - 강조색4 19 2 4" xfId="5258"/>
    <cellStyle name="20% - 강조색4 19 3" xfId="971"/>
    <cellStyle name="20% - 강조색4 19 3 2" xfId="5259"/>
    <cellStyle name="20% - 강조색4 19 4" xfId="972"/>
    <cellStyle name="20% - 강조색4 19 4 2" xfId="5260"/>
    <cellStyle name="20% - 강조색4 19 5" xfId="5261"/>
    <cellStyle name="20% - 강조색4 19 6" xfId="5262"/>
    <cellStyle name="20% - 강조색4 19 7" xfId="5263"/>
    <cellStyle name="20% - 강조색4 19 8" xfId="5264"/>
    <cellStyle name="20% - 강조색4 19 9" xfId="5265"/>
    <cellStyle name="20% - 강조색4 2" xfId="973"/>
    <cellStyle name="20% - 강조색4 2 10" xfId="5266"/>
    <cellStyle name="20% - 강조색4 2 11" xfId="5267"/>
    <cellStyle name="20% - 강조색4 2 12" xfId="5268"/>
    <cellStyle name="20% - 강조색4 2 13" xfId="5269"/>
    <cellStyle name="20% - 강조색4 2 2" xfId="5270"/>
    <cellStyle name="20% - 강조색4 2 2 2" xfId="5271"/>
    <cellStyle name="20% - 강조색4 2 3" xfId="5272"/>
    <cellStyle name="20% - 강조색4 2 3 2" xfId="5273"/>
    <cellStyle name="20% - 강조색4 2 4" xfId="5274"/>
    <cellStyle name="20% - 강조색4 2 4 2" xfId="5275"/>
    <cellStyle name="20% - 강조색4 2 5" xfId="5276"/>
    <cellStyle name="20% - 강조색4 2 6" xfId="5277"/>
    <cellStyle name="20% - 강조색4 2 7" xfId="5278"/>
    <cellStyle name="20% - 강조색4 2 8" xfId="5279"/>
    <cellStyle name="20% - 강조색4 2 9" xfId="5280"/>
    <cellStyle name="20% - 강조색4 20" xfId="974"/>
    <cellStyle name="20% - 강조색4 20 2" xfId="975"/>
    <cellStyle name="20% - 강조색4 20 3" xfId="976"/>
    <cellStyle name="20% - 강조색4 20 4" xfId="5281"/>
    <cellStyle name="20% - 강조색4 21" xfId="977"/>
    <cellStyle name="20% - 강조색4 21 2" xfId="978"/>
    <cellStyle name="20% - 강조색4 21 3" xfId="979"/>
    <cellStyle name="20% - 강조색4 21 4" xfId="5282"/>
    <cellStyle name="20% - 강조색4 22" xfId="980"/>
    <cellStyle name="20% - 강조색4 22 2" xfId="981"/>
    <cellStyle name="20% - 강조색4 22 3" xfId="982"/>
    <cellStyle name="20% - 강조색4 22 4" xfId="5283"/>
    <cellStyle name="20% - 강조색4 23" xfId="983"/>
    <cellStyle name="20% - 강조색4 23 2" xfId="984"/>
    <cellStyle name="20% - 강조색4 23 3" xfId="985"/>
    <cellStyle name="20% - 강조색4 23 4" xfId="5284"/>
    <cellStyle name="20% - 강조색4 24" xfId="986"/>
    <cellStyle name="20% - 강조색4 24 2" xfId="987"/>
    <cellStyle name="20% - 강조색4 24 3" xfId="988"/>
    <cellStyle name="20% - 강조색4 24 4" xfId="5285"/>
    <cellStyle name="20% - 강조색4 25" xfId="989"/>
    <cellStyle name="20% - 강조색4 25 2" xfId="990"/>
    <cellStyle name="20% - 강조색4 25 3" xfId="991"/>
    <cellStyle name="20% - 강조색4 25 4" xfId="5286"/>
    <cellStyle name="20% - 강조색4 26" xfId="992"/>
    <cellStyle name="20% - 강조색4 26 2" xfId="993"/>
    <cellStyle name="20% - 강조색4 26 3" xfId="994"/>
    <cellStyle name="20% - 강조색4 26 4" xfId="5287"/>
    <cellStyle name="20% - 강조색4 27" xfId="995"/>
    <cellStyle name="20% - 강조색4 27 2" xfId="996"/>
    <cellStyle name="20% - 강조색4 27 3" xfId="997"/>
    <cellStyle name="20% - 강조색4 27 4" xfId="5288"/>
    <cellStyle name="20% - 강조색4 28" xfId="998"/>
    <cellStyle name="20% - 강조색4 28 2" xfId="999"/>
    <cellStyle name="20% - 강조색4 28 3" xfId="1000"/>
    <cellStyle name="20% - 강조색4 28 4" xfId="5289"/>
    <cellStyle name="20% - 강조색4 29" xfId="1001"/>
    <cellStyle name="20% - 강조색4 29 2" xfId="1002"/>
    <cellStyle name="20% - 강조색4 29 3" xfId="1003"/>
    <cellStyle name="20% - 강조색4 29 4" xfId="5290"/>
    <cellStyle name="20% - 강조색4 3" xfId="1004"/>
    <cellStyle name="20% - 강조색4 3 10" xfId="5291"/>
    <cellStyle name="20% - 강조색4 3 11" xfId="5292"/>
    <cellStyle name="20% - 강조색4 3 12" xfId="5293"/>
    <cellStyle name="20% - 강조색4 3 13" xfId="5294"/>
    <cellStyle name="20% - 강조색4 3 14" xfId="5295"/>
    <cellStyle name="20% - 강조색4 3 2" xfId="1005"/>
    <cellStyle name="20% - 강조색4 3 2 2" xfId="1006"/>
    <cellStyle name="20% - 강조색4 3 2 2 2" xfId="1007"/>
    <cellStyle name="20% - 강조색4 3 2 2 3" xfId="1008"/>
    <cellStyle name="20% - 강조색4 3 2 2 4" xfId="5296"/>
    <cellStyle name="20% - 강조색4 3 2 3" xfId="1009"/>
    <cellStyle name="20% - 강조색4 3 2 3 2" xfId="1010"/>
    <cellStyle name="20% - 강조색4 3 2 3 3" xfId="1011"/>
    <cellStyle name="20% - 강조색4 3 2 4" xfId="1012"/>
    <cellStyle name="20% - 강조색4 3 2 5" xfId="1013"/>
    <cellStyle name="20% - 강조색4 3 2 6" xfId="5297"/>
    <cellStyle name="20% - 강조색4 3 3" xfId="1014"/>
    <cellStyle name="20% - 강조색4 3 3 2" xfId="1015"/>
    <cellStyle name="20% - 강조색4 3 3 2 2" xfId="1016"/>
    <cellStyle name="20% - 강조색4 3 3 2 3" xfId="1017"/>
    <cellStyle name="20% - 강조색4 3 3 3" xfId="1018"/>
    <cellStyle name="20% - 강조색4 3 3 3 2" xfId="1019"/>
    <cellStyle name="20% - 강조색4 3 3 3 3" xfId="1020"/>
    <cellStyle name="20% - 강조색4 3 3 4" xfId="1021"/>
    <cellStyle name="20% - 강조색4 3 3 5" xfId="1022"/>
    <cellStyle name="20% - 강조색4 3 3 6" xfId="5298"/>
    <cellStyle name="20% - 강조색4 3 4" xfId="1023"/>
    <cellStyle name="20% - 강조색4 3 4 2" xfId="1024"/>
    <cellStyle name="20% - 강조색4 3 4 3" xfId="1025"/>
    <cellStyle name="20% - 강조색4 3 4 4" xfId="5299"/>
    <cellStyle name="20% - 강조색4 3 5" xfId="1026"/>
    <cellStyle name="20% - 강조색4 3 5 2" xfId="1027"/>
    <cellStyle name="20% - 강조색4 3 5 3" xfId="1028"/>
    <cellStyle name="20% - 강조색4 3 5 4" xfId="5300"/>
    <cellStyle name="20% - 강조색4 3 6" xfId="1029"/>
    <cellStyle name="20% - 강조색4 3 6 2" xfId="5301"/>
    <cellStyle name="20% - 강조색4 3 7" xfId="1030"/>
    <cellStyle name="20% - 강조색4 3 7 2" xfId="5302"/>
    <cellStyle name="20% - 강조색4 3 8" xfId="5303"/>
    <cellStyle name="20% - 강조색4 3 9" xfId="5304"/>
    <cellStyle name="20% - 강조색4 30" xfId="1031"/>
    <cellStyle name="20% - 강조색4 30 2" xfId="1032"/>
    <cellStyle name="20% - 강조색4 30 3" xfId="5305"/>
    <cellStyle name="20% - 강조색4 31" xfId="1033"/>
    <cellStyle name="20% - 강조색4 31 2" xfId="5306"/>
    <cellStyle name="20% - 강조색4 32" xfId="1034"/>
    <cellStyle name="20% - 강조색4 32 2" xfId="5307"/>
    <cellStyle name="20% - 강조색4 33" xfId="1035"/>
    <cellStyle name="20% - 강조색4 34" xfId="1036"/>
    <cellStyle name="20% - 강조색4 35" xfId="1037"/>
    <cellStyle name="20% - 강조색4 36" xfId="1038"/>
    <cellStyle name="20% - 강조색4 37" xfId="1039"/>
    <cellStyle name="20% - 강조색4 38" xfId="1040"/>
    <cellStyle name="20% - 강조색4 4" xfId="1041"/>
    <cellStyle name="20% - 강조색4 4 10" xfId="5308"/>
    <cellStyle name="20% - 강조색4 4 11" xfId="5309"/>
    <cellStyle name="20% - 강조색4 4 12" xfId="5310"/>
    <cellStyle name="20% - 강조색4 4 13" xfId="5311"/>
    <cellStyle name="20% - 강조색4 4 14" xfId="5312"/>
    <cellStyle name="20% - 강조색4 4 2" xfId="1042"/>
    <cellStyle name="20% - 강조색4 4 2 2" xfId="1043"/>
    <cellStyle name="20% - 강조색4 4 2 2 2" xfId="1044"/>
    <cellStyle name="20% - 강조색4 4 2 2 3" xfId="1045"/>
    <cellStyle name="20% - 강조색4 4 2 2 4" xfId="5313"/>
    <cellStyle name="20% - 강조색4 4 2 3" xfId="1046"/>
    <cellStyle name="20% - 강조색4 4 2 3 2" xfId="1047"/>
    <cellStyle name="20% - 강조색4 4 2 3 3" xfId="1048"/>
    <cellStyle name="20% - 강조색4 4 2 4" xfId="1049"/>
    <cellStyle name="20% - 강조색4 4 2 5" xfId="1050"/>
    <cellStyle name="20% - 강조색4 4 2 6" xfId="5314"/>
    <cellStyle name="20% - 강조색4 4 3" xfId="1051"/>
    <cellStyle name="20% - 강조색4 4 3 2" xfId="1052"/>
    <cellStyle name="20% - 강조색4 4 3 2 2" xfId="1053"/>
    <cellStyle name="20% - 강조색4 4 3 2 3" xfId="1054"/>
    <cellStyle name="20% - 강조색4 4 3 3" xfId="1055"/>
    <cellStyle name="20% - 강조색4 4 3 3 2" xfId="1056"/>
    <cellStyle name="20% - 강조색4 4 3 3 3" xfId="1057"/>
    <cellStyle name="20% - 강조색4 4 3 4" xfId="1058"/>
    <cellStyle name="20% - 강조색4 4 3 5" xfId="1059"/>
    <cellStyle name="20% - 강조색4 4 3 6" xfId="5315"/>
    <cellStyle name="20% - 강조색4 4 4" xfId="1060"/>
    <cellStyle name="20% - 강조색4 4 4 2" xfId="1061"/>
    <cellStyle name="20% - 강조색4 4 4 3" xfId="1062"/>
    <cellStyle name="20% - 강조색4 4 4 4" xfId="5316"/>
    <cellStyle name="20% - 강조색4 4 5" xfId="1063"/>
    <cellStyle name="20% - 강조색4 4 5 2" xfId="1064"/>
    <cellStyle name="20% - 강조색4 4 5 3" xfId="1065"/>
    <cellStyle name="20% - 강조색4 4 5 4" xfId="5317"/>
    <cellStyle name="20% - 강조색4 4 6" xfId="1066"/>
    <cellStyle name="20% - 강조색4 4 6 2" xfId="5318"/>
    <cellStyle name="20% - 강조색4 4 7" xfId="1067"/>
    <cellStyle name="20% - 강조색4 4 7 2" xfId="5319"/>
    <cellStyle name="20% - 강조색4 4 8" xfId="5320"/>
    <cellStyle name="20% - 강조색4 4 9" xfId="5321"/>
    <cellStyle name="20% - 강조색4 5" xfId="1068"/>
    <cellStyle name="20% - 강조색4 5 10" xfId="5322"/>
    <cellStyle name="20% - 강조색4 5 11" xfId="5323"/>
    <cellStyle name="20% - 강조색4 5 12" xfId="5324"/>
    <cellStyle name="20% - 강조색4 5 13" xfId="5325"/>
    <cellStyle name="20% - 강조색4 5 14" xfId="5326"/>
    <cellStyle name="20% - 강조색4 5 2" xfId="1069"/>
    <cellStyle name="20% - 강조색4 5 2 2" xfId="1070"/>
    <cellStyle name="20% - 강조색4 5 2 2 2" xfId="1071"/>
    <cellStyle name="20% - 강조색4 5 2 2 3" xfId="1072"/>
    <cellStyle name="20% - 강조색4 5 2 2 4" xfId="5327"/>
    <cellStyle name="20% - 강조색4 5 2 3" xfId="1073"/>
    <cellStyle name="20% - 강조색4 5 2 3 2" xfId="1074"/>
    <cellStyle name="20% - 강조색4 5 2 3 3" xfId="1075"/>
    <cellStyle name="20% - 강조색4 5 2 4" xfId="1076"/>
    <cellStyle name="20% - 강조색4 5 2 5" xfId="1077"/>
    <cellStyle name="20% - 강조색4 5 2 6" xfId="5328"/>
    <cellStyle name="20% - 강조색4 5 3" xfId="1078"/>
    <cellStyle name="20% - 강조색4 5 3 2" xfId="1079"/>
    <cellStyle name="20% - 강조색4 5 3 2 2" xfId="1080"/>
    <cellStyle name="20% - 강조색4 5 3 2 3" xfId="1081"/>
    <cellStyle name="20% - 강조색4 5 3 3" xfId="1082"/>
    <cellStyle name="20% - 강조색4 5 3 3 2" xfId="1083"/>
    <cellStyle name="20% - 강조색4 5 3 3 3" xfId="1084"/>
    <cellStyle name="20% - 강조색4 5 3 4" xfId="1085"/>
    <cellStyle name="20% - 강조색4 5 3 5" xfId="1086"/>
    <cellStyle name="20% - 강조색4 5 3 6" xfId="5329"/>
    <cellStyle name="20% - 강조색4 5 4" xfId="1087"/>
    <cellStyle name="20% - 강조색4 5 4 2" xfId="1088"/>
    <cellStyle name="20% - 강조색4 5 4 3" xfId="1089"/>
    <cellStyle name="20% - 강조색4 5 4 4" xfId="5330"/>
    <cellStyle name="20% - 강조색4 5 5" xfId="1090"/>
    <cellStyle name="20% - 강조색4 5 5 2" xfId="1091"/>
    <cellStyle name="20% - 강조색4 5 5 3" xfId="1092"/>
    <cellStyle name="20% - 강조색4 5 5 4" xfId="5331"/>
    <cellStyle name="20% - 강조색4 5 6" xfId="1093"/>
    <cellStyle name="20% - 강조색4 5 6 2" xfId="5332"/>
    <cellStyle name="20% - 강조색4 5 7" xfId="1094"/>
    <cellStyle name="20% - 강조색4 5 7 2" xfId="5333"/>
    <cellStyle name="20% - 강조색4 5 8" xfId="5334"/>
    <cellStyle name="20% - 강조색4 5 9" xfId="5335"/>
    <cellStyle name="20% - 강조색4 6" xfId="1095"/>
    <cellStyle name="20% - 강조색4 6 10" xfId="5336"/>
    <cellStyle name="20% - 강조색4 6 11" xfId="5337"/>
    <cellStyle name="20% - 강조색4 6 12" xfId="5338"/>
    <cellStyle name="20% - 강조색4 6 13" xfId="5339"/>
    <cellStyle name="20% - 강조색4 6 14" xfId="5340"/>
    <cellStyle name="20% - 강조색4 6 2" xfId="1096"/>
    <cellStyle name="20% - 강조색4 6 2 2" xfId="1097"/>
    <cellStyle name="20% - 강조색4 6 2 2 2" xfId="1098"/>
    <cellStyle name="20% - 강조색4 6 2 2 3" xfId="1099"/>
    <cellStyle name="20% - 강조색4 6 2 2 4" xfId="5341"/>
    <cellStyle name="20% - 강조색4 6 2 3" xfId="1100"/>
    <cellStyle name="20% - 강조색4 6 2 3 2" xfId="1101"/>
    <cellStyle name="20% - 강조색4 6 2 3 3" xfId="1102"/>
    <cellStyle name="20% - 강조색4 6 2 4" xfId="1103"/>
    <cellStyle name="20% - 강조색4 6 2 5" xfId="1104"/>
    <cellStyle name="20% - 강조색4 6 2 6" xfId="5342"/>
    <cellStyle name="20% - 강조색4 6 3" xfId="1105"/>
    <cellStyle name="20% - 강조색4 6 3 2" xfId="1106"/>
    <cellStyle name="20% - 강조색4 6 3 2 2" xfId="1107"/>
    <cellStyle name="20% - 강조색4 6 3 2 3" xfId="1108"/>
    <cellStyle name="20% - 강조색4 6 3 3" xfId="1109"/>
    <cellStyle name="20% - 강조색4 6 3 3 2" xfId="1110"/>
    <cellStyle name="20% - 강조색4 6 3 3 3" xfId="1111"/>
    <cellStyle name="20% - 강조색4 6 3 4" xfId="1112"/>
    <cellStyle name="20% - 강조색4 6 3 5" xfId="1113"/>
    <cellStyle name="20% - 강조색4 6 3 6" xfId="5343"/>
    <cellStyle name="20% - 강조색4 6 4" xfId="1114"/>
    <cellStyle name="20% - 강조색4 6 4 2" xfId="1115"/>
    <cellStyle name="20% - 강조색4 6 4 3" xfId="1116"/>
    <cellStyle name="20% - 강조색4 6 4 4" xfId="5344"/>
    <cellStyle name="20% - 강조색4 6 5" xfId="1117"/>
    <cellStyle name="20% - 강조색4 6 5 2" xfId="1118"/>
    <cellStyle name="20% - 강조색4 6 5 3" xfId="1119"/>
    <cellStyle name="20% - 강조색4 6 5 4" xfId="5345"/>
    <cellStyle name="20% - 강조색4 6 6" xfId="1120"/>
    <cellStyle name="20% - 강조색4 6 6 2" xfId="5346"/>
    <cellStyle name="20% - 강조색4 6 7" xfId="1121"/>
    <cellStyle name="20% - 강조색4 6 7 2" xfId="5347"/>
    <cellStyle name="20% - 강조색4 6 8" xfId="5348"/>
    <cellStyle name="20% - 강조색4 6 9" xfId="5349"/>
    <cellStyle name="20% - 강조색4 7" xfId="1122"/>
    <cellStyle name="20% - 강조색4 7 10" xfId="5350"/>
    <cellStyle name="20% - 강조색4 7 11" xfId="5351"/>
    <cellStyle name="20% - 강조색4 7 12" xfId="5352"/>
    <cellStyle name="20% - 강조색4 7 13" xfId="5353"/>
    <cellStyle name="20% - 강조색4 7 14" xfId="5354"/>
    <cellStyle name="20% - 강조색4 7 2" xfId="1123"/>
    <cellStyle name="20% - 강조색4 7 2 2" xfId="1124"/>
    <cellStyle name="20% - 강조색4 7 2 2 2" xfId="1125"/>
    <cellStyle name="20% - 강조색4 7 2 2 3" xfId="1126"/>
    <cellStyle name="20% - 강조색4 7 2 2 4" xfId="5355"/>
    <cellStyle name="20% - 강조색4 7 2 3" xfId="1127"/>
    <cellStyle name="20% - 강조색4 7 2 3 2" xfId="1128"/>
    <cellStyle name="20% - 강조색4 7 2 3 3" xfId="1129"/>
    <cellStyle name="20% - 강조색4 7 2 4" xfId="1130"/>
    <cellStyle name="20% - 강조색4 7 2 5" xfId="1131"/>
    <cellStyle name="20% - 강조색4 7 2 6" xfId="5356"/>
    <cellStyle name="20% - 강조색4 7 3" xfId="1132"/>
    <cellStyle name="20% - 강조색4 7 3 2" xfId="1133"/>
    <cellStyle name="20% - 강조색4 7 3 2 2" xfId="1134"/>
    <cellStyle name="20% - 강조색4 7 3 2 3" xfId="1135"/>
    <cellStyle name="20% - 강조색4 7 3 3" xfId="1136"/>
    <cellStyle name="20% - 강조색4 7 3 3 2" xfId="1137"/>
    <cellStyle name="20% - 강조색4 7 3 3 3" xfId="1138"/>
    <cellStyle name="20% - 강조색4 7 3 4" xfId="1139"/>
    <cellStyle name="20% - 강조색4 7 3 5" xfId="1140"/>
    <cellStyle name="20% - 강조색4 7 3 6" xfId="5357"/>
    <cellStyle name="20% - 강조색4 7 4" xfId="1141"/>
    <cellStyle name="20% - 강조색4 7 4 2" xfId="1142"/>
    <cellStyle name="20% - 강조색4 7 4 3" xfId="1143"/>
    <cellStyle name="20% - 강조색4 7 4 4" xfId="5358"/>
    <cellStyle name="20% - 강조색4 7 5" xfId="1144"/>
    <cellStyle name="20% - 강조색4 7 5 2" xfId="1145"/>
    <cellStyle name="20% - 강조색4 7 5 3" xfId="1146"/>
    <cellStyle name="20% - 강조색4 7 5 4" xfId="5359"/>
    <cellStyle name="20% - 강조색4 7 6" xfId="1147"/>
    <cellStyle name="20% - 강조색4 7 6 2" xfId="5360"/>
    <cellStyle name="20% - 강조색4 7 7" xfId="1148"/>
    <cellStyle name="20% - 강조색4 7 7 2" xfId="5361"/>
    <cellStyle name="20% - 강조색4 7 8" xfId="5362"/>
    <cellStyle name="20% - 강조색4 7 9" xfId="5363"/>
    <cellStyle name="20% - 강조색4 8" xfId="1149"/>
    <cellStyle name="20% - 강조색4 8 10" xfId="5364"/>
    <cellStyle name="20% - 강조색4 8 11" xfId="5365"/>
    <cellStyle name="20% - 강조색4 8 12" xfId="5366"/>
    <cellStyle name="20% - 강조색4 8 13" xfId="5367"/>
    <cellStyle name="20% - 강조색4 8 14" xfId="5368"/>
    <cellStyle name="20% - 강조색4 8 2" xfId="1150"/>
    <cellStyle name="20% - 강조색4 8 2 2" xfId="1151"/>
    <cellStyle name="20% - 강조색4 8 2 2 2" xfId="1152"/>
    <cellStyle name="20% - 강조색4 8 2 2 3" xfId="1153"/>
    <cellStyle name="20% - 강조색4 8 2 2 4" xfId="5369"/>
    <cellStyle name="20% - 강조색4 8 2 3" xfId="1154"/>
    <cellStyle name="20% - 강조색4 8 2 3 2" xfId="1155"/>
    <cellStyle name="20% - 강조색4 8 2 3 3" xfId="1156"/>
    <cellStyle name="20% - 강조색4 8 2 4" xfId="1157"/>
    <cellStyle name="20% - 강조색4 8 2 5" xfId="1158"/>
    <cellStyle name="20% - 강조색4 8 2 6" xfId="5370"/>
    <cellStyle name="20% - 강조색4 8 3" xfId="1159"/>
    <cellStyle name="20% - 강조색4 8 3 2" xfId="1160"/>
    <cellStyle name="20% - 강조색4 8 3 2 2" xfId="1161"/>
    <cellStyle name="20% - 강조색4 8 3 2 3" xfId="1162"/>
    <cellStyle name="20% - 강조색4 8 3 3" xfId="1163"/>
    <cellStyle name="20% - 강조색4 8 3 3 2" xfId="1164"/>
    <cellStyle name="20% - 강조색4 8 3 3 3" xfId="1165"/>
    <cellStyle name="20% - 강조색4 8 3 4" xfId="1166"/>
    <cellStyle name="20% - 강조색4 8 3 5" xfId="1167"/>
    <cellStyle name="20% - 강조색4 8 3 6" xfId="5371"/>
    <cellStyle name="20% - 강조색4 8 4" xfId="1168"/>
    <cellStyle name="20% - 강조색4 8 4 2" xfId="1169"/>
    <cellStyle name="20% - 강조색4 8 4 3" xfId="1170"/>
    <cellStyle name="20% - 강조색4 8 4 4" xfId="5372"/>
    <cellStyle name="20% - 강조색4 8 5" xfId="1171"/>
    <cellStyle name="20% - 강조색4 8 5 2" xfId="1172"/>
    <cellStyle name="20% - 강조색4 8 5 3" xfId="1173"/>
    <cellStyle name="20% - 강조색4 8 5 4" xfId="5373"/>
    <cellStyle name="20% - 강조색4 8 6" xfId="1174"/>
    <cellStyle name="20% - 강조색4 8 6 2" xfId="5374"/>
    <cellStyle name="20% - 강조색4 8 7" xfId="1175"/>
    <cellStyle name="20% - 강조색4 8 7 2" xfId="5375"/>
    <cellStyle name="20% - 강조색4 8 8" xfId="5376"/>
    <cellStyle name="20% - 강조색4 8 9" xfId="5377"/>
    <cellStyle name="20% - 강조색4 9" xfId="1176"/>
    <cellStyle name="20% - 강조색4 9 10" xfId="5378"/>
    <cellStyle name="20% - 강조색4 9 11" xfId="5379"/>
    <cellStyle name="20% - 강조색4 9 12" xfId="5380"/>
    <cellStyle name="20% - 강조색4 9 13" xfId="5381"/>
    <cellStyle name="20% - 강조색4 9 14" xfId="5382"/>
    <cellStyle name="20% - 강조색4 9 2" xfId="1177"/>
    <cellStyle name="20% - 강조색4 9 2 2" xfId="1178"/>
    <cellStyle name="20% - 강조색4 9 2 2 2" xfId="5383"/>
    <cellStyle name="20% - 강조색4 9 2 3" xfId="1179"/>
    <cellStyle name="20% - 강조색4 9 2 4" xfId="5384"/>
    <cellStyle name="20% - 강조색4 9 3" xfId="1180"/>
    <cellStyle name="20% - 강조색4 9 3 2" xfId="1181"/>
    <cellStyle name="20% - 강조색4 9 3 3" xfId="1182"/>
    <cellStyle name="20% - 강조색4 9 3 4" xfId="5385"/>
    <cellStyle name="20% - 강조색4 9 4" xfId="1183"/>
    <cellStyle name="20% - 강조색4 9 4 2" xfId="5386"/>
    <cellStyle name="20% - 강조색4 9 5" xfId="1184"/>
    <cellStyle name="20% - 강조색4 9 5 2" xfId="5387"/>
    <cellStyle name="20% - 강조색4 9 6" xfId="5388"/>
    <cellStyle name="20% - 강조색4 9 7" xfId="5389"/>
    <cellStyle name="20% - 강조색4 9 8" xfId="5390"/>
    <cellStyle name="20% - 강조색4 9 9" xfId="5391"/>
    <cellStyle name="20% - 강조색5" xfId="4330" builtinId="46" customBuiltin="1"/>
    <cellStyle name="20% - 강조색5 10" xfId="1185"/>
    <cellStyle name="20% - 강조색5 10 10" xfId="5392"/>
    <cellStyle name="20% - 강조색5 10 11" xfId="5393"/>
    <cellStyle name="20% - 강조색5 10 12" xfId="5394"/>
    <cellStyle name="20% - 강조색5 10 13" xfId="5395"/>
    <cellStyle name="20% - 강조색5 10 14" xfId="5396"/>
    <cellStyle name="20% - 강조색5 10 2" xfId="1186"/>
    <cellStyle name="20% - 강조색5 10 2 2" xfId="1187"/>
    <cellStyle name="20% - 강조색5 10 2 2 2" xfId="5397"/>
    <cellStyle name="20% - 강조색5 10 2 3" xfId="1188"/>
    <cellStyle name="20% - 강조색5 10 2 4" xfId="5398"/>
    <cellStyle name="20% - 강조색5 10 3" xfId="1189"/>
    <cellStyle name="20% - 강조색5 10 3 2" xfId="1190"/>
    <cellStyle name="20% - 강조색5 10 3 3" xfId="1191"/>
    <cellStyle name="20% - 강조색5 10 3 4" xfId="5399"/>
    <cellStyle name="20% - 강조색5 10 4" xfId="1192"/>
    <cellStyle name="20% - 강조색5 10 4 2" xfId="5400"/>
    <cellStyle name="20% - 강조색5 10 5" xfId="1193"/>
    <cellStyle name="20% - 강조색5 10 5 2" xfId="5401"/>
    <cellStyle name="20% - 강조색5 10 6" xfId="5402"/>
    <cellStyle name="20% - 강조색5 10 7" xfId="5403"/>
    <cellStyle name="20% - 강조색5 10 8" xfId="5404"/>
    <cellStyle name="20% - 강조색5 10 9" xfId="5405"/>
    <cellStyle name="20% - 강조색5 11" xfId="1194"/>
    <cellStyle name="20% - 강조색5 11 10" xfId="5406"/>
    <cellStyle name="20% - 강조색5 11 11" xfId="5407"/>
    <cellStyle name="20% - 강조색5 11 12" xfId="5408"/>
    <cellStyle name="20% - 강조색5 11 13" xfId="5409"/>
    <cellStyle name="20% - 강조색5 11 14" xfId="5410"/>
    <cellStyle name="20% - 강조색5 11 2" xfId="1195"/>
    <cellStyle name="20% - 강조색5 11 2 2" xfId="1196"/>
    <cellStyle name="20% - 강조색5 11 2 2 2" xfId="5411"/>
    <cellStyle name="20% - 강조색5 11 2 3" xfId="1197"/>
    <cellStyle name="20% - 강조색5 11 2 4" xfId="5412"/>
    <cellStyle name="20% - 강조색5 11 3" xfId="1198"/>
    <cellStyle name="20% - 강조색5 11 3 2" xfId="1199"/>
    <cellStyle name="20% - 강조색5 11 3 3" xfId="1200"/>
    <cellStyle name="20% - 강조색5 11 3 4" xfId="5413"/>
    <cellStyle name="20% - 강조색5 11 4" xfId="1201"/>
    <cellStyle name="20% - 강조색5 11 4 2" xfId="5414"/>
    <cellStyle name="20% - 강조색5 11 5" xfId="1202"/>
    <cellStyle name="20% - 강조색5 11 5 2" xfId="5415"/>
    <cellStyle name="20% - 강조색5 11 6" xfId="5416"/>
    <cellStyle name="20% - 강조색5 11 7" xfId="5417"/>
    <cellStyle name="20% - 강조색5 11 8" xfId="5418"/>
    <cellStyle name="20% - 강조색5 11 9" xfId="5419"/>
    <cellStyle name="20% - 강조색5 12" xfId="1203"/>
    <cellStyle name="20% - 강조색5 12 10" xfId="5420"/>
    <cellStyle name="20% - 강조색5 12 11" xfId="5421"/>
    <cellStyle name="20% - 강조색5 12 12" xfId="5422"/>
    <cellStyle name="20% - 강조색5 12 13" xfId="5423"/>
    <cellStyle name="20% - 강조색5 12 14" xfId="5424"/>
    <cellStyle name="20% - 강조색5 12 2" xfId="1204"/>
    <cellStyle name="20% - 강조색5 12 2 2" xfId="1205"/>
    <cellStyle name="20% - 강조색5 12 2 2 2" xfId="5425"/>
    <cellStyle name="20% - 강조색5 12 2 3" xfId="1206"/>
    <cellStyle name="20% - 강조색5 12 2 4" xfId="5426"/>
    <cellStyle name="20% - 강조색5 12 3" xfId="1207"/>
    <cellStyle name="20% - 강조색5 12 3 2" xfId="1208"/>
    <cellStyle name="20% - 강조색5 12 3 3" xfId="1209"/>
    <cellStyle name="20% - 강조색5 12 3 4" xfId="5427"/>
    <cellStyle name="20% - 강조색5 12 4" xfId="1210"/>
    <cellStyle name="20% - 강조색5 12 4 2" xfId="5428"/>
    <cellStyle name="20% - 강조색5 12 5" xfId="1211"/>
    <cellStyle name="20% - 강조색5 12 5 2" xfId="5429"/>
    <cellStyle name="20% - 강조색5 12 6" xfId="5430"/>
    <cellStyle name="20% - 강조색5 12 7" xfId="5431"/>
    <cellStyle name="20% - 강조색5 12 8" xfId="5432"/>
    <cellStyle name="20% - 강조색5 12 9" xfId="5433"/>
    <cellStyle name="20% - 강조색5 13" xfId="1212"/>
    <cellStyle name="20% - 강조색5 13 10" xfId="5434"/>
    <cellStyle name="20% - 강조색5 13 11" xfId="5435"/>
    <cellStyle name="20% - 강조색5 13 12" xfId="5436"/>
    <cellStyle name="20% - 강조색5 13 13" xfId="5437"/>
    <cellStyle name="20% - 강조색5 13 14" xfId="5438"/>
    <cellStyle name="20% - 강조색5 13 2" xfId="1213"/>
    <cellStyle name="20% - 강조색5 13 2 2" xfId="1214"/>
    <cellStyle name="20% - 강조색5 13 2 2 2" xfId="5439"/>
    <cellStyle name="20% - 강조색5 13 2 3" xfId="1215"/>
    <cellStyle name="20% - 강조색5 13 2 4" xfId="5440"/>
    <cellStyle name="20% - 강조색5 13 3" xfId="1216"/>
    <cellStyle name="20% - 강조색5 13 3 2" xfId="1217"/>
    <cellStyle name="20% - 강조색5 13 3 3" xfId="1218"/>
    <cellStyle name="20% - 강조색5 13 3 4" xfId="5441"/>
    <cellStyle name="20% - 강조색5 13 4" xfId="1219"/>
    <cellStyle name="20% - 강조색5 13 4 2" xfId="5442"/>
    <cellStyle name="20% - 강조색5 13 5" xfId="1220"/>
    <cellStyle name="20% - 강조색5 13 5 2" xfId="5443"/>
    <cellStyle name="20% - 강조색5 13 6" xfId="5444"/>
    <cellStyle name="20% - 강조색5 13 7" xfId="5445"/>
    <cellStyle name="20% - 강조색5 13 8" xfId="5446"/>
    <cellStyle name="20% - 강조색5 13 9" xfId="5447"/>
    <cellStyle name="20% - 강조색5 14" xfId="1221"/>
    <cellStyle name="20% - 강조색5 14 10" xfId="5448"/>
    <cellStyle name="20% - 강조색5 14 11" xfId="5449"/>
    <cellStyle name="20% - 강조색5 14 12" xfId="5450"/>
    <cellStyle name="20% - 강조색5 14 13" xfId="5451"/>
    <cellStyle name="20% - 강조색5 14 14" xfId="5452"/>
    <cellStyle name="20% - 강조색5 14 2" xfId="1222"/>
    <cellStyle name="20% - 강조색5 14 2 2" xfId="1223"/>
    <cellStyle name="20% - 강조색5 14 2 2 2" xfId="5453"/>
    <cellStyle name="20% - 강조색5 14 2 3" xfId="1224"/>
    <cellStyle name="20% - 강조색5 14 2 4" xfId="5454"/>
    <cellStyle name="20% - 강조색5 14 3" xfId="1225"/>
    <cellStyle name="20% - 강조색5 14 3 2" xfId="1226"/>
    <cellStyle name="20% - 강조색5 14 3 3" xfId="1227"/>
    <cellStyle name="20% - 강조색5 14 3 4" xfId="5455"/>
    <cellStyle name="20% - 강조색5 14 4" xfId="1228"/>
    <cellStyle name="20% - 강조색5 14 4 2" xfId="5456"/>
    <cellStyle name="20% - 강조색5 14 5" xfId="1229"/>
    <cellStyle name="20% - 강조색5 14 5 2" xfId="5457"/>
    <cellStyle name="20% - 강조색5 14 6" xfId="5458"/>
    <cellStyle name="20% - 강조색5 14 7" xfId="5459"/>
    <cellStyle name="20% - 강조색5 14 8" xfId="5460"/>
    <cellStyle name="20% - 강조색5 14 9" xfId="5461"/>
    <cellStyle name="20% - 강조색5 15" xfId="1230"/>
    <cellStyle name="20% - 강조색5 15 10" xfId="5462"/>
    <cellStyle name="20% - 강조색5 15 11" xfId="5463"/>
    <cellStyle name="20% - 강조색5 15 12" xfId="5464"/>
    <cellStyle name="20% - 강조색5 15 13" xfId="5465"/>
    <cellStyle name="20% - 강조색5 15 14" xfId="5466"/>
    <cellStyle name="20% - 강조색5 15 2" xfId="1231"/>
    <cellStyle name="20% - 강조색5 15 2 2" xfId="1232"/>
    <cellStyle name="20% - 강조색5 15 2 2 2" xfId="5467"/>
    <cellStyle name="20% - 강조색5 15 2 3" xfId="1233"/>
    <cellStyle name="20% - 강조색5 15 2 4" xfId="5468"/>
    <cellStyle name="20% - 강조색5 15 3" xfId="1234"/>
    <cellStyle name="20% - 강조색5 15 3 2" xfId="1235"/>
    <cellStyle name="20% - 강조색5 15 3 3" xfId="1236"/>
    <cellStyle name="20% - 강조색5 15 3 4" xfId="5469"/>
    <cellStyle name="20% - 강조색5 15 4" xfId="1237"/>
    <cellStyle name="20% - 강조색5 15 4 2" xfId="5470"/>
    <cellStyle name="20% - 강조색5 15 5" xfId="1238"/>
    <cellStyle name="20% - 강조색5 15 5 2" xfId="5471"/>
    <cellStyle name="20% - 강조색5 15 6" xfId="5472"/>
    <cellStyle name="20% - 강조색5 15 7" xfId="5473"/>
    <cellStyle name="20% - 강조색5 15 8" xfId="5474"/>
    <cellStyle name="20% - 강조색5 15 9" xfId="5475"/>
    <cellStyle name="20% - 강조색5 16" xfId="1239"/>
    <cellStyle name="20% - 강조색5 16 10" xfId="5476"/>
    <cellStyle name="20% - 강조색5 16 11" xfId="5477"/>
    <cellStyle name="20% - 강조색5 16 12" xfId="5478"/>
    <cellStyle name="20% - 강조색5 16 13" xfId="5479"/>
    <cellStyle name="20% - 강조색5 16 14" xfId="5480"/>
    <cellStyle name="20% - 강조색5 16 2" xfId="1240"/>
    <cellStyle name="20% - 강조색5 16 2 2" xfId="1241"/>
    <cellStyle name="20% - 강조색5 16 2 2 2" xfId="5481"/>
    <cellStyle name="20% - 강조색5 16 2 3" xfId="1242"/>
    <cellStyle name="20% - 강조색5 16 2 4" xfId="5482"/>
    <cellStyle name="20% - 강조색5 16 3" xfId="1243"/>
    <cellStyle name="20% - 강조색5 16 3 2" xfId="1244"/>
    <cellStyle name="20% - 강조색5 16 3 3" xfId="1245"/>
    <cellStyle name="20% - 강조색5 16 3 4" xfId="5483"/>
    <cellStyle name="20% - 강조색5 16 4" xfId="1246"/>
    <cellStyle name="20% - 강조색5 16 4 2" xfId="5484"/>
    <cellStyle name="20% - 강조색5 16 5" xfId="1247"/>
    <cellStyle name="20% - 강조색5 16 5 2" xfId="5485"/>
    <cellStyle name="20% - 강조색5 16 6" xfId="5486"/>
    <cellStyle name="20% - 강조색5 16 7" xfId="5487"/>
    <cellStyle name="20% - 강조색5 16 8" xfId="5488"/>
    <cellStyle name="20% - 강조색5 16 9" xfId="5489"/>
    <cellStyle name="20% - 강조색5 17" xfId="1248"/>
    <cellStyle name="20% - 강조색5 17 10" xfId="5490"/>
    <cellStyle name="20% - 강조색5 17 11" xfId="5491"/>
    <cellStyle name="20% - 강조색5 17 12" xfId="5492"/>
    <cellStyle name="20% - 강조색5 17 13" xfId="5493"/>
    <cellStyle name="20% - 강조색5 17 14" xfId="5494"/>
    <cellStyle name="20% - 강조색5 17 2" xfId="1249"/>
    <cellStyle name="20% - 강조색5 17 2 2" xfId="1250"/>
    <cellStyle name="20% - 강조색5 17 2 3" xfId="1251"/>
    <cellStyle name="20% - 강조색5 17 2 4" xfId="5495"/>
    <cellStyle name="20% - 강조색5 17 3" xfId="1252"/>
    <cellStyle name="20% - 강조색5 17 3 2" xfId="5496"/>
    <cellStyle name="20% - 강조색5 17 4" xfId="1253"/>
    <cellStyle name="20% - 강조색5 17 4 2" xfId="5497"/>
    <cellStyle name="20% - 강조색5 17 5" xfId="5498"/>
    <cellStyle name="20% - 강조색5 17 6" xfId="5499"/>
    <cellStyle name="20% - 강조색5 17 7" xfId="5500"/>
    <cellStyle name="20% - 강조색5 17 8" xfId="5501"/>
    <cellStyle name="20% - 강조색5 17 9" xfId="5502"/>
    <cellStyle name="20% - 강조색5 18" xfId="1254"/>
    <cellStyle name="20% - 강조색5 18 10" xfId="5503"/>
    <cellStyle name="20% - 강조색5 18 11" xfId="5504"/>
    <cellStyle name="20% - 강조색5 18 12" xfId="5505"/>
    <cellStyle name="20% - 강조색5 18 13" xfId="5506"/>
    <cellStyle name="20% - 강조색5 18 14" xfId="5507"/>
    <cellStyle name="20% - 강조색5 18 2" xfId="1255"/>
    <cellStyle name="20% - 강조색5 18 2 2" xfId="1256"/>
    <cellStyle name="20% - 강조색5 18 2 3" xfId="1257"/>
    <cellStyle name="20% - 강조색5 18 2 4" xfId="5508"/>
    <cellStyle name="20% - 강조색5 18 3" xfId="1258"/>
    <cellStyle name="20% - 강조색5 18 3 2" xfId="5509"/>
    <cellStyle name="20% - 강조색5 18 4" xfId="1259"/>
    <cellStyle name="20% - 강조색5 18 4 2" xfId="5510"/>
    <cellStyle name="20% - 강조색5 18 5" xfId="5511"/>
    <cellStyle name="20% - 강조색5 18 6" xfId="5512"/>
    <cellStyle name="20% - 강조색5 18 7" xfId="5513"/>
    <cellStyle name="20% - 강조색5 18 8" xfId="5514"/>
    <cellStyle name="20% - 강조색5 18 9" xfId="5515"/>
    <cellStyle name="20% - 강조색5 19" xfId="1260"/>
    <cellStyle name="20% - 강조색5 19 10" xfId="5516"/>
    <cellStyle name="20% - 강조색5 19 11" xfId="5517"/>
    <cellStyle name="20% - 강조색5 19 12" xfId="5518"/>
    <cellStyle name="20% - 강조색5 19 13" xfId="5519"/>
    <cellStyle name="20% - 강조색5 19 14" xfId="5520"/>
    <cellStyle name="20% - 강조색5 19 2" xfId="1261"/>
    <cellStyle name="20% - 강조색5 19 2 2" xfId="1262"/>
    <cellStyle name="20% - 강조색5 19 2 3" xfId="1263"/>
    <cellStyle name="20% - 강조색5 19 2 4" xfId="5521"/>
    <cellStyle name="20% - 강조색5 19 3" xfId="1264"/>
    <cellStyle name="20% - 강조색5 19 3 2" xfId="5522"/>
    <cellStyle name="20% - 강조색5 19 4" xfId="1265"/>
    <cellStyle name="20% - 강조색5 19 4 2" xfId="5523"/>
    <cellStyle name="20% - 강조색5 19 5" xfId="5524"/>
    <cellStyle name="20% - 강조색5 19 6" xfId="5525"/>
    <cellStyle name="20% - 강조색5 19 7" xfId="5526"/>
    <cellStyle name="20% - 강조색5 19 8" xfId="5527"/>
    <cellStyle name="20% - 강조색5 19 9" xfId="5528"/>
    <cellStyle name="20% - 강조색5 2" xfId="1266"/>
    <cellStyle name="20% - 강조색5 2 10" xfId="5529"/>
    <cellStyle name="20% - 강조색5 2 11" xfId="5530"/>
    <cellStyle name="20% - 강조색5 2 12" xfId="5531"/>
    <cellStyle name="20% - 강조색5 2 13" xfId="5532"/>
    <cellStyle name="20% - 강조색5 2 14" xfId="5533"/>
    <cellStyle name="20% - 강조색5 2 2" xfId="5534"/>
    <cellStyle name="20% - 강조색5 2 2 2" xfId="5535"/>
    <cellStyle name="20% - 강조색5 2 3" xfId="5536"/>
    <cellStyle name="20% - 강조색5 2 3 2" xfId="5537"/>
    <cellStyle name="20% - 강조색5 2 4" xfId="5538"/>
    <cellStyle name="20% - 강조색5 2 4 2" xfId="5539"/>
    <cellStyle name="20% - 강조색5 2 5" xfId="5540"/>
    <cellStyle name="20% - 강조색5 2 6" xfId="5541"/>
    <cellStyle name="20% - 강조색5 2 7" xfId="5542"/>
    <cellStyle name="20% - 강조색5 2 8" xfId="5543"/>
    <cellStyle name="20% - 강조색5 2 9" xfId="5544"/>
    <cellStyle name="20% - 강조색5 20" xfId="1267"/>
    <cellStyle name="20% - 강조색5 20 2" xfId="1268"/>
    <cellStyle name="20% - 강조색5 20 3" xfId="1269"/>
    <cellStyle name="20% - 강조색5 20 4" xfId="5545"/>
    <cellStyle name="20% - 강조색5 21" xfId="1270"/>
    <cellStyle name="20% - 강조색5 21 2" xfId="1271"/>
    <cellStyle name="20% - 강조색5 21 3" xfId="1272"/>
    <cellStyle name="20% - 강조색5 21 4" xfId="5546"/>
    <cellStyle name="20% - 강조색5 22" xfId="1273"/>
    <cellStyle name="20% - 강조색5 22 2" xfId="1274"/>
    <cellStyle name="20% - 강조색5 22 3" xfId="1275"/>
    <cellStyle name="20% - 강조색5 22 4" xfId="5547"/>
    <cellStyle name="20% - 강조색5 23" xfId="1276"/>
    <cellStyle name="20% - 강조색5 23 2" xfId="1277"/>
    <cellStyle name="20% - 강조색5 23 3" xfId="1278"/>
    <cellStyle name="20% - 강조색5 23 4" xfId="5548"/>
    <cellStyle name="20% - 강조색5 24" xfId="1279"/>
    <cellStyle name="20% - 강조색5 24 2" xfId="1280"/>
    <cellStyle name="20% - 강조색5 24 3" xfId="1281"/>
    <cellStyle name="20% - 강조색5 24 4" xfId="5549"/>
    <cellStyle name="20% - 강조색5 25" xfId="1282"/>
    <cellStyle name="20% - 강조색5 25 2" xfId="1283"/>
    <cellStyle name="20% - 강조색5 25 3" xfId="1284"/>
    <cellStyle name="20% - 강조색5 25 4" xfId="5550"/>
    <cellStyle name="20% - 강조색5 26" xfId="1285"/>
    <cellStyle name="20% - 강조색5 26 2" xfId="1286"/>
    <cellStyle name="20% - 강조색5 26 3" xfId="1287"/>
    <cellStyle name="20% - 강조색5 26 4" xfId="5551"/>
    <cellStyle name="20% - 강조색5 27" xfId="1288"/>
    <cellStyle name="20% - 강조색5 27 2" xfId="1289"/>
    <cellStyle name="20% - 강조색5 27 3" xfId="1290"/>
    <cellStyle name="20% - 강조색5 27 4" xfId="5552"/>
    <cellStyle name="20% - 강조색5 28" xfId="1291"/>
    <cellStyle name="20% - 강조색5 28 2" xfId="1292"/>
    <cellStyle name="20% - 강조색5 28 3" xfId="1293"/>
    <cellStyle name="20% - 강조색5 28 4" xfId="5553"/>
    <cellStyle name="20% - 강조색5 29" xfId="1294"/>
    <cellStyle name="20% - 강조색5 29 2" xfId="1295"/>
    <cellStyle name="20% - 강조색5 29 3" xfId="1296"/>
    <cellStyle name="20% - 강조색5 29 4" xfId="5554"/>
    <cellStyle name="20% - 강조색5 3" xfId="1297"/>
    <cellStyle name="20% - 강조색5 3 10" xfId="5555"/>
    <cellStyle name="20% - 강조색5 3 11" xfId="5556"/>
    <cellStyle name="20% - 강조색5 3 12" xfId="5557"/>
    <cellStyle name="20% - 강조색5 3 13" xfId="5558"/>
    <cellStyle name="20% - 강조색5 3 14" xfId="5559"/>
    <cellStyle name="20% - 강조색5 3 2" xfId="1298"/>
    <cellStyle name="20% - 강조색5 3 2 2" xfId="1299"/>
    <cellStyle name="20% - 강조색5 3 2 2 2" xfId="1300"/>
    <cellStyle name="20% - 강조색5 3 2 2 3" xfId="1301"/>
    <cellStyle name="20% - 강조색5 3 2 2 4" xfId="5560"/>
    <cellStyle name="20% - 강조색5 3 2 3" xfId="1302"/>
    <cellStyle name="20% - 강조색5 3 2 3 2" xfId="1303"/>
    <cellStyle name="20% - 강조색5 3 2 3 3" xfId="1304"/>
    <cellStyle name="20% - 강조색5 3 2 4" xfId="1305"/>
    <cellStyle name="20% - 강조색5 3 2 5" xfId="1306"/>
    <cellStyle name="20% - 강조색5 3 2 6" xfId="5561"/>
    <cellStyle name="20% - 강조색5 3 3" xfId="1307"/>
    <cellStyle name="20% - 강조색5 3 3 2" xfId="1308"/>
    <cellStyle name="20% - 강조색5 3 3 2 2" xfId="1309"/>
    <cellStyle name="20% - 강조색5 3 3 2 3" xfId="1310"/>
    <cellStyle name="20% - 강조색5 3 3 3" xfId="1311"/>
    <cellStyle name="20% - 강조색5 3 3 3 2" xfId="1312"/>
    <cellStyle name="20% - 강조색5 3 3 3 3" xfId="1313"/>
    <cellStyle name="20% - 강조색5 3 3 4" xfId="1314"/>
    <cellStyle name="20% - 강조색5 3 3 5" xfId="1315"/>
    <cellStyle name="20% - 강조색5 3 3 6" xfId="5562"/>
    <cellStyle name="20% - 강조색5 3 4" xfId="1316"/>
    <cellStyle name="20% - 강조색5 3 4 2" xfId="1317"/>
    <cellStyle name="20% - 강조색5 3 4 3" xfId="1318"/>
    <cellStyle name="20% - 강조색5 3 4 4" xfId="5563"/>
    <cellStyle name="20% - 강조색5 3 5" xfId="1319"/>
    <cellStyle name="20% - 강조색5 3 5 2" xfId="1320"/>
    <cellStyle name="20% - 강조색5 3 5 3" xfId="1321"/>
    <cellStyle name="20% - 강조색5 3 5 4" xfId="5564"/>
    <cellStyle name="20% - 강조색5 3 6" xfId="1322"/>
    <cellStyle name="20% - 강조색5 3 6 2" xfId="5565"/>
    <cellStyle name="20% - 강조색5 3 7" xfId="1323"/>
    <cellStyle name="20% - 강조색5 3 7 2" xfId="5566"/>
    <cellStyle name="20% - 강조색5 3 8" xfId="5567"/>
    <cellStyle name="20% - 강조색5 3 9" xfId="5568"/>
    <cellStyle name="20% - 강조색5 30" xfId="1324"/>
    <cellStyle name="20% - 강조색5 30 2" xfId="1325"/>
    <cellStyle name="20% - 강조색5 30 3" xfId="5569"/>
    <cellStyle name="20% - 강조색5 31" xfId="1326"/>
    <cellStyle name="20% - 강조색5 31 2" xfId="5570"/>
    <cellStyle name="20% - 강조색5 32" xfId="1327"/>
    <cellStyle name="20% - 강조색5 32 2" xfId="5571"/>
    <cellStyle name="20% - 강조색5 33" xfId="1328"/>
    <cellStyle name="20% - 강조색5 34" xfId="1329"/>
    <cellStyle name="20% - 강조색5 35" xfId="1330"/>
    <cellStyle name="20% - 강조색5 36" xfId="1331"/>
    <cellStyle name="20% - 강조색5 37" xfId="1332"/>
    <cellStyle name="20% - 강조색5 38" xfId="1333"/>
    <cellStyle name="20% - 강조색5 4" xfId="1334"/>
    <cellStyle name="20% - 강조색5 4 10" xfId="5572"/>
    <cellStyle name="20% - 강조색5 4 11" xfId="5573"/>
    <cellStyle name="20% - 강조색5 4 12" xfId="5574"/>
    <cellStyle name="20% - 강조색5 4 13" xfId="5575"/>
    <cellStyle name="20% - 강조색5 4 14" xfId="5576"/>
    <cellStyle name="20% - 강조색5 4 2" xfId="1335"/>
    <cellStyle name="20% - 강조색5 4 2 2" xfId="1336"/>
    <cellStyle name="20% - 강조색5 4 2 2 2" xfId="1337"/>
    <cellStyle name="20% - 강조색5 4 2 2 3" xfId="1338"/>
    <cellStyle name="20% - 강조색5 4 2 2 4" xfId="5577"/>
    <cellStyle name="20% - 강조색5 4 2 3" xfId="1339"/>
    <cellStyle name="20% - 강조색5 4 2 3 2" xfId="1340"/>
    <cellStyle name="20% - 강조색5 4 2 3 3" xfId="1341"/>
    <cellStyle name="20% - 강조색5 4 2 4" xfId="1342"/>
    <cellStyle name="20% - 강조색5 4 2 5" xfId="1343"/>
    <cellStyle name="20% - 강조색5 4 2 6" xfId="5578"/>
    <cellStyle name="20% - 강조색5 4 3" xfId="1344"/>
    <cellStyle name="20% - 강조색5 4 3 2" xfId="1345"/>
    <cellStyle name="20% - 강조색5 4 3 2 2" xfId="1346"/>
    <cellStyle name="20% - 강조색5 4 3 2 3" xfId="1347"/>
    <cellStyle name="20% - 강조색5 4 3 3" xfId="1348"/>
    <cellStyle name="20% - 강조색5 4 3 3 2" xfId="1349"/>
    <cellStyle name="20% - 강조색5 4 3 3 3" xfId="1350"/>
    <cellStyle name="20% - 강조색5 4 3 4" xfId="1351"/>
    <cellStyle name="20% - 강조색5 4 3 5" xfId="1352"/>
    <cellStyle name="20% - 강조색5 4 3 6" xfId="5579"/>
    <cellStyle name="20% - 강조색5 4 4" xfId="1353"/>
    <cellStyle name="20% - 강조색5 4 4 2" xfId="1354"/>
    <cellStyle name="20% - 강조색5 4 4 3" xfId="1355"/>
    <cellStyle name="20% - 강조색5 4 4 4" xfId="5580"/>
    <cellStyle name="20% - 강조색5 4 5" xfId="1356"/>
    <cellStyle name="20% - 강조색5 4 5 2" xfId="1357"/>
    <cellStyle name="20% - 강조색5 4 5 3" xfId="1358"/>
    <cellStyle name="20% - 강조색5 4 5 4" xfId="5581"/>
    <cellStyle name="20% - 강조색5 4 6" xfId="1359"/>
    <cellStyle name="20% - 강조색5 4 6 2" xfId="5582"/>
    <cellStyle name="20% - 강조색5 4 7" xfId="1360"/>
    <cellStyle name="20% - 강조색5 4 7 2" xfId="5583"/>
    <cellStyle name="20% - 강조색5 4 8" xfId="5584"/>
    <cellStyle name="20% - 강조색5 4 9" xfId="5585"/>
    <cellStyle name="20% - 강조색5 5" xfId="1361"/>
    <cellStyle name="20% - 강조색5 5 10" xfId="5586"/>
    <cellStyle name="20% - 강조색5 5 11" xfId="5587"/>
    <cellStyle name="20% - 강조색5 5 12" xfId="5588"/>
    <cellStyle name="20% - 강조색5 5 13" xfId="5589"/>
    <cellStyle name="20% - 강조색5 5 14" xfId="5590"/>
    <cellStyle name="20% - 강조색5 5 2" xfId="1362"/>
    <cellStyle name="20% - 강조색5 5 2 2" xfId="1363"/>
    <cellStyle name="20% - 강조색5 5 2 2 2" xfId="1364"/>
    <cellStyle name="20% - 강조색5 5 2 2 3" xfId="1365"/>
    <cellStyle name="20% - 강조색5 5 2 2 4" xfId="5591"/>
    <cellStyle name="20% - 강조색5 5 2 3" xfId="1366"/>
    <cellStyle name="20% - 강조색5 5 2 3 2" xfId="1367"/>
    <cellStyle name="20% - 강조색5 5 2 3 3" xfId="1368"/>
    <cellStyle name="20% - 강조색5 5 2 4" xfId="1369"/>
    <cellStyle name="20% - 강조색5 5 2 5" xfId="1370"/>
    <cellStyle name="20% - 강조색5 5 2 6" xfId="5592"/>
    <cellStyle name="20% - 강조색5 5 3" xfId="1371"/>
    <cellStyle name="20% - 강조색5 5 3 2" xfId="1372"/>
    <cellStyle name="20% - 강조색5 5 3 2 2" xfId="1373"/>
    <cellStyle name="20% - 강조색5 5 3 2 3" xfId="1374"/>
    <cellStyle name="20% - 강조색5 5 3 3" xfId="1375"/>
    <cellStyle name="20% - 강조색5 5 3 3 2" xfId="1376"/>
    <cellStyle name="20% - 강조색5 5 3 3 3" xfId="1377"/>
    <cellStyle name="20% - 강조색5 5 3 4" xfId="1378"/>
    <cellStyle name="20% - 강조색5 5 3 5" xfId="1379"/>
    <cellStyle name="20% - 강조색5 5 3 6" xfId="5593"/>
    <cellStyle name="20% - 강조색5 5 4" xfId="1380"/>
    <cellStyle name="20% - 강조색5 5 4 2" xfId="1381"/>
    <cellStyle name="20% - 강조색5 5 4 3" xfId="1382"/>
    <cellStyle name="20% - 강조색5 5 4 4" xfId="5594"/>
    <cellStyle name="20% - 강조색5 5 5" xfId="1383"/>
    <cellStyle name="20% - 강조색5 5 5 2" xfId="1384"/>
    <cellStyle name="20% - 강조색5 5 5 3" xfId="1385"/>
    <cellStyle name="20% - 강조색5 5 5 4" xfId="5595"/>
    <cellStyle name="20% - 강조색5 5 6" xfId="1386"/>
    <cellStyle name="20% - 강조색5 5 6 2" xfId="5596"/>
    <cellStyle name="20% - 강조색5 5 7" xfId="1387"/>
    <cellStyle name="20% - 강조색5 5 7 2" xfId="5597"/>
    <cellStyle name="20% - 강조색5 5 8" xfId="5598"/>
    <cellStyle name="20% - 강조색5 5 9" xfId="5599"/>
    <cellStyle name="20% - 강조색5 6" xfId="1388"/>
    <cellStyle name="20% - 강조색5 6 10" xfId="5600"/>
    <cellStyle name="20% - 강조색5 6 11" xfId="5601"/>
    <cellStyle name="20% - 강조색5 6 12" xfId="5602"/>
    <cellStyle name="20% - 강조색5 6 13" xfId="5603"/>
    <cellStyle name="20% - 강조색5 6 14" xfId="5604"/>
    <cellStyle name="20% - 강조색5 6 2" xfId="1389"/>
    <cellStyle name="20% - 강조색5 6 2 2" xfId="1390"/>
    <cellStyle name="20% - 강조색5 6 2 2 2" xfId="1391"/>
    <cellStyle name="20% - 강조색5 6 2 2 3" xfId="1392"/>
    <cellStyle name="20% - 강조색5 6 2 2 4" xfId="5605"/>
    <cellStyle name="20% - 강조색5 6 2 3" xfId="1393"/>
    <cellStyle name="20% - 강조색5 6 2 3 2" xfId="1394"/>
    <cellStyle name="20% - 강조색5 6 2 3 3" xfId="1395"/>
    <cellStyle name="20% - 강조색5 6 2 4" xfId="1396"/>
    <cellStyle name="20% - 강조색5 6 2 5" xfId="1397"/>
    <cellStyle name="20% - 강조색5 6 2 6" xfId="5606"/>
    <cellStyle name="20% - 강조색5 6 3" xfId="1398"/>
    <cellStyle name="20% - 강조색5 6 3 2" xfId="1399"/>
    <cellStyle name="20% - 강조색5 6 3 2 2" xfId="1400"/>
    <cellStyle name="20% - 강조색5 6 3 2 3" xfId="1401"/>
    <cellStyle name="20% - 강조색5 6 3 3" xfId="1402"/>
    <cellStyle name="20% - 강조색5 6 3 3 2" xfId="1403"/>
    <cellStyle name="20% - 강조색5 6 3 3 3" xfId="1404"/>
    <cellStyle name="20% - 강조색5 6 3 4" xfId="1405"/>
    <cellStyle name="20% - 강조색5 6 3 5" xfId="1406"/>
    <cellStyle name="20% - 강조색5 6 3 6" xfId="5607"/>
    <cellStyle name="20% - 강조색5 6 4" xfId="1407"/>
    <cellStyle name="20% - 강조색5 6 4 2" xfId="1408"/>
    <cellStyle name="20% - 강조색5 6 4 3" xfId="1409"/>
    <cellStyle name="20% - 강조색5 6 4 4" xfId="5608"/>
    <cellStyle name="20% - 강조색5 6 5" xfId="1410"/>
    <cellStyle name="20% - 강조색5 6 5 2" xfId="1411"/>
    <cellStyle name="20% - 강조색5 6 5 3" xfId="1412"/>
    <cellStyle name="20% - 강조색5 6 5 4" xfId="5609"/>
    <cellStyle name="20% - 강조색5 6 6" xfId="1413"/>
    <cellStyle name="20% - 강조색5 6 6 2" xfId="5610"/>
    <cellStyle name="20% - 강조색5 6 7" xfId="1414"/>
    <cellStyle name="20% - 강조색5 6 7 2" xfId="5611"/>
    <cellStyle name="20% - 강조색5 6 8" xfId="5612"/>
    <cellStyle name="20% - 강조색5 6 9" xfId="5613"/>
    <cellStyle name="20% - 강조색5 7" xfId="1415"/>
    <cellStyle name="20% - 강조색5 7 10" xfId="5614"/>
    <cellStyle name="20% - 강조색5 7 11" xfId="5615"/>
    <cellStyle name="20% - 강조색5 7 12" xfId="5616"/>
    <cellStyle name="20% - 강조색5 7 13" xfId="5617"/>
    <cellStyle name="20% - 강조색5 7 14" xfId="5618"/>
    <cellStyle name="20% - 강조색5 7 2" xfId="1416"/>
    <cellStyle name="20% - 강조색5 7 2 2" xfId="1417"/>
    <cellStyle name="20% - 강조색5 7 2 2 2" xfId="1418"/>
    <cellStyle name="20% - 강조색5 7 2 2 3" xfId="1419"/>
    <cellStyle name="20% - 강조색5 7 2 2 4" xfId="5619"/>
    <cellStyle name="20% - 강조색5 7 2 3" xfId="1420"/>
    <cellStyle name="20% - 강조색5 7 2 3 2" xfId="1421"/>
    <cellStyle name="20% - 강조색5 7 2 3 3" xfId="1422"/>
    <cellStyle name="20% - 강조색5 7 2 4" xfId="1423"/>
    <cellStyle name="20% - 강조색5 7 2 5" xfId="1424"/>
    <cellStyle name="20% - 강조색5 7 2 6" xfId="5620"/>
    <cellStyle name="20% - 강조색5 7 3" xfId="1425"/>
    <cellStyle name="20% - 강조색5 7 3 2" xfId="1426"/>
    <cellStyle name="20% - 강조색5 7 3 2 2" xfId="1427"/>
    <cellStyle name="20% - 강조색5 7 3 2 3" xfId="1428"/>
    <cellStyle name="20% - 강조색5 7 3 3" xfId="1429"/>
    <cellStyle name="20% - 강조색5 7 3 3 2" xfId="1430"/>
    <cellStyle name="20% - 강조색5 7 3 3 3" xfId="1431"/>
    <cellStyle name="20% - 강조색5 7 3 4" xfId="1432"/>
    <cellStyle name="20% - 강조색5 7 3 5" xfId="1433"/>
    <cellStyle name="20% - 강조색5 7 3 6" xfId="5621"/>
    <cellStyle name="20% - 강조색5 7 4" xfId="1434"/>
    <cellStyle name="20% - 강조색5 7 4 2" xfId="1435"/>
    <cellStyle name="20% - 강조색5 7 4 3" xfId="1436"/>
    <cellStyle name="20% - 강조색5 7 4 4" xfId="5622"/>
    <cellStyle name="20% - 강조색5 7 5" xfId="1437"/>
    <cellStyle name="20% - 강조색5 7 5 2" xfId="1438"/>
    <cellStyle name="20% - 강조색5 7 5 3" xfId="1439"/>
    <cellStyle name="20% - 강조색5 7 5 4" xfId="5623"/>
    <cellStyle name="20% - 강조색5 7 6" xfId="1440"/>
    <cellStyle name="20% - 강조색5 7 6 2" xfId="5624"/>
    <cellStyle name="20% - 강조색5 7 7" xfId="1441"/>
    <cellStyle name="20% - 강조색5 7 7 2" xfId="5625"/>
    <cellStyle name="20% - 강조색5 7 8" xfId="5626"/>
    <cellStyle name="20% - 강조색5 7 9" xfId="5627"/>
    <cellStyle name="20% - 강조색5 8" xfId="1442"/>
    <cellStyle name="20% - 강조색5 8 10" xfId="5628"/>
    <cellStyle name="20% - 강조색5 8 11" xfId="5629"/>
    <cellStyle name="20% - 강조색5 8 12" xfId="5630"/>
    <cellStyle name="20% - 강조색5 8 13" xfId="5631"/>
    <cellStyle name="20% - 강조색5 8 14" xfId="5632"/>
    <cellStyle name="20% - 강조색5 8 2" xfId="1443"/>
    <cellStyle name="20% - 강조색5 8 2 2" xfId="1444"/>
    <cellStyle name="20% - 강조색5 8 2 2 2" xfId="1445"/>
    <cellStyle name="20% - 강조색5 8 2 2 3" xfId="1446"/>
    <cellStyle name="20% - 강조색5 8 2 2 4" xfId="5633"/>
    <cellStyle name="20% - 강조색5 8 2 3" xfId="1447"/>
    <cellStyle name="20% - 강조색5 8 2 3 2" xfId="1448"/>
    <cellStyle name="20% - 강조색5 8 2 3 3" xfId="1449"/>
    <cellStyle name="20% - 강조색5 8 2 4" xfId="1450"/>
    <cellStyle name="20% - 강조색5 8 2 5" xfId="1451"/>
    <cellStyle name="20% - 강조색5 8 2 6" xfId="5634"/>
    <cellStyle name="20% - 강조색5 8 3" xfId="1452"/>
    <cellStyle name="20% - 강조색5 8 3 2" xfId="1453"/>
    <cellStyle name="20% - 강조색5 8 3 2 2" xfId="1454"/>
    <cellStyle name="20% - 강조색5 8 3 2 3" xfId="1455"/>
    <cellStyle name="20% - 강조색5 8 3 3" xfId="1456"/>
    <cellStyle name="20% - 강조색5 8 3 3 2" xfId="1457"/>
    <cellStyle name="20% - 강조색5 8 3 3 3" xfId="1458"/>
    <cellStyle name="20% - 강조색5 8 3 4" xfId="1459"/>
    <cellStyle name="20% - 강조색5 8 3 5" xfId="1460"/>
    <cellStyle name="20% - 강조색5 8 3 6" xfId="5635"/>
    <cellStyle name="20% - 강조색5 8 4" xfId="1461"/>
    <cellStyle name="20% - 강조색5 8 4 2" xfId="1462"/>
    <cellStyle name="20% - 강조색5 8 4 3" xfId="1463"/>
    <cellStyle name="20% - 강조색5 8 4 4" xfId="5636"/>
    <cellStyle name="20% - 강조색5 8 5" xfId="1464"/>
    <cellStyle name="20% - 강조색5 8 5 2" xfId="1465"/>
    <cellStyle name="20% - 강조색5 8 5 3" xfId="1466"/>
    <cellStyle name="20% - 강조색5 8 5 4" xfId="5637"/>
    <cellStyle name="20% - 강조색5 8 6" xfId="1467"/>
    <cellStyle name="20% - 강조색5 8 6 2" xfId="5638"/>
    <cellStyle name="20% - 강조색5 8 7" xfId="1468"/>
    <cellStyle name="20% - 강조색5 8 7 2" xfId="5639"/>
    <cellStyle name="20% - 강조색5 8 8" xfId="5640"/>
    <cellStyle name="20% - 강조색5 8 9" xfId="5641"/>
    <cellStyle name="20% - 강조색5 9" xfId="1469"/>
    <cellStyle name="20% - 강조색5 9 10" xfId="5642"/>
    <cellStyle name="20% - 강조색5 9 11" xfId="5643"/>
    <cellStyle name="20% - 강조색5 9 12" xfId="5644"/>
    <cellStyle name="20% - 강조색5 9 13" xfId="5645"/>
    <cellStyle name="20% - 강조색5 9 14" xfId="5646"/>
    <cellStyle name="20% - 강조색5 9 2" xfId="1470"/>
    <cellStyle name="20% - 강조색5 9 2 2" xfId="1471"/>
    <cellStyle name="20% - 강조색5 9 2 2 2" xfId="5647"/>
    <cellStyle name="20% - 강조색5 9 2 3" xfId="1472"/>
    <cellStyle name="20% - 강조색5 9 2 4" xfId="5648"/>
    <cellStyle name="20% - 강조색5 9 3" xfId="1473"/>
    <cellStyle name="20% - 강조색5 9 3 2" xfId="1474"/>
    <cellStyle name="20% - 강조색5 9 3 3" xfId="1475"/>
    <cellStyle name="20% - 강조색5 9 3 4" xfId="5649"/>
    <cellStyle name="20% - 강조색5 9 4" xfId="1476"/>
    <cellStyle name="20% - 강조색5 9 4 2" xfId="5650"/>
    <cellStyle name="20% - 강조색5 9 5" xfId="1477"/>
    <cellStyle name="20% - 강조색5 9 5 2" xfId="5651"/>
    <cellStyle name="20% - 강조색5 9 6" xfId="5652"/>
    <cellStyle name="20% - 강조색5 9 7" xfId="5653"/>
    <cellStyle name="20% - 강조색5 9 8" xfId="5654"/>
    <cellStyle name="20% - 강조색5 9 9" xfId="5655"/>
    <cellStyle name="20% - 강조색6" xfId="4334" builtinId="50" customBuiltin="1"/>
    <cellStyle name="20% - 강조색6 10" xfId="1478"/>
    <cellStyle name="20% - 강조색6 10 10" xfId="5656"/>
    <cellStyle name="20% - 강조색6 10 11" xfId="5657"/>
    <cellStyle name="20% - 강조색6 10 12" xfId="5658"/>
    <cellStyle name="20% - 강조색6 10 13" xfId="5659"/>
    <cellStyle name="20% - 강조색6 10 14" xfId="5660"/>
    <cellStyle name="20% - 강조색6 10 2" xfId="1479"/>
    <cellStyle name="20% - 강조색6 10 2 2" xfId="1480"/>
    <cellStyle name="20% - 강조색6 10 2 2 2" xfId="5661"/>
    <cellStyle name="20% - 강조색6 10 2 3" xfId="1481"/>
    <cellStyle name="20% - 강조색6 10 2 4" xfId="5662"/>
    <cellStyle name="20% - 강조색6 10 3" xfId="1482"/>
    <cellStyle name="20% - 강조색6 10 3 2" xfId="1483"/>
    <cellStyle name="20% - 강조색6 10 3 3" xfId="1484"/>
    <cellStyle name="20% - 강조색6 10 3 4" xfId="5663"/>
    <cellStyle name="20% - 강조색6 10 4" xfId="1485"/>
    <cellStyle name="20% - 강조색6 10 4 2" xfId="5664"/>
    <cellStyle name="20% - 강조색6 10 5" xfId="1486"/>
    <cellStyle name="20% - 강조색6 10 5 2" xfId="5665"/>
    <cellStyle name="20% - 강조색6 10 6" xfId="5666"/>
    <cellStyle name="20% - 강조색6 10 7" xfId="5667"/>
    <cellStyle name="20% - 강조색6 10 8" xfId="5668"/>
    <cellStyle name="20% - 강조색6 10 9" xfId="5669"/>
    <cellStyle name="20% - 강조색6 11" xfId="1487"/>
    <cellStyle name="20% - 강조색6 11 10" xfId="5670"/>
    <cellStyle name="20% - 강조색6 11 11" xfId="5671"/>
    <cellStyle name="20% - 강조색6 11 12" xfId="5672"/>
    <cellStyle name="20% - 강조색6 11 13" xfId="5673"/>
    <cellStyle name="20% - 강조색6 11 14" xfId="5674"/>
    <cellStyle name="20% - 강조색6 11 2" xfId="1488"/>
    <cellStyle name="20% - 강조색6 11 2 2" xfId="1489"/>
    <cellStyle name="20% - 강조색6 11 2 2 2" xfId="5675"/>
    <cellStyle name="20% - 강조색6 11 2 3" xfId="1490"/>
    <cellStyle name="20% - 강조색6 11 2 4" xfId="5676"/>
    <cellStyle name="20% - 강조색6 11 3" xfId="1491"/>
    <cellStyle name="20% - 강조색6 11 3 2" xfId="1492"/>
    <cellStyle name="20% - 강조색6 11 3 3" xfId="1493"/>
    <cellStyle name="20% - 강조색6 11 3 4" xfId="5677"/>
    <cellStyle name="20% - 강조색6 11 4" xfId="1494"/>
    <cellStyle name="20% - 강조색6 11 4 2" xfId="5678"/>
    <cellStyle name="20% - 강조색6 11 5" xfId="1495"/>
    <cellStyle name="20% - 강조색6 11 5 2" xfId="5679"/>
    <cellStyle name="20% - 강조색6 11 6" xfId="5680"/>
    <cellStyle name="20% - 강조색6 11 7" xfId="5681"/>
    <cellStyle name="20% - 강조색6 11 8" xfId="5682"/>
    <cellStyle name="20% - 강조색6 11 9" xfId="5683"/>
    <cellStyle name="20% - 강조색6 12" xfId="1496"/>
    <cellStyle name="20% - 강조색6 12 10" xfId="5684"/>
    <cellStyle name="20% - 강조색6 12 11" xfId="5685"/>
    <cellStyle name="20% - 강조색6 12 12" xfId="5686"/>
    <cellStyle name="20% - 강조색6 12 13" xfId="5687"/>
    <cellStyle name="20% - 강조색6 12 14" xfId="5688"/>
    <cellStyle name="20% - 강조색6 12 2" xfId="1497"/>
    <cellStyle name="20% - 강조색6 12 2 2" xfId="1498"/>
    <cellStyle name="20% - 강조색6 12 2 2 2" xfId="5689"/>
    <cellStyle name="20% - 강조색6 12 2 3" xfId="1499"/>
    <cellStyle name="20% - 강조색6 12 2 4" xfId="5690"/>
    <cellStyle name="20% - 강조색6 12 3" xfId="1500"/>
    <cellStyle name="20% - 강조색6 12 3 2" xfId="1501"/>
    <cellStyle name="20% - 강조색6 12 3 3" xfId="1502"/>
    <cellStyle name="20% - 강조색6 12 3 4" xfId="5691"/>
    <cellStyle name="20% - 강조색6 12 4" xfId="1503"/>
    <cellStyle name="20% - 강조색6 12 4 2" xfId="5692"/>
    <cellStyle name="20% - 강조색6 12 5" xfId="1504"/>
    <cellStyle name="20% - 강조색6 12 5 2" xfId="5693"/>
    <cellStyle name="20% - 강조색6 12 6" xfId="5694"/>
    <cellStyle name="20% - 강조색6 12 7" xfId="5695"/>
    <cellStyle name="20% - 강조색6 12 8" xfId="5696"/>
    <cellStyle name="20% - 강조색6 12 9" xfId="5697"/>
    <cellStyle name="20% - 강조색6 13" xfId="1505"/>
    <cellStyle name="20% - 강조색6 13 10" xfId="5698"/>
    <cellStyle name="20% - 강조색6 13 11" xfId="5699"/>
    <cellStyle name="20% - 강조색6 13 12" xfId="5700"/>
    <cellStyle name="20% - 강조색6 13 13" xfId="5701"/>
    <cellStyle name="20% - 강조색6 13 14" xfId="5702"/>
    <cellStyle name="20% - 강조색6 13 2" xfId="1506"/>
    <cellStyle name="20% - 강조색6 13 2 2" xfId="1507"/>
    <cellStyle name="20% - 강조색6 13 2 2 2" xfId="5703"/>
    <cellStyle name="20% - 강조색6 13 2 3" xfId="1508"/>
    <cellStyle name="20% - 강조색6 13 2 4" xfId="5704"/>
    <cellStyle name="20% - 강조색6 13 3" xfId="1509"/>
    <cellStyle name="20% - 강조색6 13 3 2" xfId="1510"/>
    <cellStyle name="20% - 강조색6 13 3 3" xfId="1511"/>
    <cellStyle name="20% - 강조색6 13 3 4" xfId="5705"/>
    <cellStyle name="20% - 강조색6 13 4" xfId="1512"/>
    <cellStyle name="20% - 강조색6 13 4 2" xfId="5706"/>
    <cellStyle name="20% - 강조색6 13 5" xfId="1513"/>
    <cellStyle name="20% - 강조색6 13 5 2" xfId="5707"/>
    <cellStyle name="20% - 강조색6 13 6" xfId="5708"/>
    <cellStyle name="20% - 강조색6 13 7" xfId="5709"/>
    <cellStyle name="20% - 강조색6 13 8" xfId="5710"/>
    <cellStyle name="20% - 강조색6 13 9" xfId="5711"/>
    <cellStyle name="20% - 강조색6 14" xfId="1514"/>
    <cellStyle name="20% - 강조색6 14 10" xfId="5712"/>
    <cellStyle name="20% - 강조색6 14 11" xfId="5713"/>
    <cellStyle name="20% - 강조색6 14 12" xfId="5714"/>
    <cellStyle name="20% - 강조색6 14 13" xfId="5715"/>
    <cellStyle name="20% - 강조색6 14 14" xfId="5716"/>
    <cellStyle name="20% - 강조색6 14 2" xfId="1515"/>
    <cellStyle name="20% - 강조색6 14 2 2" xfId="1516"/>
    <cellStyle name="20% - 강조색6 14 2 2 2" xfId="5717"/>
    <cellStyle name="20% - 강조색6 14 2 3" xfId="1517"/>
    <cellStyle name="20% - 강조색6 14 2 4" xfId="5718"/>
    <cellStyle name="20% - 강조색6 14 3" xfId="1518"/>
    <cellStyle name="20% - 강조색6 14 3 2" xfId="1519"/>
    <cellStyle name="20% - 강조색6 14 3 3" xfId="1520"/>
    <cellStyle name="20% - 강조색6 14 3 4" xfId="5719"/>
    <cellStyle name="20% - 강조색6 14 4" xfId="1521"/>
    <cellStyle name="20% - 강조색6 14 4 2" xfId="5720"/>
    <cellStyle name="20% - 강조색6 14 5" xfId="1522"/>
    <cellStyle name="20% - 강조색6 14 5 2" xfId="5721"/>
    <cellStyle name="20% - 강조색6 14 6" xfId="5722"/>
    <cellStyle name="20% - 강조색6 14 7" xfId="5723"/>
    <cellStyle name="20% - 강조색6 14 8" xfId="5724"/>
    <cellStyle name="20% - 강조색6 14 9" xfId="5725"/>
    <cellStyle name="20% - 강조색6 15" xfId="1523"/>
    <cellStyle name="20% - 강조색6 15 10" xfId="5726"/>
    <cellStyle name="20% - 강조색6 15 11" xfId="5727"/>
    <cellStyle name="20% - 강조색6 15 12" xfId="5728"/>
    <cellStyle name="20% - 강조색6 15 13" xfId="5729"/>
    <cellStyle name="20% - 강조색6 15 14" xfId="5730"/>
    <cellStyle name="20% - 강조색6 15 2" xfId="1524"/>
    <cellStyle name="20% - 강조색6 15 2 2" xfId="1525"/>
    <cellStyle name="20% - 강조색6 15 2 2 2" xfId="5731"/>
    <cellStyle name="20% - 강조색6 15 2 3" xfId="1526"/>
    <cellStyle name="20% - 강조색6 15 2 4" xfId="5732"/>
    <cellStyle name="20% - 강조색6 15 3" xfId="1527"/>
    <cellStyle name="20% - 강조색6 15 3 2" xfId="1528"/>
    <cellStyle name="20% - 강조색6 15 3 3" xfId="1529"/>
    <cellStyle name="20% - 강조색6 15 3 4" xfId="5733"/>
    <cellStyle name="20% - 강조색6 15 4" xfId="1530"/>
    <cellStyle name="20% - 강조색6 15 4 2" xfId="5734"/>
    <cellStyle name="20% - 강조색6 15 5" xfId="1531"/>
    <cellStyle name="20% - 강조색6 15 5 2" xfId="5735"/>
    <cellStyle name="20% - 강조색6 15 6" xfId="5736"/>
    <cellStyle name="20% - 강조색6 15 7" xfId="5737"/>
    <cellStyle name="20% - 강조색6 15 8" xfId="5738"/>
    <cellStyle name="20% - 강조색6 15 9" xfId="5739"/>
    <cellStyle name="20% - 강조색6 16" xfId="1532"/>
    <cellStyle name="20% - 강조색6 16 10" xfId="5740"/>
    <cellStyle name="20% - 강조색6 16 11" xfId="5741"/>
    <cellStyle name="20% - 강조색6 16 12" xfId="5742"/>
    <cellStyle name="20% - 강조색6 16 13" xfId="5743"/>
    <cellStyle name="20% - 강조색6 16 14" xfId="5744"/>
    <cellStyle name="20% - 강조색6 16 2" xfId="1533"/>
    <cellStyle name="20% - 강조색6 16 2 2" xfId="1534"/>
    <cellStyle name="20% - 강조색6 16 2 2 2" xfId="5745"/>
    <cellStyle name="20% - 강조색6 16 2 3" xfId="1535"/>
    <cellStyle name="20% - 강조색6 16 2 4" xfId="5746"/>
    <cellStyle name="20% - 강조색6 16 3" xfId="1536"/>
    <cellStyle name="20% - 강조색6 16 3 2" xfId="1537"/>
    <cellStyle name="20% - 강조색6 16 3 3" xfId="1538"/>
    <cellStyle name="20% - 강조색6 16 3 4" xfId="5747"/>
    <cellStyle name="20% - 강조색6 16 4" xfId="1539"/>
    <cellStyle name="20% - 강조색6 16 4 2" xfId="5748"/>
    <cellStyle name="20% - 강조색6 16 5" xfId="1540"/>
    <cellStyle name="20% - 강조색6 16 5 2" xfId="5749"/>
    <cellStyle name="20% - 강조색6 16 6" xfId="5750"/>
    <cellStyle name="20% - 강조색6 16 7" xfId="5751"/>
    <cellStyle name="20% - 강조색6 16 8" xfId="5752"/>
    <cellStyle name="20% - 강조색6 16 9" xfId="5753"/>
    <cellStyle name="20% - 강조색6 17" xfId="1541"/>
    <cellStyle name="20% - 강조색6 17 10" xfId="5754"/>
    <cellStyle name="20% - 강조색6 17 11" xfId="5755"/>
    <cellStyle name="20% - 강조색6 17 12" xfId="5756"/>
    <cellStyle name="20% - 강조색6 17 13" xfId="5757"/>
    <cellStyle name="20% - 강조색6 17 14" xfId="5758"/>
    <cellStyle name="20% - 강조색6 17 2" xfId="1542"/>
    <cellStyle name="20% - 강조색6 17 2 2" xfId="1543"/>
    <cellStyle name="20% - 강조색6 17 2 3" xfId="1544"/>
    <cellStyle name="20% - 강조색6 17 2 4" xfId="5759"/>
    <cellStyle name="20% - 강조색6 17 3" xfId="1545"/>
    <cellStyle name="20% - 강조색6 17 3 2" xfId="5760"/>
    <cellStyle name="20% - 강조색6 17 4" xfId="1546"/>
    <cellStyle name="20% - 강조색6 17 4 2" xfId="5761"/>
    <cellStyle name="20% - 강조색6 17 5" xfId="5762"/>
    <cellStyle name="20% - 강조색6 17 6" xfId="5763"/>
    <cellStyle name="20% - 강조색6 17 7" xfId="5764"/>
    <cellStyle name="20% - 강조색6 17 8" xfId="5765"/>
    <cellStyle name="20% - 강조색6 17 9" xfId="5766"/>
    <cellStyle name="20% - 강조색6 18" xfId="1547"/>
    <cellStyle name="20% - 강조색6 18 10" xfId="5767"/>
    <cellStyle name="20% - 강조색6 18 11" xfId="5768"/>
    <cellStyle name="20% - 강조색6 18 12" xfId="5769"/>
    <cellStyle name="20% - 강조색6 18 13" xfId="5770"/>
    <cellStyle name="20% - 강조색6 18 14" xfId="5771"/>
    <cellStyle name="20% - 강조색6 18 2" xfId="1548"/>
    <cellStyle name="20% - 강조색6 18 2 2" xfId="1549"/>
    <cellStyle name="20% - 강조색6 18 2 3" xfId="1550"/>
    <cellStyle name="20% - 강조색6 18 2 4" xfId="5772"/>
    <cellStyle name="20% - 강조색6 18 3" xfId="1551"/>
    <cellStyle name="20% - 강조색6 18 3 2" xfId="5773"/>
    <cellStyle name="20% - 강조색6 18 4" xfId="1552"/>
    <cellStyle name="20% - 강조색6 18 4 2" xfId="5774"/>
    <cellStyle name="20% - 강조색6 18 5" xfId="5775"/>
    <cellStyle name="20% - 강조색6 18 6" xfId="5776"/>
    <cellStyle name="20% - 강조색6 18 7" xfId="5777"/>
    <cellStyle name="20% - 강조색6 18 8" xfId="5778"/>
    <cellStyle name="20% - 강조색6 18 9" xfId="5779"/>
    <cellStyle name="20% - 강조색6 19" xfId="1553"/>
    <cellStyle name="20% - 강조색6 19 10" xfId="5780"/>
    <cellStyle name="20% - 강조색6 19 11" xfId="5781"/>
    <cellStyle name="20% - 강조색6 19 12" xfId="5782"/>
    <cellStyle name="20% - 강조색6 19 13" xfId="5783"/>
    <cellStyle name="20% - 강조색6 19 14" xfId="5784"/>
    <cellStyle name="20% - 강조색6 19 2" xfId="1554"/>
    <cellStyle name="20% - 강조색6 19 2 2" xfId="1555"/>
    <cellStyle name="20% - 강조색6 19 2 3" xfId="1556"/>
    <cellStyle name="20% - 강조색6 19 2 4" xfId="5785"/>
    <cellStyle name="20% - 강조색6 19 3" xfId="1557"/>
    <cellStyle name="20% - 강조색6 19 3 2" xfId="5786"/>
    <cellStyle name="20% - 강조색6 19 4" xfId="1558"/>
    <cellStyle name="20% - 강조색6 19 4 2" xfId="5787"/>
    <cellStyle name="20% - 강조색6 19 5" xfId="5788"/>
    <cellStyle name="20% - 강조색6 19 6" xfId="5789"/>
    <cellStyle name="20% - 강조색6 19 7" xfId="5790"/>
    <cellStyle name="20% - 강조색6 19 8" xfId="5791"/>
    <cellStyle name="20% - 강조색6 19 9" xfId="5792"/>
    <cellStyle name="20% - 강조색6 2" xfId="1559"/>
    <cellStyle name="20% - 강조색6 2 10" xfId="5793"/>
    <cellStyle name="20% - 강조색6 2 11" xfId="5794"/>
    <cellStyle name="20% - 강조색6 2 12" xfId="5795"/>
    <cellStyle name="20% - 강조색6 2 13" xfId="5796"/>
    <cellStyle name="20% - 강조색6 2 2" xfId="5797"/>
    <cellStyle name="20% - 강조색6 2 2 2" xfId="5798"/>
    <cellStyle name="20% - 강조색6 2 3" xfId="5799"/>
    <cellStyle name="20% - 강조색6 2 3 2" xfId="5800"/>
    <cellStyle name="20% - 강조색6 2 4" xfId="5801"/>
    <cellStyle name="20% - 강조색6 2 4 2" xfId="5802"/>
    <cellStyle name="20% - 강조색6 2 5" xfId="5803"/>
    <cellStyle name="20% - 강조색6 2 6" xfId="5804"/>
    <cellStyle name="20% - 강조색6 2 7" xfId="5805"/>
    <cellStyle name="20% - 강조색6 2 8" xfId="5806"/>
    <cellStyle name="20% - 강조색6 2 9" xfId="5807"/>
    <cellStyle name="20% - 강조색6 20" xfId="1560"/>
    <cellStyle name="20% - 강조색6 20 2" xfId="1561"/>
    <cellStyle name="20% - 강조색6 20 3" xfId="1562"/>
    <cellStyle name="20% - 강조색6 20 4" xfId="5808"/>
    <cellStyle name="20% - 강조색6 21" xfId="1563"/>
    <cellStyle name="20% - 강조색6 21 2" xfId="1564"/>
    <cellStyle name="20% - 강조색6 21 3" xfId="1565"/>
    <cellStyle name="20% - 강조색6 21 4" xfId="5809"/>
    <cellStyle name="20% - 강조색6 22" xfId="1566"/>
    <cellStyle name="20% - 강조색6 22 2" xfId="1567"/>
    <cellStyle name="20% - 강조색6 22 3" xfId="1568"/>
    <cellStyle name="20% - 강조색6 22 4" xfId="5810"/>
    <cellStyle name="20% - 강조색6 23" xfId="1569"/>
    <cellStyle name="20% - 강조색6 23 2" xfId="1570"/>
    <cellStyle name="20% - 강조색6 23 3" xfId="1571"/>
    <cellStyle name="20% - 강조색6 23 4" xfId="5811"/>
    <cellStyle name="20% - 강조색6 24" xfId="1572"/>
    <cellStyle name="20% - 강조색6 24 2" xfId="1573"/>
    <cellStyle name="20% - 강조색6 24 3" xfId="1574"/>
    <cellStyle name="20% - 강조색6 24 4" xfId="5812"/>
    <cellStyle name="20% - 강조색6 25" xfId="1575"/>
    <cellStyle name="20% - 강조색6 25 2" xfId="1576"/>
    <cellStyle name="20% - 강조색6 25 3" xfId="1577"/>
    <cellStyle name="20% - 강조색6 25 4" xfId="5813"/>
    <cellStyle name="20% - 강조색6 26" xfId="1578"/>
    <cellStyle name="20% - 강조색6 26 2" xfId="1579"/>
    <cellStyle name="20% - 강조색6 26 3" xfId="1580"/>
    <cellStyle name="20% - 강조색6 26 4" xfId="5814"/>
    <cellStyle name="20% - 강조색6 27" xfId="1581"/>
    <cellStyle name="20% - 강조색6 27 2" xfId="1582"/>
    <cellStyle name="20% - 강조색6 27 3" xfId="1583"/>
    <cellStyle name="20% - 강조색6 27 4" xfId="5815"/>
    <cellStyle name="20% - 강조색6 28" xfId="1584"/>
    <cellStyle name="20% - 강조색6 28 2" xfId="1585"/>
    <cellStyle name="20% - 강조색6 28 3" xfId="1586"/>
    <cellStyle name="20% - 강조색6 28 4" xfId="5816"/>
    <cellStyle name="20% - 강조색6 29" xfId="1587"/>
    <cellStyle name="20% - 강조색6 29 2" xfId="1588"/>
    <cellStyle name="20% - 강조색6 29 3" xfId="1589"/>
    <cellStyle name="20% - 강조색6 29 4" xfId="5817"/>
    <cellStyle name="20% - 강조색6 3" xfId="1590"/>
    <cellStyle name="20% - 강조색6 3 10" xfId="5818"/>
    <cellStyle name="20% - 강조색6 3 11" xfId="5819"/>
    <cellStyle name="20% - 강조색6 3 12" xfId="5820"/>
    <cellStyle name="20% - 강조색6 3 13" xfId="5821"/>
    <cellStyle name="20% - 강조색6 3 14" xfId="5822"/>
    <cellStyle name="20% - 강조색6 3 2" xfId="1591"/>
    <cellStyle name="20% - 강조색6 3 2 2" xfId="1592"/>
    <cellStyle name="20% - 강조색6 3 2 2 2" xfId="1593"/>
    <cellStyle name="20% - 강조색6 3 2 2 3" xfId="1594"/>
    <cellStyle name="20% - 강조색6 3 2 2 4" xfId="5823"/>
    <cellStyle name="20% - 강조색6 3 2 3" xfId="1595"/>
    <cellStyle name="20% - 강조색6 3 2 3 2" xfId="1596"/>
    <cellStyle name="20% - 강조색6 3 2 3 3" xfId="1597"/>
    <cellStyle name="20% - 강조색6 3 2 4" xfId="1598"/>
    <cellStyle name="20% - 강조색6 3 2 5" xfId="1599"/>
    <cellStyle name="20% - 강조색6 3 2 6" xfId="5824"/>
    <cellStyle name="20% - 강조색6 3 3" xfId="1600"/>
    <cellStyle name="20% - 강조색6 3 3 2" xfId="1601"/>
    <cellStyle name="20% - 강조색6 3 3 2 2" xfId="1602"/>
    <cellStyle name="20% - 강조색6 3 3 2 3" xfId="1603"/>
    <cellStyle name="20% - 강조색6 3 3 3" xfId="1604"/>
    <cellStyle name="20% - 강조색6 3 3 3 2" xfId="1605"/>
    <cellStyle name="20% - 강조색6 3 3 3 3" xfId="1606"/>
    <cellStyle name="20% - 강조색6 3 3 4" xfId="1607"/>
    <cellStyle name="20% - 강조색6 3 3 5" xfId="1608"/>
    <cellStyle name="20% - 강조색6 3 3 6" xfId="5825"/>
    <cellStyle name="20% - 강조색6 3 4" xfId="1609"/>
    <cellStyle name="20% - 강조색6 3 4 2" xfId="1610"/>
    <cellStyle name="20% - 강조색6 3 4 3" xfId="1611"/>
    <cellStyle name="20% - 강조색6 3 4 4" xfId="5826"/>
    <cellStyle name="20% - 강조색6 3 5" xfId="1612"/>
    <cellStyle name="20% - 강조색6 3 5 2" xfId="1613"/>
    <cellStyle name="20% - 강조색6 3 5 3" xfId="1614"/>
    <cellStyle name="20% - 강조색6 3 5 4" xfId="5827"/>
    <cellStyle name="20% - 강조색6 3 6" xfId="1615"/>
    <cellStyle name="20% - 강조색6 3 6 2" xfId="5828"/>
    <cellStyle name="20% - 강조색6 3 7" xfId="1616"/>
    <cellStyle name="20% - 강조색6 3 7 2" xfId="5829"/>
    <cellStyle name="20% - 강조색6 3 8" xfId="5830"/>
    <cellStyle name="20% - 강조색6 3 9" xfId="5831"/>
    <cellStyle name="20% - 강조색6 30" xfId="1617"/>
    <cellStyle name="20% - 강조색6 30 2" xfId="1618"/>
    <cellStyle name="20% - 강조색6 30 3" xfId="5832"/>
    <cellStyle name="20% - 강조색6 31" xfId="1619"/>
    <cellStyle name="20% - 강조색6 31 2" xfId="5833"/>
    <cellStyle name="20% - 강조색6 32" xfId="1620"/>
    <cellStyle name="20% - 강조색6 32 2" xfId="5834"/>
    <cellStyle name="20% - 강조색6 33" xfId="1621"/>
    <cellStyle name="20% - 강조색6 34" xfId="1622"/>
    <cellStyle name="20% - 강조색6 35" xfId="1623"/>
    <cellStyle name="20% - 강조색6 36" xfId="1624"/>
    <cellStyle name="20% - 강조색6 37" xfId="1625"/>
    <cellStyle name="20% - 강조색6 38" xfId="1626"/>
    <cellStyle name="20% - 강조색6 4" xfId="1627"/>
    <cellStyle name="20% - 강조색6 4 10" xfId="5835"/>
    <cellStyle name="20% - 강조색6 4 11" xfId="5836"/>
    <cellStyle name="20% - 강조색6 4 12" xfId="5837"/>
    <cellStyle name="20% - 강조색6 4 13" xfId="5838"/>
    <cellStyle name="20% - 강조색6 4 14" xfId="5839"/>
    <cellStyle name="20% - 강조색6 4 2" xfId="1628"/>
    <cellStyle name="20% - 강조색6 4 2 2" xfId="1629"/>
    <cellStyle name="20% - 강조색6 4 2 2 2" xfId="1630"/>
    <cellStyle name="20% - 강조색6 4 2 2 3" xfId="1631"/>
    <cellStyle name="20% - 강조색6 4 2 2 4" xfId="5840"/>
    <cellStyle name="20% - 강조색6 4 2 3" xfId="1632"/>
    <cellStyle name="20% - 강조색6 4 2 3 2" xfId="1633"/>
    <cellStyle name="20% - 강조색6 4 2 3 3" xfId="1634"/>
    <cellStyle name="20% - 강조색6 4 2 4" xfId="1635"/>
    <cellStyle name="20% - 강조색6 4 2 5" xfId="1636"/>
    <cellStyle name="20% - 강조색6 4 2 6" xfId="5841"/>
    <cellStyle name="20% - 강조색6 4 3" xfId="1637"/>
    <cellStyle name="20% - 강조색6 4 3 2" xfId="1638"/>
    <cellStyle name="20% - 강조색6 4 3 2 2" xfId="1639"/>
    <cellStyle name="20% - 강조색6 4 3 2 3" xfId="1640"/>
    <cellStyle name="20% - 강조색6 4 3 3" xfId="1641"/>
    <cellStyle name="20% - 강조색6 4 3 3 2" xfId="1642"/>
    <cellStyle name="20% - 강조색6 4 3 3 3" xfId="1643"/>
    <cellStyle name="20% - 강조색6 4 3 4" xfId="1644"/>
    <cellStyle name="20% - 강조색6 4 3 5" xfId="1645"/>
    <cellStyle name="20% - 강조색6 4 3 6" xfId="5842"/>
    <cellStyle name="20% - 강조색6 4 4" xfId="1646"/>
    <cellStyle name="20% - 강조색6 4 4 2" xfId="1647"/>
    <cellStyle name="20% - 강조색6 4 4 3" xfId="1648"/>
    <cellStyle name="20% - 강조색6 4 4 4" xfId="5843"/>
    <cellStyle name="20% - 강조색6 4 5" xfId="1649"/>
    <cellStyle name="20% - 강조색6 4 5 2" xfId="1650"/>
    <cellStyle name="20% - 강조색6 4 5 3" xfId="1651"/>
    <cellStyle name="20% - 강조색6 4 5 4" xfId="5844"/>
    <cellStyle name="20% - 강조색6 4 6" xfId="1652"/>
    <cellStyle name="20% - 강조색6 4 6 2" xfId="5845"/>
    <cellStyle name="20% - 강조색6 4 7" xfId="1653"/>
    <cellStyle name="20% - 강조색6 4 7 2" xfId="5846"/>
    <cellStyle name="20% - 강조색6 4 8" xfId="5847"/>
    <cellStyle name="20% - 강조색6 4 9" xfId="5848"/>
    <cellStyle name="20% - 강조색6 5" xfId="1654"/>
    <cellStyle name="20% - 강조색6 5 10" xfId="5849"/>
    <cellStyle name="20% - 강조색6 5 11" xfId="5850"/>
    <cellStyle name="20% - 강조색6 5 12" xfId="5851"/>
    <cellStyle name="20% - 강조색6 5 13" xfId="5852"/>
    <cellStyle name="20% - 강조색6 5 14" xfId="5853"/>
    <cellStyle name="20% - 강조색6 5 2" xfId="1655"/>
    <cellStyle name="20% - 강조색6 5 2 2" xfId="1656"/>
    <cellStyle name="20% - 강조색6 5 2 2 2" xfId="1657"/>
    <cellStyle name="20% - 강조색6 5 2 2 3" xfId="1658"/>
    <cellStyle name="20% - 강조색6 5 2 2 4" xfId="5854"/>
    <cellStyle name="20% - 강조색6 5 2 3" xfId="1659"/>
    <cellStyle name="20% - 강조색6 5 2 3 2" xfId="1660"/>
    <cellStyle name="20% - 강조색6 5 2 3 3" xfId="1661"/>
    <cellStyle name="20% - 강조색6 5 2 4" xfId="1662"/>
    <cellStyle name="20% - 강조색6 5 2 5" xfId="1663"/>
    <cellStyle name="20% - 강조색6 5 2 6" xfId="5855"/>
    <cellStyle name="20% - 강조색6 5 3" xfId="1664"/>
    <cellStyle name="20% - 강조색6 5 3 2" xfId="1665"/>
    <cellStyle name="20% - 강조색6 5 3 2 2" xfId="1666"/>
    <cellStyle name="20% - 강조색6 5 3 2 3" xfId="1667"/>
    <cellStyle name="20% - 강조색6 5 3 3" xfId="1668"/>
    <cellStyle name="20% - 강조색6 5 3 3 2" xfId="1669"/>
    <cellStyle name="20% - 강조색6 5 3 3 3" xfId="1670"/>
    <cellStyle name="20% - 강조색6 5 3 4" xfId="1671"/>
    <cellStyle name="20% - 강조색6 5 3 5" xfId="1672"/>
    <cellStyle name="20% - 강조색6 5 3 6" xfId="5856"/>
    <cellStyle name="20% - 강조색6 5 4" xfId="1673"/>
    <cellStyle name="20% - 강조색6 5 4 2" xfId="1674"/>
    <cellStyle name="20% - 강조색6 5 4 3" xfId="1675"/>
    <cellStyle name="20% - 강조색6 5 4 4" xfId="5857"/>
    <cellStyle name="20% - 강조색6 5 5" xfId="1676"/>
    <cellStyle name="20% - 강조색6 5 5 2" xfId="1677"/>
    <cellStyle name="20% - 강조색6 5 5 3" xfId="1678"/>
    <cellStyle name="20% - 강조색6 5 5 4" xfId="5858"/>
    <cellStyle name="20% - 강조색6 5 6" xfId="1679"/>
    <cellStyle name="20% - 강조색6 5 6 2" xfId="5859"/>
    <cellStyle name="20% - 강조색6 5 7" xfId="1680"/>
    <cellStyle name="20% - 강조색6 5 7 2" xfId="5860"/>
    <cellStyle name="20% - 강조색6 5 8" xfId="5861"/>
    <cellStyle name="20% - 강조색6 5 9" xfId="5862"/>
    <cellStyle name="20% - 강조색6 6" xfId="1681"/>
    <cellStyle name="20% - 강조색6 6 10" xfId="5863"/>
    <cellStyle name="20% - 강조색6 6 11" xfId="5864"/>
    <cellStyle name="20% - 강조색6 6 12" xfId="5865"/>
    <cellStyle name="20% - 강조색6 6 13" xfId="5866"/>
    <cellStyle name="20% - 강조색6 6 14" xfId="5867"/>
    <cellStyle name="20% - 강조색6 6 2" xfId="1682"/>
    <cellStyle name="20% - 강조색6 6 2 2" xfId="1683"/>
    <cellStyle name="20% - 강조색6 6 2 2 2" xfId="1684"/>
    <cellStyle name="20% - 강조색6 6 2 2 3" xfId="1685"/>
    <cellStyle name="20% - 강조색6 6 2 2 4" xfId="5868"/>
    <cellStyle name="20% - 강조색6 6 2 3" xfId="1686"/>
    <cellStyle name="20% - 강조색6 6 2 3 2" xfId="1687"/>
    <cellStyle name="20% - 강조색6 6 2 3 3" xfId="1688"/>
    <cellStyle name="20% - 강조색6 6 2 4" xfId="1689"/>
    <cellStyle name="20% - 강조색6 6 2 5" xfId="1690"/>
    <cellStyle name="20% - 강조색6 6 2 6" xfId="5869"/>
    <cellStyle name="20% - 강조색6 6 3" xfId="1691"/>
    <cellStyle name="20% - 강조색6 6 3 2" xfId="1692"/>
    <cellStyle name="20% - 강조색6 6 3 2 2" xfId="1693"/>
    <cellStyle name="20% - 강조색6 6 3 2 3" xfId="1694"/>
    <cellStyle name="20% - 강조색6 6 3 3" xfId="1695"/>
    <cellStyle name="20% - 강조색6 6 3 3 2" xfId="1696"/>
    <cellStyle name="20% - 강조색6 6 3 3 3" xfId="1697"/>
    <cellStyle name="20% - 강조색6 6 3 4" xfId="1698"/>
    <cellStyle name="20% - 강조색6 6 3 5" xfId="1699"/>
    <cellStyle name="20% - 강조색6 6 3 6" xfId="5870"/>
    <cellStyle name="20% - 강조색6 6 4" xfId="1700"/>
    <cellStyle name="20% - 강조색6 6 4 2" xfId="1701"/>
    <cellStyle name="20% - 강조색6 6 4 3" xfId="1702"/>
    <cellStyle name="20% - 강조색6 6 4 4" xfId="5871"/>
    <cellStyle name="20% - 강조색6 6 5" xfId="1703"/>
    <cellStyle name="20% - 강조색6 6 5 2" xfId="1704"/>
    <cellStyle name="20% - 강조색6 6 5 3" xfId="1705"/>
    <cellStyle name="20% - 강조색6 6 5 4" xfId="5872"/>
    <cellStyle name="20% - 강조색6 6 6" xfId="1706"/>
    <cellStyle name="20% - 강조색6 6 6 2" xfId="5873"/>
    <cellStyle name="20% - 강조색6 6 7" xfId="1707"/>
    <cellStyle name="20% - 강조색6 6 7 2" xfId="5874"/>
    <cellStyle name="20% - 강조색6 6 8" xfId="5875"/>
    <cellStyle name="20% - 강조색6 6 9" xfId="5876"/>
    <cellStyle name="20% - 강조색6 7" xfId="1708"/>
    <cellStyle name="20% - 강조색6 7 10" xfId="5877"/>
    <cellStyle name="20% - 강조색6 7 11" xfId="5878"/>
    <cellStyle name="20% - 강조색6 7 12" xfId="5879"/>
    <cellStyle name="20% - 강조색6 7 13" xfId="5880"/>
    <cellStyle name="20% - 강조색6 7 14" xfId="5881"/>
    <cellStyle name="20% - 강조색6 7 2" xfId="1709"/>
    <cellStyle name="20% - 강조색6 7 2 2" xfId="1710"/>
    <cellStyle name="20% - 강조색6 7 2 2 2" xfId="1711"/>
    <cellStyle name="20% - 강조색6 7 2 2 3" xfId="1712"/>
    <cellStyle name="20% - 강조색6 7 2 2 4" xfId="5882"/>
    <cellStyle name="20% - 강조색6 7 2 3" xfId="1713"/>
    <cellStyle name="20% - 강조색6 7 2 3 2" xfId="1714"/>
    <cellStyle name="20% - 강조색6 7 2 3 3" xfId="1715"/>
    <cellStyle name="20% - 강조색6 7 2 4" xfId="1716"/>
    <cellStyle name="20% - 강조색6 7 2 5" xfId="1717"/>
    <cellStyle name="20% - 강조색6 7 2 6" xfId="5883"/>
    <cellStyle name="20% - 강조색6 7 3" xfId="1718"/>
    <cellStyle name="20% - 강조색6 7 3 2" xfId="1719"/>
    <cellStyle name="20% - 강조색6 7 3 2 2" xfId="1720"/>
    <cellStyle name="20% - 강조색6 7 3 2 3" xfId="1721"/>
    <cellStyle name="20% - 강조색6 7 3 3" xfId="1722"/>
    <cellStyle name="20% - 강조색6 7 3 3 2" xfId="1723"/>
    <cellStyle name="20% - 강조색6 7 3 3 3" xfId="1724"/>
    <cellStyle name="20% - 강조색6 7 3 4" xfId="1725"/>
    <cellStyle name="20% - 강조색6 7 3 5" xfId="1726"/>
    <cellStyle name="20% - 강조색6 7 3 6" xfId="5884"/>
    <cellStyle name="20% - 강조색6 7 4" xfId="1727"/>
    <cellStyle name="20% - 강조색6 7 4 2" xfId="1728"/>
    <cellStyle name="20% - 강조색6 7 4 3" xfId="1729"/>
    <cellStyle name="20% - 강조색6 7 4 4" xfId="5885"/>
    <cellStyle name="20% - 강조색6 7 5" xfId="1730"/>
    <cellStyle name="20% - 강조색6 7 5 2" xfId="1731"/>
    <cellStyle name="20% - 강조색6 7 5 3" xfId="1732"/>
    <cellStyle name="20% - 강조색6 7 5 4" xfId="5886"/>
    <cellStyle name="20% - 강조색6 7 6" xfId="1733"/>
    <cellStyle name="20% - 강조색6 7 6 2" xfId="5887"/>
    <cellStyle name="20% - 강조색6 7 7" xfId="1734"/>
    <cellStyle name="20% - 강조색6 7 7 2" xfId="5888"/>
    <cellStyle name="20% - 강조색6 7 8" xfId="5889"/>
    <cellStyle name="20% - 강조색6 7 9" xfId="5890"/>
    <cellStyle name="20% - 강조색6 8" xfId="1735"/>
    <cellStyle name="20% - 강조색6 8 10" xfId="5891"/>
    <cellStyle name="20% - 강조색6 8 11" xfId="5892"/>
    <cellStyle name="20% - 강조색6 8 12" xfId="5893"/>
    <cellStyle name="20% - 강조색6 8 13" xfId="5894"/>
    <cellStyle name="20% - 강조색6 8 14" xfId="5895"/>
    <cellStyle name="20% - 강조색6 8 2" xfId="1736"/>
    <cellStyle name="20% - 강조색6 8 2 2" xfId="1737"/>
    <cellStyle name="20% - 강조색6 8 2 2 2" xfId="1738"/>
    <cellStyle name="20% - 강조색6 8 2 2 3" xfId="1739"/>
    <cellStyle name="20% - 강조색6 8 2 2 4" xfId="5896"/>
    <cellStyle name="20% - 강조색6 8 2 3" xfId="1740"/>
    <cellStyle name="20% - 강조색6 8 2 3 2" xfId="1741"/>
    <cellStyle name="20% - 강조색6 8 2 3 3" xfId="1742"/>
    <cellStyle name="20% - 강조색6 8 2 4" xfId="1743"/>
    <cellStyle name="20% - 강조색6 8 2 5" xfId="1744"/>
    <cellStyle name="20% - 강조색6 8 2 6" xfId="5897"/>
    <cellStyle name="20% - 강조색6 8 3" xfId="1745"/>
    <cellStyle name="20% - 강조색6 8 3 2" xfId="1746"/>
    <cellStyle name="20% - 강조색6 8 3 2 2" xfId="1747"/>
    <cellStyle name="20% - 강조색6 8 3 2 3" xfId="1748"/>
    <cellStyle name="20% - 강조색6 8 3 3" xfId="1749"/>
    <cellStyle name="20% - 강조색6 8 3 3 2" xfId="1750"/>
    <cellStyle name="20% - 강조색6 8 3 3 3" xfId="1751"/>
    <cellStyle name="20% - 강조색6 8 3 4" xfId="1752"/>
    <cellStyle name="20% - 강조색6 8 3 5" xfId="1753"/>
    <cellStyle name="20% - 강조색6 8 3 6" xfId="5898"/>
    <cellStyle name="20% - 강조색6 8 4" xfId="1754"/>
    <cellStyle name="20% - 강조색6 8 4 2" xfId="1755"/>
    <cellStyle name="20% - 강조색6 8 4 3" xfId="1756"/>
    <cellStyle name="20% - 강조색6 8 4 4" xfId="5899"/>
    <cellStyle name="20% - 강조색6 8 5" xfId="1757"/>
    <cellStyle name="20% - 강조색6 8 5 2" xfId="1758"/>
    <cellStyle name="20% - 강조색6 8 5 3" xfId="1759"/>
    <cellStyle name="20% - 강조색6 8 5 4" xfId="5900"/>
    <cellStyle name="20% - 강조색6 8 6" xfId="1760"/>
    <cellStyle name="20% - 강조색6 8 6 2" xfId="5901"/>
    <cellStyle name="20% - 강조색6 8 7" xfId="1761"/>
    <cellStyle name="20% - 강조색6 8 7 2" xfId="5902"/>
    <cellStyle name="20% - 강조색6 8 8" xfId="5903"/>
    <cellStyle name="20% - 강조색6 8 9" xfId="5904"/>
    <cellStyle name="20% - 강조색6 9" xfId="1762"/>
    <cellStyle name="20% - 강조색6 9 10" xfId="5905"/>
    <cellStyle name="20% - 강조색6 9 11" xfId="5906"/>
    <cellStyle name="20% - 강조색6 9 12" xfId="5907"/>
    <cellStyle name="20% - 강조색6 9 13" xfId="5908"/>
    <cellStyle name="20% - 강조색6 9 14" xfId="5909"/>
    <cellStyle name="20% - 강조색6 9 2" xfId="1763"/>
    <cellStyle name="20% - 강조색6 9 2 2" xfId="1764"/>
    <cellStyle name="20% - 강조색6 9 2 2 2" xfId="5910"/>
    <cellStyle name="20% - 강조색6 9 2 3" xfId="1765"/>
    <cellStyle name="20% - 강조색6 9 2 4" xfId="5911"/>
    <cellStyle name="20% - 강조색6 9 3" xfId="1766"/>
    <cellStyle name="20% - 강조색6 9 3 2" xfId="1767"/>
    <cellStyle name="20% - 강조색6 9 3 3" xfId="1768"/>
    <cellStyle name="20% - 강조색6 9 3 4" xfId="5912"/>
    <cellStyle name="20% - 강조색6 9 4" xfId="1769"/>
    <cellStyle name="20% - 강조색6 9 4 2" xfId="5913"/>
    <cellStyle name="20% - 강조색6 9 5" xfId="1770"/>
    <cellStyle name="20% - 강조색6 9 5 2" xfId="5914"/>
    <cellStyle name="20% - 강조색6 9 6" xfId="5915"/>
    <cellStyle name="20% - 강조색6 9 7" xfId="5916"/>
    <cellStyle name="20% - 강조색6 9 8" xfId="5917"/>
    <cellStyle name="20% - 강조색6 9 9" xfId="5918"/>
    <cellStyle name="40% - 강조색1" xfId="4315" builtinId="31" customBuiltin="1"/>
    <cellStyle name="40% - 강조색1 10" xfId="1771"/>
    <cellStyle name="40% - 강조색1 10 10" xfId="5919"/>
    <cellStyle name="40% - 강조색1 10 11" xfId="5920"/>
    <cellStyle name="40% - 강조색1 10 12" xfId="5921"/>
    <cellStyle name="40% - 강조색1 10 13" xfId="5922"/>
    <cellStyle name="40% - 강조색1 10 14" xfId="5923"/>
    <cellStyle name="40% - 강조색1 10 2" xfId="1772"/>
    <cellStyle name="40% - 강조색1 10 2 2" xfId="1773"/>
    <cellStyle name="40% - 강조색1 10 2 2 2" xfId="5924"/>
    <cellStyle name="40% - 강조색1 10 2 3" xfId="1774"/>
    <cellStyle name="40% - 강조색1 10 2 4" xfId="5925"/>
    <cellStyle name="40% - 강조색1 10 3" xfId="1775"/>
    <cellStyle name="40% - 강조색1 10 3 2" xfId="1776"/>
    <cellStyle name="40% - 강조색1 10 3 3" xfId="1777"/>
    <cellStyle name="40% - 강조색1 10 3 4" xfId="5926"/>
    <cellStyle name="40% - 강조색1 10 4" xfId="1778"/>
    <cellStyle name="40% - 강조색1 10 4 2" xfId="5927"/>
    <cellStyle name="40% - 강조색1 10 5" xfId="1779"/>
    <cellStyle name="40% - 강조색1 10 5 2" xfId="5928"/>
    <cellStyle name="40% - 강조색1 10 6" xfId="5929"/>
    <cellStyle name="40% - 강조색1 10 7" xfId="5930"/>
    <cellStyle name="40% - 강조색1 10 8" xfId="5931"/>
    <cellStyle name="40% - 강조색1 10 9" xfId="5932"/>
    <cellStyle name="40% - 강조색1 11" xfId="1780"/>
    <cellStyle name="40% - 강조색1 11 10" xfId="5933"/>
    <cellStyle name="40% - 강조색1 11 11" xfId="5934"/>
    <cellStyle name="40% - 강조색1 11 12" xfId="5935"/>
    <cellStyle name="40% - 강조색1 11 13" xfId="5936"/>
    <cellStyle name="40% - 강조색1 11 14" xfId="5937"/>
    <cellStyle name="40% - 강조색1 11 2" xfId="1781"/>
    <cellStyle name="40% - 강조색1 11 2 2" xfId="1782"/>
    <cellStyle name="40% - 강조색1 11 2 2 2" xfId="5938"/>
    <cellStyle name="40% - 강조색1 11 2 3" xfId="1783"/>
    <cellStyle name="40% - 강조색1 11 2 4" xfId="5939"/>
    <cellStyle name="40% - 강조색1 11 3" xfId="1784"/>
    <cellStyle name="40% - 강조색1 11 3 2" xfId="1785"/>
    <cellStyle name="40% - 강조색1 11 3 3" xfId="1786"/>
    <cellStyle name="40% - 강조색1 11 3 4" xfId="5940"/>
    <cellStyle name="40% - 강조색1 11 4" xfId="1787"/>
    <cellStyle name="40% - 강조색1 11 4 2" xfId="5941"/>
    <cellStyle name="40% - 강조색1 11 5" xfId="1788"/>
    <cellStyle name="40% - 강조색1 11 5 2" xfId="5942"/>
    <cellStyle name="40% - 강조색1 11 6" xfId="5943"/>
    <cellStyle name="40% - 강조색1 11 7" xfId="5944"/>
    <cellStyle name="40% - 강조색1 11 8" xfId="5945"/>
    <cellStyle name="40% - 강조색1 11 9" xfId="5946"/>
    <cellStyle name="40% - 강조색1 12" xfId="1789"/>
    <cellStyle name="40% - 강조색1 12 10" xfId="5947"/>
    <cellStyle name="40% - 강조색1 12 11" xfId="5948"/>
    <cellStyle name="40% - 강조색1 12 12" xfId="5949"/>
    <cellStyle name="40% - 강조색1 12 13" xfId="5950"/>
    <cellStyle name="40% - 강조색1 12 14" xfId="5951"/>
    <cellStyle name="40% - 강조색1 12 2" xfId="1790"/>
    <cellStyle name="40% - 강조색1 12 2 2" xfId="1791"/>
    <cellStyle name="40% - 강조색1 12 2 2 2" xfId="5952"/>
    <cellStyle name="40% - 강조색1 12 2 3" xfId="1792"/>
    <cellStyle name="40% - 강조색1 12 2 4" xfId="5953"/>
    <cellStyle name="40% - 강조색1 12 3" xfId="1793"/>
    <cellStyle name="40% - 강조색1 12 3 2" xfId="1794"/>
    <cellStyle name="40% - 강조색1 12 3 3" xfId="1795"/>
    <cellStyle name="40% - 강조색1 12 3 4" xfId="5954"/>
    <cellStyle name="40% - 강조색1 12 4" xfId="1796"/>
    <cellStyle name="40% - 강조색1 12 4 2" xfId="5955"/>
    <cellStyle name="40% - 강조색1 12 5" xfId="1797"/>
    <cellStyle name="40% - 강조색1 12 5 2" xfId="5956"/>
    <cellStyle name="40% - 강조색1 12 6" xfId="5957"/>
    <cellStyle name="40% - 강조색1 12 7" xfId="5958"/>
    <cellStyle name="40% - 강조색1 12 8" xfId="5959"/>
    <cellStyle name="40% - 강조색1 12 9" xfId="5960"/>
    <cellStyle name="40% - 강조색1 13" xfId="1798"/>
    <cellStyle name="40% - 강조색1 13 10" xfId="5961"/>
    <cellStyle name="40% - 강조색1 13 11" xfId="5962"/>
    <cellStyle name="40% - 강조색1 13 12" xfId="5963"/>
    <cellStyle name="40% - 강조색1 13 13" xfId="5964"/>
    <cellStyle name="40% - 강조색1 13 14" xfId="5965"/>
    <cellStyle name="40% - 강조색1 13 2" xfId="1799"/>
    <cellStyle name="40% - 강조색1 13 2 2" xfId="1800"/>
    <cellStyle name="40% - 강조색1 13 2 2 2" xfId="5966"/>
    <cellStyle name="40% - 강조색1 13 2 3" xfId="1801"/>
    <cellStyle name="40% - 강조색1 13 2 4" xfId="5967"/>
    <cellStyle name="40% - 강조색1 13 3" xfId="1802"/>
    <cellStyle name="40% - 강조색1 13 3 2" xfId="1803"/>
    <cellStyle name="40% - 강조색1 13 3 3" xfId="1804"/>
    <cellStyle name="40% - 강조색1 13 3 4" xfId="5968"/>
    <cellStyle name="40% - 강조색1 13 4" xfId="1805"/>
    <cellStyle name="40% - 강조색1 13 4 2" xfId="5969"/>
    <cellStyle name="40% - 강조색1 13 5" xfId="1806"/>
    <cellStyle name="40% - 강조색1 13 5 2" xfId="5970"/>
    <cellStyle name="40% - 강조색1 13 6" xfId="5971"/>
    <cellStyle name="40% - 강조색1 13 7" xfId="5972"/>
    <cellStyle name="40% - 강조색1 13 8" xfId="5973"/>
    <cellStyle name="40% - 강조색1 13 9" xfId="5974"/>
    <cellStyle name="40% - 강조색1 14" xfId="1807"/>
    <cellStyle name="40% - 강조색1 14 10" xfId="5975"/>
    <cellStyle name="40% - 강조색1 14 11" xfId="5976"/>
    <cellStyle name="40% - 강조색1 14 12" xfId="5977"/>
    <cellStyle name="40% - 강조색1 14 13" xfId="5978"/>
    <cellStyle name="40% - 강조색1 14 14" xfId="5979"/>
    <cellStyle name="40% - 강조색1 14 2" xfId="1808"/>
    <cellStyle name="40% - 강조색1 14 2 2" xfId="1809"/>
    <cellStyle name="40% - 강조색1 14 2 2 2" xfId="5980"/>
    <cellStyle name="40% - 강조색1 14 2 3" xfId="1810"/>
    <cellStyle name="40% - 강조색1 14 2 4" xfId="5981"/>
    <cellStyle name="40% - 강조색1 14 3" xfId="1811"/>
    <cellStyle name="40% - 강조색1 14 3 2" xfId="1812"/>
    <cellStyle name="40% - 강조색1 14 3 3" xfId="1813"/>
    <cellStyle name="40% - 강조색1 14 3 4" xfId="5982"/>
    <cellStyle name="40% - 강조색1 14 4" xfId="1814"/>
    <cellStyle name="40% - 강조색1 14 4 2" xfId="5983"/>
    <cellStyle name="40% - 강조색1 14 5" xfId="1815"/>
    <cellStyle name="40% - 강조색1 14 5 2" xfId="5984"/>
    <cellStyle name="40% - 강조색1 14 6" xfId="5985"/>
    <cellStyle name="40% - 강조색1 14 7" xfId="5986"/>
    <cellStyle name="40% - 강조색1 14 8" xfId="5987"/>
    <cellStyle name="40% - 강조색1 14 9" xfId="5988"/>
    <cellStyle name="40% - 강조색1 15" xfId="1816"/>
    <cellStyle name="40% - 강조색1 15 10" xfId="5989"/>
    <cellStyle name="40% - 강조색1 15 11" xfId="5990"/>
    <cellStyle name="40% - 강조색1 15 12" xfId="5991"/>
    <cellStyle name="40% - 강조색1 15 13" xfId="5992"/>
    <cellStyle name="40% - 강조색1 15 14" xfId="5993"/>
    <cellStyle name="40% - 강조색1 15 2" xfId="1817"/>
    <cellStyle name="40% - 강조색1 15 2 2" xfId="1818"/>
    <cellStyle name="40% - 강조색1 15 2 2 2" xfId="5994"/>
    <cellStyle name="40% - 강조색1 15 2 3" xfId="1819"/>
    <cellStyle name="40% - 강조색1 15 2 4" xfId="5995"/>
    <cellStyle name="40% - 강조색1 15 3" xfId="1820"/>
    <cellStyle name="40% - 강조색1 15 3 2" xfId="1821"/>
    <cellStyle name="40% - 강조색1 15 3 3" xfId="1822"/>
    <cellStyle name="40% - 강조색1 15 3 4" xfId="5996"/>
    <cellStyle name="40% - 강조색1 15 4" xfId="1823"/>
    <cellStyle name="40% - 강조색1 15 4 2" xfId="5997"/>
    <cellStyle name="40% - 강조색1 15 5" xfId="1824"/>
    <cellStyle name="40% - 강조색1 15 5 2" xfId="5998"/>
    <cellStyle name="40% - 강조색1 15 6" xfId="5999"/>
    <cellStyle name="40% - 강조색1 15 7" xfId="6000"/>
    <cellStyle name="40% - 강조색1 15 8" xfId="6001"/>
    <cellStyle name="40% - 강조색1 15 9" xfId="6002"/>
    <cellStyle name="40% - 강조색1 16" xfId="1825"/>
    <cellStyle name="40% - 강조색1 16 10" xfId="6003"/>
    <cellStyle name="40% - 강조색1 16 11" xfId="6004"/>
    <cellStyle name="40% - 강조색1 16 12" xfId="6005"/>
    <cellStyle name="40% - 강조색1 16 13" xfId="6006"/>
    <cellStyle name="40% - 강조색1 16 14" xfId="6007"/>
    <cellStyle name="40% - 강조색1 16 2" xfId="1826"/>
    <cellStyle name="40% - 강조색1 16 2 2" xfId="1827"/>
    <cellStyle name="40% - 강조색1 16 2 2 2" xfId="6008"/>
    <cellStyle name="40% - 강조색1 16 2 3" xfId="1828"/>
    <cellStyle name="40% - 강조색1 16 2 4" xfId="6009"/>
    <cellStyle name="40% - 강조색1 16 3" xfId="1829"/>
    <cellStyle name="40% - 강조색1 16 3 2" xfId="1830"/>
    <cellStyle name="40% - 강조색1 16 3 3" xfId="1831"/>
    <cellStyle name="40% - 강조색1 16 3 4" xfId="6010"/>
    <cellStyle name="40% - 강조색1 16 4" xfId="1832"/>
    <cellStyle name="40% - 강조색1 16 4 2" xfId="6011"/>
    <cellStyle name="40% - 강조색1 16 5" xfId="1833"/>
    <cellStyle name="40% - 강조색1 16 5 2" xfId="6012"/>
    <cellStyle name="40% - 강조색1 16 6" xfId="6013"/>
    <cellStyle name="40% - 강조색1 16 7" xfId="6014"/>
    <cellStyle name="40% - 강조색1 16 8" xfId="6015"/>
    <cellStyle name="40% - 강조색1 16 9" xfId="6016"/>
    <cellStyle name="40% - 강조색1 17" xfId="1834"/>
    <cellStyle name="40% - 강조색1 17 10" xfId="6017"/>
    <cellStyle name="40% - 강조색1 17 11" xfId="6018"/>
    <cellStyle name="40% - 강조색1 17 12" xfId="6019"/>
    <cellStyle name="40% - 강조색1 17 13" xfId="6020"/>
    <cellStyle name="40% - 강조색1 17 14" xfId="6021"/>
    <cellStyle name="40% - 강조색1 17 2" xfId="1835"/>
    <cellStyle name="40% - 강조색1 17 2 2" xfId="1836"/>
    <cellStyle name="40% - 강조색1 17 2 3" xfId="1837"/>
    <cellStyle name="40% - 강조색1 17 2 4" xfId="6022"/>
    <cellStyle name="40% - 강조색1 17 3" xfId="1838"/>
    <cellStyle name="40% - 강조색1 17 3 2" xfId="6023"/>
    <cellStyle name="40% - 강조색1 17 4" xfId="1839"/>
    <cellStyle name="40% - 강조색1 17 4 2" xfId="6024"/>
    <cellStyle name="40% - 강조색1 17 5" xfId="6025"/>
    <cellStyle name="40% - 강조색1 17 6" xfId="6026"/>
    <cellStyle name="40% - 강조색1 17 7" xfId="6027"/>
    <cellStyle name="40% - 강조색1 17 8" xfId="6028"/>
    <cellStyle name="40% - 강조색1 17 9" xfId="6029"/>
    <cellStyle name="40% - 강조색1 18" xfId="1840"/>
    <cellStyle name="40% - 강조색1 18 10" xfId="6030"/>
    <cellStyle name="40% - 강조색1 18 11" xfId="6031"/>
    <cellStyle name="40% - 강조색1 18 12" xfId="6032"/>
    <cellStyle name="40% - 강조색1 18 13" xfId="6033"/>
    <cellStyle name="40% - 강조색1 18 14" xfId="6034"/>
    <cellStyle name="40% - 강조색1 18 2" xfId="1841"/>
    <cellStyle name="40% - 강조색1 18 2 2" xfId="1842"/>
    <cellStyle name="40% - 강조색1 18 2 3" xfId="1843"/>
    <cellStyle name="40% - 강조색1 18 2 4" xfId="6035"/>
    <cellStyle name="40% - 강조색1 18 3" xfId="1844"/>
    <cellStyle name="40% - 강조색1 18 3 2" xfId="6036"/>
    <cellStyle name="40% - 강조색1 18 4" xfId="1845"/>
    <cellStyle name="40% - 강조색1 18 4 2" xfId="6037"/>
    <cellStyle name="40% - 강조색1 18 5" xfId="6038"/>
    <cellStyle name="40% - 강조색1 18 6" xfId="6039"/>
    <cellStyle name="40% - 강조색1 18 7" xfId="6040"/>
    <cellStyle name="40% - 강조색1 18 8" xfId="6041"/>
    <cellStyle name="40% - 강조색1 18 9" xfId="6042"/>
    <cellStyle name="40% - 강조색1 19" xfId="1846"/>
    <cellStyle name="40% - 강조색1 19 10" xfId="6043"/>
    <cellStyle name="40% - 강조색1 19 11" xfId="6044"/>
    <cellStyle name="40% - 강조색1 19 12" xfId="6045"/>
    <cellStyle name="40% - 강조색1 19 13" xfId="6046"/>
    <cellStyle name="40% - 강조색1 19 14" xfId="6047"/>
    <cellStyle name="40% - 강조색1 19 2" xfId="1847"/>
    <cellStyle name="40% - 강조색1 19 2 2" xfId="1848"/>
    <cellStyle name="40% - 강조색1 19 2 3" xfId="1849"/>
    <cellStyle name="40% - 강조색1 19 2 4" xfId="6048"/>
    <cellStyle name="40% - 강조색1 19 3" xfId="1850"/>
    <cellStyle name="40% - 강조색1 19 3 2" xfId="6049"/>
    <cellStyle name="40% - 강조색1 19 4" xfId="1851"/>
    <cellStyle name="40% - 강조색1 19 4 2" xfId="6050"/>
    <cellStyle name="40% - 강조색1 19 5" xfId="6051"/>
    <cellStyle name="40% - 강조색1 19 6" xfId="6052"/>
    <cellStyle name="40% - 강조색1 19 7" xfId="6053"/>
    <cellStyle name="40% - 강조색1 19 8" xfId="6054"/>
    <cellStyle name="40% - 강조색1 19 9" xfId="6055"/>
    <cellStyle name="40% - 강조색1 2" xfId="1852"/>
    <cellStyle name="40% - 강조색1 2 10" xfId="6056"/>
    <cellStyle name="40% - 강조색1 2 11" xfId="6057"/>
    <cellStyle name="40% - 강조색1 2 12" xfId="6058"/>
    <cellStyle name="40% - 강조색1 2 13" xfId="6059"/>
    <cellStyle name="40% - 강조색1 2 2" xfId="6060"/>
    <cellStyle name="40% - 강조색1 2 2 2" xfId="6061"/>
    <cellStyle name="40% - 강조색1 2 3" xfId="6062"/>
    <cellStyle name="40% - 강조색1 2 3 2" xfId="6063"/>
    <cellStyle name="40% - 강조색1 2 4" xfId="6064"/>
    <cellStyle name="40% - 강조색1 2 4 2" xfId="6065"/>
    <cellStyle name="40% - 강조색1 2 5" xfId="6066"/>
    <cellStyle name="40% - 강조색1 2 6" xfId="6067"/>
    <cellStyle name="40% - 강조색1 2 7" xfId="6068"/>
    <cellStyle name="40% - 강조색1 2 8" xfId="6069"/>
    <cellStyle name="40% - 강조색1 2 9" xfId="6070"/>
    <cellStyle name="40% - 강조색1 20" xfId="1853"/>
    <cellStyle name="40% - 강조색1 20 2" xfId="1854"/>
    <cellStyle name="40% - 강조색1 20 3" xfId="1855"/>
    <cellStyle name="40% - 강조색1 20 4" xfId="6071"/>
    <cellStyle name="40% - 강조색1 21" xfId="1856"/>
    <cellStyle name="40% - 강조색1 21 2" xfId="1857"/>
    <cellStyle name="40% - 강조색1 21 3" xfId="1858"/>
    <cellStyle name="40% - 강조색1 21 4" xfId="6072"/>
    <cellStyle name="40% - 강조색1 22" xfId="1859"/>
    <cellStyle name="40% - 강조색1 22 2" xfId="1860"/>
    <cellStyle name="40% - 강조색1 22 3" xfId="1861"/>
    <cellStyle name="40% - 강조색1 22 4" xfId="6073"/>
    <cellStyle name="40% - 강조색1 23" xfId="1862"/>
    <cellStyle name="40% - 강조색1 23 2" xfId="1863"/>
    <cellStyle name="40% - 강조색1 23 3" xfId="1864"/>
    <cellStyle name="40% - 강조색1 23 4" xfId="6074"/>
    <cellStyle name="40% - 강조색1 24" xfId="1865"/>
    <cellStyle name="40% - 강조색1 24 2" xfId="1866"/>
    <cellStyle name="40% - 강조색1 24 3" xfId="1867"/>
    <cellStyle name="40% - 강조색1 24 4" xfId="6075"/>
    <cellStyle name="40% - 강조색1 25" xfId="1868"/>
    <cellStyle name="40% - 강조색1 25 2" xfId="1869"/>
    <cellStyle name="40% - 강조색1 25 3" xfId="1870"/>
    <cellStyle name="40% - 강조색1 25 4" xfId="6076"/>
    <cellStyle name="40% - 강조색1 26" xfId="1871"/>
    <cellStyle name="40% - 강조색1 26 2" xfId="1872"/>
    <cellStyle name="40% - 강조색1 26 3" xfId="1873"/>
    <cellStyle name="40% - 강조색1 26 4" xfId="6077"/>
    <cellStyle name="40% - 강조색1 27" xfId="1874"/>
    <cellStyle name="40% - 강조색1 27 2" xfId="1875"/>
    <cellStyle name="40% - 강조색1 27 3" xfId="1876"/>
    <cellStyle name="40% - 강조색1 27 4" xfId="6078"/>
    <cellStyle name="40% - 강조색1 28" xfId="1877"/>
    <cellStyle name="40% - 강조색1 28 2" xfId="1878"/>
    <cellStyle name="40% - 강조색1 28 3" xfId="1879"/>
    <cellStyle name="40% - 강조색1 28 4" xfId="6079"/>
    <cellStyle name="40% - 강조색1 29" xfId="1880"/>
    <cellStyle name="40% - 강조색1 29 2" xfId="1881"/>
    <cellStyle name="40% - 강조색1 29 3" xfId="1882"/>
    <cellStyle name="40% - 강조색1 29 4" xfId="6080"/>
    <cellStyle name="40% - 강조색1 3" xfId="1883"/>
    <cellStyle name="40% - 강조색1 3 10" xfId="6081"/>
    <cellStyle name="40% - 강조색1 3 11" xfId="6082"/>
    <cellStyle name="40% - 강조색1 3 12" xfId="6083"/>
    <cellStyle name="40% - 강조색1 3 13" xfId="6084"/>
    <cellStyle name="40% - 강조색1 3 14" xfId="6085"/>
    <cellStyle name="40% - 강조색1 3 2" xfId="1884"/>
    <cellStyle name="40% - 강조색1 3 2 2" xfId="1885"/>
    <cellStyle name="40% - 강조색1 3 2 2 2" xfId="1886"/>
    <cellStyle name="40% - 강조색1 3 2 2 3" xfId="1887"/>
    <cellStyle name="40% - 강조색1 3 2 2 4" xfId="6086"/>
    <cellStyle name="40% - 강조색1 3 2 3" xfId="1888"/>
    <cellStyle name="40% - 강조색1 3 2 3 2" xfId="1889"/>
    <cellStyle name="40% - 강조색1 3 2 3 3" xfId="1890"/>
    <cellStyle name="40% - 강조색1 3 2 4" xfId="1891"/>
    <cellStyle name="40% - 강조색1 3 2 5" xfId="1892"/>
    <cellStyle name="40% - 강조색1 3 2 6" xfId="6087"/>
    <cellStyle name="40% - 강조색1 3 3" xfId="1893"/>
    <cellStyle name="40% - 강조색1 3 3 2" xfId="1894"/>
    <cellStyle name="40% - 강조색1 3 3 2 2" xfId="1895"/>
    <cellStyle name="40% - 강조색1 3 3 2 3" xfId="1896"/>
    <cellStyle name="40% - 강조색1 3 3 3" xfId="1897"/>
    <cellStyle name="40% - 강조색1 3 3 3 2" xfId="1898"/>
    <cellStyle name="40% - 강조색1 3 3 3 3" xfId="1899"/>
    <cellStyle name="40% - 강조색1 3 3 4" xfId="1900"/>
    <cellStyle name="40% - 강조색1 3 3 5" xfId="1901"/>
    <cellStyle name="40% - 강조색1 3 3 6" xfId="6088"/>
    <cellStyle name="40% - 강조색1 3 4" xfId="1902"/>
    <cellStyle name="40% - 강조색1 3 4 2" xfId="1903"/>
    <cellStyle name="40% - 강조색1 3 4 3" xfId="1904"/>
    <cellStyle name="40% - 강조색1 3 4 4" xfId="6089"/>
    <cellStyle name="40% - 강조색1 3 5" xfId="1905"/>
    <cellStyle name="40% - 강조색1 3 5 2" xfId="1906"/>
    <cellStyle name="40% - 강조색1 3 5 3" xfId="1907"/>
    <cellStyle name="40% - 강조색1 3 5 4" xfId="6090"/>
    <cellStyle name="40% - 강조색1 3 6" xfId="1908"/>
    <cellStyle name="40% - 강조색1 3 6 2" xfId="6091"/>
    <cellStyle name="40% - 강조색1 3 7" xfId="1909"/>
    <cellStyle name="40% - 강조색1 3 7 2" xfId="6092"/>
    <cellStyle name="40% - 강조색1 3 8" xfId="6093"/>
    <cellStyle name="40% - 강조색1 3 9" xfId="6094"/>
    <cellStyle name="40% - 강조색1 30" xfId="1910"/>
    <cellStyle name="40% - 강조색1 30 2" xfId="1911"/>
    <cellStyle name="40% - 강조색1 30 3" xfId="6095"/>
    <cellStyle name="40% - 강조색1 31" xfId="1912"/>
    <cellStyle name="40% - 강조색1 31 2" xfId="6096"/>
    <cellStyle name="40% - 강조색1 32" xfId="1913"/>
    <cellStyle name="40% - 강조색1 32 2" xfId="6097"/>
    <cellStyle name="40% - 강조색1 33" xfId="1914"/>
    <cellStyle name="40% - 강조색1 34" xfId="1915"/>
    <cellStyle name="40% - 강조색1 35" xfId="1916"/>
    <cellStyle name="40% - 강조색1 36" xfId="1917"/>
    <cellStyle name="40% - 강조색1 37" xfId="1918"/>
    <cellStyle name="40% - 강조색1 38" xfId="1919"/>
    <cellStyle name="40% - 강조색1 4" xfId="1920"/>
    <cellStyle name="40% - 강조색1 4 10" xfId="6098"/>
    <cellStyle name="40% - 강조색1 4 11" xfId="6099"/>
    <cellStyle name="40% - 강조색1 4 12" xfId="6100"/>
    <cellStyle name="40% - 강조색1 4 13" xfId="6101"/>
    <cellStyle name="40% - 강조색1 4 14" xfId="6102"/>
    <cellStyle name="40% - 강조색1 4 2" xfId="1921"/>
    <cellStyle name="40% - 강조색1 4 2 2" xfId="1922"/>
    <cellStyle name="40% - 강조색1 4 2 2 2" xfId="1923"/>
    <cellStyle name="40% - 강조색1 4 2 2 3" xfId="1924"/>
    <cellStyle name="40% - 강조색1 4 2 2 4" xfId="6103"/>
    <cellStyle name="40% - 강조색1 4 2 3" xfId="1925"/>
    <cellStyle name="40% - 강조색1 4 2 3 2" xfId="1926"/>
    <cellStyle name="40% - 강조색1 4 2 3 3" xfId="1927"/>
    <cellStyle name="40% - 강조색1 4 2 4" xfId="1928"/>
    <cellStyle name="40% - 강조색1 4 2 5" xfId="1929"/>
    <cellStyle name="40% - 강조색1 4 2 6" xfId="6104"/>
    <cellStyle name="40% - 강조색1 4 3" xfId="1930"/>
    <cellStyle name="40% - 강조색1 4 3 2" xfId="1931"/>
    <cellStyle name="40% - 강조색1 4 3 2 2" xfId="1932"/>
    <cellStyle name="40% - 강조색1 4 3 2 3" xfId="1933"/>
    <cellStyle name="40% - 강조색1 4 3 3" xfId="1934"/>
    <cellStyle name="40% - 강조색1 4 3 3 2" xfId="1935"/>
    <cellStyle name="40% - 강조색1 4 3 3 3" xfId="1936"/>
    <cellStyle name="40% - 강조색1 4 3 4" xfId="1937"/>
    <cellStyle name="40% - 강조색1 4 3 5" xfId="1938"/>
    <cellStyle name="40% - 강조색1 4 3 6" xfId="6105"/>
    <cellStyle name="40% - 강조색1 4 4" xfId="1939"/>
    <cellStyle name="40% - 강조색1 4 4 2" xfId="1940"/>
    <cellStyle name="40% - 강조색1 4 4 3" xfId="1941"/>
    <cellStyle name="40% - 강조색1 4 4 4" xfId="6106"/>
    <cellStyle name="40% - 강조색1 4 5" xfId="1942"/>
    <cellStyle name="40% - 강조색1 4 5 2" xfId="1943"/>
    <cellStyle name="40% - 강조색1 4 5 3" xfId="1944"/>
    <cellStyle name="40% - 강조색1 4 5 4" xfId="6107"/>
    <cellStyle name="40% - 강조색1 4 6" xfId="1945"/>
    <cellStyle name="40% - 강조색1 4 6 2" xfId="6108"/>
    <cellStyle name="40% - 강조색1 4 7" xfId="1946"/>
    <cellStyle name="40% - 강조색1 4 7 2" xfId="6109"/>
    <cellStyle name="40% - 강조색1 4 8" xfId="6110"/>
    <cellStyle name="40% - 강조색1 4 9" xfId="6111"/>
    <cellStyle name="40% - 강조색1 5" xfId="1947"/>
    <cellStyle name="40% - 강조색1 5 10" xfId="6112"/>
    <cellStyle name="40% - 강조색1 5 11" xfId="6113"/>
    <cellStyle name="40% - 강조색1 5 12" xfId="6114"/>
    <cellStyle name="40% - 강조색1 5 13" xfId="6115"/>
    <cellStyle name="40% - 강조색1 5 14" xfId="6116"/>
    <cellStyle name="40% - 강조색1 5 2" xfId="1948"/>
    <cellStyle name="40% - 강조색1 5 2 2" xfId="1949"/>
    <cellStyle name="40% - 강조색1 5 2 2 2" xfId="1950"/>
    <cellStyle name="40% - 강조색1 5 2 2 3" xfId="1951"/>
    <cellStyle name="40% - 강조색1 5 2 2 4" xfId="6117"/>
    <cellStyle name="40% - 강조색1 5 2 3" xfId="1952"/>
    <cellStyle name="40% - 강조색1 5 2 3 2" xfId="1953"/>
    <cellStyle name="40% - 강조색1 5 2 3 3" xfId="1954"/>
    <cellStyle name="40% - 강조색1 5 2 4" xfId="1955"/>
    <cellStyle name="40% - 강조색1 5 2 5" xfId="1956"/>
    <cellStyle name="40% - 강조색1 5 2 6" xfId="6118"/>
    <cellStyle name="40% - 강조색1 5 3" xfId="1957"/>
    <cellStyle name="40% - 강조색1 5 3 2" xfId="1958"/>
    <cellStyle name="40% - 강조색1 5 3 2 2" xfId="1959"/>
    <cellStyle name="40% - 강조색1 5 3 2 3" xfId="1960"/>
    <cellStyle name="40% - 강조색1 5 3 3" xfId="1961"/>
    <cellStyle name="40% - 강조색1 5 3 3 2" xfId="1962"/>
    <cellStyle name="40% - 강조색1 5 3 3 3" xfId="1963"/>
    <cellStyle name="40% - 강조색1 5 3 4" xfId="1964"/>
    <cellStyle name="40% - 강조색1 5 3 5" xfId="1965"/>
    <cellStyle name="40% - 강조색1 5 3 6" xfId="6119"/>
    <cellStyle name="40% - 강조색1 5 4" xfId="1966"/>
    <cellStyle name="40% - 강조색1 5 4 2" xfId="1967"/>
    <cellStyle name="40% - 강조색1 5 4 3" xfId="1968"/>
    <cellStyle name="40% - 강조색1 5 4 4" xfId="6120"/>
    <cellStyle name="40% - 강조색1 5 5" xfId="1969"/>
    <cellStyle name="40% - 강조색1 5 5 2" xfId="1970"/>
    <cellStyle name="40% - 강조색1 5 5 3" xfId="1971"/>
    <cellStyle name="40% - 강조색1 5 5 4" xfId="6121"/>
    <cellStyle name="40% - 강조색1 5 6" xfId="1972"/>
    <cellStyle name="40% - 강조색1 5 6 2" xfId="6122"/>
    <cellStyle name="40% - 강조색1 5 7" xfId="1973"/>
    <cellStyle name="40% - 강조색1 5 7 2" xfId="6123"/>
    <cellStyle name="40% - 강조색1 5 8" xfId="6124"/>
    <cellStyle name="40% - 강조색1 5 9" xfId="6125"/>
    <cellStyle name="40% - 강조색1 6" xfId="1974"/>
    <cellStyle name="40% - 강조색1 6 10" xfId="6126"/>
    <cellStyle name="40% - 강조색1 6 11" xfId="6127"/>
    <cellStyle name="40% - 강조색1 6 12" xfId="6128"/>
    <cellStyle name="40% - 강조색1 6 13" xfId="6129"/>
    <cellStyle name="40% - 강조색1 6 14" xfId="6130"/>
    <cellStyle name="40% - 강조색1 6 2" xfId="1975"/>
    <cellStyle name="40% - 강조색1 6 2 2" xfId="1976"/>
    <cellStyle name="40% - 강조색1 6 2 2 2" xfId="1977"/>
    <cellStyle name="40% - 강조색1 6 2 2 3" xfId="1978"/>
    <cellStyle name="40% - 강조색1 6 2 2 4" xfId="6131"/>
    <cellStyle name="40% - 강조색1 6 2 3" xfId="1979"/>
    <cellStyle name="40% - 강조색1 6 2 3 2" xfId="1980"/>
    <cellStyle name="40% - 강조색1 6 2 3 3" xfId="1981"/>
    <cellStyle name="40% - 강조색1 6 2 4" xfId="1982"/>
    <cellStyle name="40% - 강조색1 6 2 5" xfId="1983"/>
    <cellStyle name="40% - 강조색1 6 2 6" xfId="6132"/>
    <cellStyle name="40% - 강조색1 6 3" xfId="1984"/>
    <cellStyle name="40% - 강조색1 6 3 2" xfId="1985"/>
    <cellStyle name="40% - 강조색1 6 3 2 2" xfId="1986"/>
    <cellStyle name="40% - 강조색1 6 3 2 3" xfId="1987"/>
    <cellStyle name="40% - 강조색1 6 3 3" xfId="1988"/>
    <cellStyle name="40% - 강조색1 6 3 3 2" xfId="1989"/>
    <cellStyle name="40% - 강조색1 6 3 3 3" xfId="1990"/>
    <cellStyle name="40% - 강조색1 6 3 4" xfId="1991"/>
    <cellStyle name="40% - 강조색1 6 3 5" xfId="1992"/>
    <cellStyle name="40% - 강조색1 6 3 6" xfId="6133"/>
    <cellStyle name="40% - 강조색1 6 4" xfId="1993"/>
    <cellStyle name="40% - 강조색1 6 4 2" xfId="1994"/>
    <cellStyle name="40% - 강조색1 6 4 3" xfId="1995"/>
    <cellStyle name="40% - 강조색1 6 4 4" xfId="6134"/>
    <cellStyle name="40% - 강조색1 6 5" xfId="1996"/>
    <cellStyle name="40% - 강조색1 6 5 2" xfId="1997"/>
    <cellStyle name="40% - 강조색1 6 5 3" xfId="1998"/>
    <cellStyle name="40% - 강조색1 6 5 4" xfId="6135"/>
    <cellStyle name="40% - 강조색1 6 6" xfId="1999"/>
    <cellStyle name="40% - 강조색1 6 6 2" xfId="6136"/>
    <cellStyle name="40% - 강조색1 6 7" xfId="2000"/>
    <cellStyle name="40% - 강조색1 6 7 2" xfId="6137"/>
    <cellStyle name="40% - 강조색1 6 8" xfId="6138"/>
    <cellStyle name="40% - 강조색1 6 9" xfId="6139"/>
    <cellStyle name="40% - 강조색1 7" xfId="2001"/>
    <cellStyle name="40% - 강조색1 7 10" xfId="6140"/>
    <cellStyle name="40% - 강조색1 7 11" xfId="6141"/>
    <cellStyle name="40% - 강조색1 7 12" xfId="6142"/>
    <cellStyle name="40% - 강조색1 7 13" xfId="6143"/>
    <cellStyle name="40% - 강조색1 7 14" xfId="6144"/>
    <cellStyle name="40% - 강조색1 7 2" xfId="2002"/>
    <cellStyle name="40% - 강조색1 7 2 2" xfId="2003"/>
    <cellStyle name="40% - 강조색1 7 2 2 2" xfId="2004"/>
    <cellStyle name="40% - 강조색1 7 2 2 3" xfId="2005"/>
    <cellStyle name="40% - 강조색1 7 2 2 4" xfId="6145"/>
    <cellStyle name="40% - 강조색1 7 2 3" xfId="2006"/>
    <cellStyle name="40% - 강조색1 7 2 3 2" xfId="2007"/>
    <cellStyle name="40% - 강조색1 7 2 3 3" xfId="2008"/>
    <cellStyle name="40% - 강조색1 7 2 4" xfId="2009"/>
    <cellStyle name="40% - 강조색1 7 2 5" xfId="2010"/>
    <cellStyle name="40% - 강조색1 7 2 6" xfId="6146"/>
    <cellStyle name="40% - 강조색1 7 3" xfId="2011"/>
    <cellStyle name="40% - 강조색1 7 3 2" xfId="2012"/>
    <cellStyle name="40% - 강조색1 7 3 2 2" xfId="2013"/>
    <cellStyle name="40% - 강조색1 7 3 2 3" xfId="2014"/>
    <cellStyle name="40% - 강조색1 7 3 3" xfId="2015"/>
    <cellStyle name="40% - 강조색1 7 3 3 2" xfId="2016"/>
    <cellStyle name="40% - 강조색1 7 3 3 3" xfId="2017"/>
    <cellStyle name="40% - 강조색1 7 3 4" xfId="2018"/>
    <cellStyle name="40% - 강조색1 7 3 5" xfId="2019"/>
    <cellStyle name="40% - 강조색1 7 3 6" xfId="6147"/>
    <cellStyle name="40% - 강조색1 7 4" xfId="2020"/>
    <cellStyle name="40% - 강조색1 7 4 2" xfId="2021"/>
    <cellStyle name="40% - 강조색1 7 4 3" xfId="2022"/>
    <cellStyle name="40% - 강조색1 7 4 4" xfId="6148"/>
    <cellStyle name="40% - 강조색1 7 5" xfId="2023"/>
    <cellStyle name="40% - 강조색1 7 5 2" xfId="2024"/>
    <cellStyle name="40% - 강조색1 7 5 3" xfId="2025"/>
    <cellStyle name="40% - 강조색1 7 5 4" xfId="6149"/>
    <cellStyle name="40% - 강조색1 7 6" xfId="2026"/>
    <cellStyle name="40% - 강조색1 7 6 2" xfId="6150"/>
    <cellStyle name="40% - 강조색1 7 7" xfId="2027"/>
    <cellStyle name="40% - 강조색1 7 7 2" xfId="6151"/>
    <cellStyle name="40% - 강조색1 7 8" xfId="6152"/>
    <cellStyle name="40% - 강조색1 7 9" xfId="6153"/>
    <cellStyle name="40% - 강조색1 8" xfId="2028"/>
    <cellStyle name="40% - 강조색1 8 10" xfId="6154"/>
    <cellStyle name="40% - 강조색1 8 11" xfId="6155"/>
    <cellStyle name="40% - 강조색1 8 12" xfId="6156"/>
    <cellStyle name="40% - 강조색1 8 13" xfId="6157"/>
    <cellStyle name="40% - 강조색1 8 14" xfId="6158"/>
    <cellStyle name="40% - 강조색1 8 2" xfId="2029"/>
    <cellStyle name="40% - 강조색1 8 2 2" xfId="2030"/>
    <cellStyle name="40% - 강조색1 8 2 2 2" xfId="2031"/>
    <cellStyle name="40% - 강조색1 8 2 2 3" xfId="2032"/>
    <cellStyle name="40% - 강조색1 8 2 2 4" xfId="6159"/>
    <cellStyle name="40% - 강조색1 8 2 3" xfId="2033"/>
    <cellStyle name="40% - 강조색1 8 2 3 2" xfId="2034"/>
    <cellStyle name="40% - 강조색1 8 2 3 3" xfId="2035"/>
    <cellStyle name="40% - 강조색1 8 2 4" xfId="2036"/>
    <cellStyle name="40% - 강조색1 8 2 5" xfId="2037"/>
    <cellStyle name="40% - 강조색1 8 2 6" xfId="6160"/>
    <cellStyle name="40% - 강조색1 8 3" xfId="2038"/>
    <cellStyle name="40% - 강조색1 8 3 2" xfId="2039"/>
    <cellStyle name="40% - 강조색1 8 3 2 2" xfId="2040"/>
    <cellStyle name="40% - 강조색1 8 3 2 3" xfId="2041"/>
    <cellStyle name="40% - 강조색1 8 3 3" xfId="2042"/>
    <cellStyle name="40% - 강조색1 8 3 3 2" xfId="2043"/>
    <cellStyle name="40% - 강조색1 8 3 3 3" xfId="2044"/>
    <cellStyle name="40% - 강조색1 8 3 4" xfId="2045"/>
    <cellStyle name="40% - 강조색1 8 3 5" xfId="2046"/>
    <cellStyle name="40% - 강조색1 8 3 6" xfId="6161"/>
    <cellStyle name="40% - 강조색1 8 4" xfId="2047"/>
    <cellStyle name="40% - 강조색1 8 4 2" xfId="2048"/>
    <cellStyle name="40% - 강조색1 8 4 3" xfId="2049"/>
    <cellStyle name="40% - 강조색1 8 4 4" xfId="6162"/>
    <cellStyle name="40% - 강조색1 8 5" xfId="2050"/>
    <cellStyle name="40% - 강조색1 8 5 2" xfId="2051"/>
    <cellStyle name="40% - 강조색1 8 5 3" xfId="2052"/>
    <cellStyle name="40% - 강조색1 8 5 4" xfId="6163"/>
    <cellStyle name="40% - 강조색1 8 6" xfId="2053"/>
    <cellStyle name="40% - 강조색1 8 6 2" xfId="6164"/>
    <cellStyle name="40% - 강조색1 8 7" xfId="2054"/>
    <cellStyle name="40% - 강조색1 8 7 2" xfId="6165"/>
    <cellStyle name="40% - 강조색1 8 8" xfId="6166"/>
    <cellStyle name="40% - 강조색1 8 9" xfId="6167"/>
    <cellStyle name="40% - 강조색1 9" xfId="2055"/>
    <cellStyle name="40% - 강조색1 9 10" xfId="6168"/>
    <cellStyle name="40% - 강조색1 9 11" xfId="6169"/>
    <cellStyle name="40% - 강조색1 9 12" xfId="6170"/>
    <cellStyle name="40% - 강조색1 9 13" xfId="6171"/>
    <cellStyle name="40% - 강조색1 9 14" xfId="6172"/>
    <cellStyle name="40% - 강조색1 9 2" xfId="2056"/>
    <cellStyle name="40% - 강조색1 9 2 2" xfId="2057"/>
    <cellStyle name="40% - 강조색1 9 2 2 2" xfId="6173"/>
    <cellStyle name="40% - 강조색1 9 2 3" xfId="2058"/>
    <cellStyle name="40% - 강조색1 9 2 4" xfId="6174"/>
    <cellStyle name="40% - 강조색1 9 3" xfId="2059"/>
    <cellStyle name="40% - 강조색1 9 3 2" xfId="2060"/>
    <cellStyle name="40% - 강조색1 9 3 3" xfId="2061"/>
    <cellStyle name="40% - 강조색1 9 3 4" xfId="6175"/>
    <cellStyle name="40% - 강조색1 9 4" xfId="2062"/>
    <cellStyle name="40% - 강조색1 9 4 2" xfId="6176"/>
    <cellStyle name="40% - 강조색1 9 5" xfId="2063"/>
    <cellStyle name="40% - 강조색1 9 5 2" xfId="6177"/>
    <cellStyle name="40% - 강조색1 9 6" xfId="6178"/>
    <cellStyle name="40% - 강조색1 9 7" xfId="6179"/>
    <cellStyle name="40% - 강조색1 9 8" xfId="6180"/>
    <cellStyle name="40% - 강조색1 9 9" xfId="6181"/>
    <cellStyle name="40% - 강조색2" xfId="4319" builtinId="35" customBuiltin="1"/>
    <cellStyle name="40% - 강조색2 10" xfId="2064"/>
    <cellStyle name="40% - 강조색2 10 10" xfId="6182"/>
    <cellStyle name="40% - 강조색2 10 11" xfId="6183"/>
    <cellStyle name="40% - 강조색2 10 12" xfId="6184"/>
    <cellStyle name="40% - 강조색2 10 13" xfId="6185"/>
    <cellStyle name="40% - 강조색2 10 14" xfId="6186"/>
    <cellStyle name="40% - 강조색2 10 2" xfId="2065"/>
    <cellStyle name="40% - 강조색2 10 2 2" xfId="2066"/>
    <cellStyle name="40% - 강조색2 10 2 2 2" xfId="6187"/>
    <cellStyle name="40% - 강조색2 10 2 3" xfId="2067"/>
    <cellStyle name="40% - 강조색2 10 2 4" xfId="6188"/>
    <cellStyle name="40% - 강조색2 10 3" xfId="2068"/>
    <cellStyle name="40% - 강조색2 10 3 2" xfId="2069"/>
    <cellStyle name="40% - 강조색2 10 3 3" xfId="2070"/>
    <cellStyle name="40% - 강조색2 10 3 4" xfId="6189"/>
    <cellStyle name="40% - 강조색2 10 4" xfId="2071"/>
    <cellStyle name="40% - 강조색2 10 4 2" xfId="6190"/>
    <cellStyle name="40% - 강조색2 10 5" xfId="2072"/>
    <cellStyle name="40% - 강조색2 10 5 2" xfId="6191"/>
    <cellStyle name="40% - 강조색2 10 6" xfId="6192"/>
    <cellStyle name="40% - 강조색2 10 7" xfId="6193"/>
    <cellStyle name="40% - 강조색2 10 8" xfId="6194"/>
    <cellStyle name="40% - 강조색2 10 9" xfId="6195"/>
    <cellStyle name="40% - 강조색2 11" xfId="2073"/>
    <cellStyle name="40% - 강조색2 11 10" xfId="6196"/>
    <cellStyle name="40% - 강조색2 11 11" xfId="6197"/>
    <cellStyle name="40% - 강조색2 11 12" xfId="6198"/>
    <cellStyle name="40% - 강조색2 11 13" xfId="6199"/>
    <cellStyle name="40% - 강조색2 11 14" xfId="6200"/>
    <cellStyle name="40% - 강조색2 11 2" xfId="2074"/>
    <cellStyle name="40% - 강조색2 11 2 2" xfId="2075"/>
    <cellStyle name="40% - 강조색2 11 2 2 2" xfId="6201"/>
    <cellStyle name="40% - 강조색2 11 2 3" xfId="2076"/>
    <cellStyle name="40% - 강조색2 11 2 4" xfId="6202"/>
    <cellStyle name="40% - 강조색2 11 3" xfId="2077"/>
    <cellStyle name="40% - 강조색2 11 3 2" xfId="2078"/>
    <cellStyle name="40% - 강조색2 11 3 3" xfId="2079"/>
    <cellStyle name="40% - 강조색2 11 3 4" xfId="6203"/>
    <cellStyle name="40% - 강조색2 11 4" xfId="2080"/>
    <cellStyle name="40% - 강조색2 11 4 2" xfId="6204"/>
    <cellStyle name="40% - 강조색2 11 5" xfId="2081"/>
    <cellStyle name="40% - 강조색2 11 5 2" xfId="6205"/>
    <cellStyle name="40% - 강조색2 11 6" xfId="6206"/>
    <cellStyle name="40% - 강조색2 11 7" xfId="6207"/>
    <cellStyle name="40% - 강조색2 11 8" xfId="6208"/>
    <cellStyle name="40% - 강조색2 11 9" xfId="6209"/>
    <cellStyle name="40% - 강조색2 12" xfId="2082"/>
    <cellStyle name="40% - 강조색2 12 10" xfId="6210"/>
    <cellStyle name="40% - 강조색2 12 11" xfId="6211"/>
    <cellStyle name="40% - 강조색2 12 12" xfId="6212"/>
    <cellStyle name="40% - 강조색2 12 13" xfId="6213"/>
    <cellStyle name="40% - 강조색2 12 14" xfId="6214"/>
    <cellStyle name="40% - 강조색2 12 2" xfId="2083"/>
    <cellStyle name="40% - 강조색2 12 2 2" xfId="2084"/>
    <cellStyle name="40% - 강조색2 12 2 2 2" xfId="6215"/>
    <cellStyle name="40% - 강조색2 12 2 3" xfId="2085"/>
    <cellStyle name="40% - 강조색2 12 2 4" xfId="6216"/>
    <cellStyle name="40% - 강조색2 12 3" xfId="2086"/>
    <cellStyle name="40% - 강조색2 12 3 2" xfId="2087"/>
    <cellStyle name="40% - 강조색2 12 3 3" xfId="2088"/>
    <cellStyle name="40% - 강조색2 12 3 4" xfId="6217"/>
    <cellStyle name="40% - 강조색2 12 4" xfId="2089"/>
    <cellStyle name="40% - 강조색2 12 4 2" xfId="6218"/>
    <cellStyle name="40% - 강조색2 12 5" xfId="2090"/>
    <cellStyle name="40% - 강조색2 12 5 2" xfId="6219"/>
    <cellStyle name="40% - 강조색2 12 6" xfId="6220"/>
    <cellStyle name="40% - 강조색2 12 7" xfId="6221"/>
    <cellStyle name="40% - 강조색2 12 8" xfId="6222"/>
    <cellStyle name="40% - 강조색2 12 9" xfId="6223"/>
    <cellStyle name="40% - 강조색2 13" xfId="2091"/>
    <cellStyle name="40% - 강조색2 13 10" xfId="6224"/>
    <cellStyle name="40% - 강조색2 13 11" xfId="6225"/>
    <cellStyle name="40% - 강조색2 13 12" xfId="6226"/>
    <cellStyle name="40% - 강조색2 13 13" xfId="6227"/>
    <cellStyle name="40% - 강조색2 13 14" xfId="6228"/>
    <cellStyle name="40% - 강조색2 13 2" xfId="2092"/>
    <cellStyle name="40% - 강조색2 13 2 2" xfId="2093"/>
    <cellStyle name="40% - 강조색2 13 2 2 2" xfId="6229"/>
    <cellStyle name="40% - 강조색2 13 2 3" xfId="2094"/>
    <cellStyle name="40% - 강조색2 13 2 4" xfId="6230"/>
    <cellStyle name="40% - 강조색2 13 3" xfId="2095"/>
    <cellStyle name="40% - 강조색2 13 3 2" xfId="2096"/>
    <cellStyle name="40% - 강조색2 13 3 3" xfId="2097"/>
    <cellStyle name="40% - 강조색2 13 3 4" xfId="6231"/>
    <cellStyle name="40% - 강조색2 13 4" xfId="2098"/>
    <cellStyle name="40% - 강조색2 13 4 2" xfId="6232"/>
    <cellStyle name="40% - 강조색2 13 5" xfId="2099"/>
    <cellStyle name="40% - 강조색2 13 5 2" xfId="6233"/>
    <cellStyle name="40% - 강조색2 13 6" xfId="6234"/>
    <cellStyle name="40% - 강조색2 13 7" xfId="6235"/>
    <cellStyle name="40% - 강조색2 13 8" xfId="6236"/>
    <cellStyle name="40% - 강조색2 13 9" xfId="6237"/>
    <cellStyle name="40% - 강조색2 14" xfId="2100"/>
    <cellStyle name="40% - 강조색2 14 10" xfId="6238"/>
    <cellStyle name="40% - 강조색2 14 11" xfId="6239"/>
    <cellStyle name="40% - 강조색2 14 12" xfId="6240"/>
    <cellStyle name="40% - 강조색2 14 13" xfId="6241"/>
    <cellStyle name="40% - 강조색2 14 14" xfId="6242"/>
    <cellStyle name="40% - 강조색2 14 2" xfId="2101"/>
    <cellStyle name="40% - 강조색2 14 2 2" xfId="2102"/>
    <cellStyle name="40% - 강조색2 14 2 2 2" xfId="6243"/>
    <cellStyle name="40% - 강조색2 14 2 3" xfId="2103"/>
    <cellStyle name="40% - 강조색2 14 2 4" xfId="6244"/>
    <cellStyle name="40% - 강조색2 14 3" xfId="2104"/>
    <cellStyle name="40% - 강조색2 14 3 2" xfId="2105"/>
    <cellStyle name="40% - 강조색2 14 3 3" xfId="2106"/>
    <cellStyle name="40% - 강조색2 14 3 4" xfId="6245"/>
    <cellStyle name="40% - 강조색2 14 4" xfId="2107"/>
    <cellStyle name="40% - 강조색2 14 4 2" xfId="6246"/>
    <cellStyle name="40% - 강조색2 14 5" xfId="2108"/>
    <cellStyle name="40% - 강조색2 14 5 2" xfId="6247"/>
    <cellStyle name="40% - 강조색2 14 6" xfId="6248"/>
    <cellStyle name="40% - 강조색2 14 7" xfId="6249"/>
    <cellStyle name="40% - 강조색2 14 8" xfId="6250"/>
    <cellStyle name="40% - 강조색2 14 9" xfId="6251"/>
    <cellStyle name="40% - 강조색2 15" xfId="2109"/>
    <cellStyle name="40% - 강조색2 15 10" xfId="6252"/>
    <cellStyle name="40% - 강조색2 15 11" xfId="6253"/>
    <cellStyle name="40% - 강조색2 15 12" xfId="6254"/>
    <cellStyle name="40% - 강조색2 15 13" xfId="6255"/>
    <cellStyle name="40% - 강조색2 15 14" xfId="6256"/>
    <cellStyle name="40% - 강조색2 15 2" xfId="2110"/>
    <cellStyle name="40% - 강조색2 15 2 2" xfId="2111"/>
    <cellStyle name="40% - 강조색2 15 2 2 2" xfId="6257"/>
    <cellStyle name="40% - 강조색2 15 2 3" xfId="2112"/>
    <cellStyle name="40% - 강조색2 15 2 4" xfId="6258"/>
    <cellStyle name="40% - 강조색2 15 3" xfId="2113"/>
    <cellStyle name="40% - 강조색2 15 3 2" xfId="2114"/>
    <cellStyle name="40% - 강조색2 15 3 3" xfId="2115"/>
    <cellStyle name="40% - 강조색2 15 3 4" xfId="6259"/>
    <cellStyle name="40% - 강조색2 15 4" xfId="2116"/>
    <cellStyle name="40% - 강조색2 15 4 2" xfId="6260"/>
    <cellStyle name="40% - 강조색2 15 5" xfId="2117"/>
    <cellStyle name="40% - 강조색2 15 5 2" xfId="6261"/>
    <cellStyle name="40% - 강조색2 15 6" xfId="6262"/>
    <cellStyle name="40% - 강조색2 15 7" xfId="6263"/>
    <cellStyle name="40% - 강조색2 15 8" xfId="6264"/>
    <cellStyle name="40% - 강조색2 15 9" xfId="6265"/>
    <cellStyle name="40% - 강조색2 16" xfId="2118"/>
    <cellStyle name="40% - 강조색2 16 10" xfId="6266"/>
    <cellStyle name="40% - 강조색2 16 11" xfId="6267"/>
    <cellStyle name="40% - 강조색2 16 12" xfId="6268"/>
    <cellStyle name="40% - 강조색2 16 13" xfId="6269"/>
    <cellStyle name="40% - 강조색2 16 14" xfId="6270"/>
    <cellStyle name="40% - 강조색2 16 2" xfId="2119"/>
    <cellStyle name="40% - 강조색2 16 2 2" xfId="2120"/>
    <cellStyle name="40% - 강조색2 16 2 2 2" xfId="6271"/>
    <cellStyle name="40% - 강조색2 16 2 3" xfId="2121"/>
    <cellStyle name="40% - 강조색2 16 2 4" xfId="6272"/>
    <cellStyle name="40% - 강조색2 16 3" xfId="2122"/>
    <cellStyle name="40% - 강조색2 16 3 2" xfId="2123"/>
    <cellStyle name="40% - 강조색2 16 3 3" xfId="2124"/>
    <cellStyle name="40% - 강조색2 16 3 4" xfId="6273"/>
    <cellStyle name="40% - 강조색2 16 4" xfId="2125"/>
    <cellStyle name="40% - 강조색2 16 4 2" xfId="6274"/>
    <cellStyle name="40% - 강조색2 16 5" xfId="2126"/>
    <cellStyle name="40% - 강조색2 16 5 2" xfId="6275"/>
    <cellStyle name="40% - 강조색2 16 6" xfId="6276"/>
    <cellStyle name="40% - 강조색2 16 7" xfId="6277"/>
    <cellStyle name="40% - 강조색2 16 8" xfId="6278"/>
    <cellStyle name="40% - 강조색2 16 9" xfId="6279"/>
    <cellStyle name="40% - 강조색2 17" xfId="2127"/>
    <cellStyle name="40% - 강조색2 17 10" xfId="6280"/>
    <cellStyle name="40% - 강조색2 17 11" xfId="6281"/>
    <cellStyle name="40% - 강조색2 17 12" xfId="6282"/>
    <cellStyle name="40% - 강조색2 17 13" xfId="6283"/>
    <cellStyle name="40% - 강조색2 17 14" xfId="6284"/>
    <cellStyle name="40% - 강조색2 17 2" xfId="2128"/>
    <cellStyle name="40% - 강조색2 17 2 2" xfId="2129"/>
    <cellStyle name="40% - 강조색2 17 2 3" xfId="2130"/>
    <cellStyle name="40% - 강조색2 17 2 4" xfId="6285"/>
    <cellStyle name="40% - 강조색2 17 3" xfId="2131"/>
    <cellStyle name="40% - 강조색2 17 3 2" xfId="6286"/>
    <cellStyle name="40% - 강조색2 17 4" xfId="2132"/>
    <cellStyle name="40% - 강조색2 17 4 2" xfId="6287"/>
    <cellStyle name="40% - 강조색2 17 5" xfId="6288"/>
    <cellStyle name="40% - 강조색2 17 6" xfId="6289"/>
    <cellStyle name="40% - 강조색2 17 7" xfId="6290"/>
    <cellStyle name="40% - 강조색2 17 8" xfId="6291"/>
    <cellStyle name="40% - 강조색2 17 9" xfId="6292"/>
    <cellStyle name="40% - 강조색2 18" xfId="2133"/>
    <cellStyle name="40% - 강조색2 18 10" xfId="6293"/>
    <cellStyle name="40% - 강조색2 18 11" xfId="6294"/>
    <cellStyle name="40% - 강조색2 18 12" xfId="6295"/>
    <cellStyle name="40% - 강조색2 18 13" xfId="6296"/>
    <cellStyle name="40% - 강조색2 18 14" xfId="6297"/>
    <cellStyle name="40% - 강조색2 18 2" xfId="2134"/>
    <cellStyle name="40% - 강조색2 18 2 2" xfId="2135"/>
    <cellStyle name="40% - 강조색2 18 2 3" xfId="2136"/>
    <cellStyle name="40% - 강조색2 18 2 4" xfId="6298"/>
    <cellStyle name="40% - 강조색2 18 3" xfId="2137"/>
    <cellStyle name="40% - 강조색2 18 3 2" xfId="6299"/>
    <cellStyle name="40% - 강조색2 18 4" xfId="2138"/>
    <cellStyle name="40% - 강조색2 18 4 2" xfId="6300"/>
    <cellStyle name="40% - 강조색2 18 5" xfId="6301"/>
    <cellStyle name="40% - 강조색2 18 6" xfId="6302"/>
    <cellStyle name="40% - 강조색2 18 7" xfId="6303"/>
    <cellStyle name="40% - 강조색2 18 8" xfId="6304"/>
    <cellStyle name="40% - 강조색2 18 9" xfId="6305"/>
    <cellStyle name="40% - 강조색2 19" xfId="2139"/>
    <cellStyle name="40% - 강조색2 19 10" xfId="6306"/>
    <cellStyle name="40% - 강조색2 19 11" xfId="6307"/>
    <cellStyle name="40% - 강조색2 19 12" xfId="6308"/>
    <cellStyle name="40% - 강조색2 19 13" xfId="6309"/>
    <cellStyle name="40% - 강조색2 19 14" xfId="6310"/>
    <cellStyle name="40% - 강조색2 19 2" xfId="2140"/>
    <cellStyle name="40% - 강조색2 19 2 2" xfId="2141"/>
    <cellStyle name="40% - 강조색2 19 2 3" xfId="2142"/>
    <cellStyle name="40% - 강조색2 19 2 4" xfId="6311"/>
    <cellStyle name="40% - 강조색2 19 3" xfId="2143"/>
    <cellStyle name="40% - 강조색2 19 3 2" xfId="6312"/>
    <cellStyle name="40% - 강조색2 19 4" xfId="2144"/>
    <cellStyle name="40% - 강조색2 19 4 2" xfId="6313"/>
    <cellStyle name="40% - 강조색2 19 5" xfId="6314"/>
    <cellStyle name="40% - 강조색2 19 6" xfId="6315"/>
    <cellStyle name="40% - 강조색2 19 7" xfId="6316"/>
    <cellStyle name="40% - 강조색2 19 8" xfId="6317"/>
    <cellStyle name="40% - 강조색2 19 9" xfId="6318"/>
    <cellStyle name="40% - 강조색2 2" xfId="2145"/>
    <cellStyle name="40% - 강조색2 2 10" xfId="6319"/>
    <cellStyle name="40% - 강조색2 2 11" xfId="6320"/>
    <cellStyle name="40% - 강조색2 2 12" xfId="6321"/>
    <cellStyle name="40% - 강조색2 2 13" xfId="6322"/>
    <cellStyle name="40% - 강조색2 2 2" xfId="6323"/>
    <cellStyle name="40% - 강조색2 2 2 2" xfId="6324"/>
    <cellStyle name="40% - 강조색2 2 3" xfId="6325"/>
    <cellStyle name="40% - 강조색2 2 3 2" xfId="6326"/>
    <cellStyle name="40% - 강조색2 2 4" xfId="6327"/>
    <cellStyle name="40% - 강조색2 2 4 2" xfId="6328"/>
    <cellStyle name="40% - 강조색2 2 5" xfId="6329"/>
    <cellStyle name="40% - 강조색2 2 6" xfId="6330"/>
    <cellStyle name="40% - 강조색2 2 7" xfId="6331"/>
    <cellStyle name="40% - 강조색2 2 8" xfId="6332"/>
    <cellStyle name="40% - 강조색2 2 9" xfId="6333"/>
    <cellStyle name="40% - 강조색2 20" xfId="2146"/>
    <cellStyle name="40% - 강조색2 20 2" xfId="2147"/>
    <cellStyle name="40% - 강조색2 20 3" xfId="2148"/>
    <cellStyle name="40% - 강조색2 20 4" xfId="6334"/>
    <cellStyle name="40% - 강조색2 21" xfId="2149"/>
    <cellStyle name="40% - 강조색2 21 2" xfId="2150"/>
    <cellStyle name="40% - 강조색2 21 3" xfId="2151"/>
    <cellStyle name="40% - 강조색2 21 4" xfId="6335"/>
    <cellStyle name="40% - 강조색2 22" xfId="2152"/>
    <cellStyle name="40% - 강조색2 22 2" xfId="2153"/>
    <cellStyle name="40% - 강조색2 22 3" xfId="2154"/>
    <cellStyle name="40% - 강조색2 22 4" xfId="6336"/>
    <cellStyle name="40% - 강조색2 23" xfId="2155"/>
    <cellStyle name="40% - 강조색2 23 2" xfId="2156"/>
    <cellStyle name="40% - 강조색2 23 3" xfId="2157"/>
    <cellStyle name="40% - 강조색2 23 4" xfId="6337"/>
    <cellStyle name="40% - 강조색2 24" xfId="2158"/>
    <cellStyle name="40% - 강조색2 24 2" xfId="2159"/>
    <cellStyle name="40% - 강조색2 24 3" xfId="2160"/>
    <cellStyle name="40% - 강조색2 24 4" xfId="6338"/>
    <cellStyle name="40% - 강조색2 25" xfId="2161"/>
    <cellStyle name="40% - 강조색2 25 2" xfId="2162"/>
    <cellStyle name="40% - 강조색2 25 3" xfId="2163"/>
    <cellStyle name="40% - 강조색2 25 4" xfId="6339"/>
    <cellStyle name="40% - 강조색2 26" xfId="2164"/>
    <cellStyle name="40% - 강조색2 26 2" xfId="2165"/>
    <cellStyle name="40% - 강조색2 26 3" xfId="2166"/>
    <cellStyle name="40% - 강조색2 26 4" xfId="6340"/>
    <cellStyle name="40% - 강조색2 27" xfId="2167"/>
    <cellStyle name="40% - 강조색2 27 2" xfId="2168"/>
    <cellStyle name="40% - 강조색2 27 3" xfId="2169"/>
    <cellStyle name="40% - 강조색2 27 4" xfId="6341"/>
    <cellStyle name="40% - 강조색2 28" xfId="2170"/>
    <cellStyle name="40% - 강조색2 28 2" xfId="2171"/>
    <cellStyle name="40% - 강조색2 28 3" xfId="2172"/>
    <cellStyle name="40% - 강조색2 28 4" xfId="6342"/>
    <cellStyle name="40% - 강조색2 29" xfId="2173"/>
    <cellStyle name="40% - 강조색2 29 2" xfId="2174"/>
    <cellStyle name="40% - 강조색2 29 3" xfId="2175"/>
    <cellStyle name="40% - 강조색2 29 4" xfId="6343"/>
    <cellStyle name="40% - 강조색2 3" xfId="2176"/>
    <cellStyle name="40% - 강조색2 3 10" xfId="6344"/>
    <cellStyle name="40% - 강조색2 3 11" xfId="6345"/>
    <cellStyle name="40% - 강조색2 3 12" xfId="6346"/>
    <cellStyle name="40% - 강조색2 3 13" xfId="6347"/>
    <cellStyle name="40% - 강조색2 3 14" xfId="6348"/>
    <cellStyle name="40% - 강조색2 3 2" xfId="2177"/>
    <cellStyle name="40% - 강조색2 3 2 2" xfId="2178"/>
    <cellStyle name="40% - 강조색2 3 2 2 2" xfId="2179"/>
    <cellStyle name="40% - 강조색2 3 2 2 3" xfId="2180"/>
    <cellStyle name="40% - 강조색2 3 2 2 4" xfId="6349"/>
    <cellStyle name="40% - 강조색2 3 2 3" xfId="2181"/>
    <cellStyle name="40% - 강조색2 3 2 3 2" xfId="2182"/>
    <cellStyle name="40% - 강조색2 3 2 3 3" xfId="2183"/>
    <cellStyle name="40% - 강조색2 3 2 4" xfId="2184"/>
    <cellStyle name="40% - 강조색2 3 2 5" xfId="2185"/>
    <cellStyle name="40% - 강조색2 3 2 6" xfId="6350"/>
    <cellStyle name="40% - 강조색2 3 3" xfId="2186"/>
    <cellStyle name="40% - 강조색2 3 3 2" xfId="2187"/>
    <cellStyle name="40% - 강조색2 3 3 2 2" xfId="2188"/>
    <cellStyle name="40% - 강조색2 3 3 2 3" xfId="2189"/>
    <cellStyle name="40% - 강조색2 3 3 3" xfId="2190"/>
    <cellStyle name="40% - 강조색2 3 3 3 2" xfId="2191"/>
    <cellStyle name="40% - 강조색2 3 3 3 3" xfId="2192"/>
    <cellStyle name="40% - 강조색2 3 3 4" xfId="2193"/>
    <cellStyle name="40% - 강조색2 3 3 5" xfId="2194"/>
    <cellStyle name="40% - 강조색2 3 3 6" xfId="6351"/>
    <cellStyle name="40% - 강조색2 3 4" xfId="2195"/>
    <cellStyle name="40% - 강조색2 3 4 2" xfId="2196"/>
    <cellStyle name="40% - 강조색2 3 4 3" xfId="2197"/>
    <cellStyle name="40% - 강조색2 3 4 4" xfId="6352"/>
    <cellStyle name="40% - 강조색2 3 5" xfId="2198"/>
    <cellStyle name="40% - 강조색2 3 5 2" xfId="2199"/>
    <cellStyle name="40% - 강조색2 3 5 3" xfId="2200"/>
    <cellStyle name="40% - 강조색2 3 5 4" xfId="6353"/>
    <cellStyle name="40% - 강조색2 3 6" xfId="2201"/>
    <cellStyle name="40% - 강조색2 3 6 2" xfId="6354"/>
    <cellStyle name="40% - 강조색2 3 7" xfId="2202"/>
    <cellStyle name="40% - 강조색2 3 7 2" xfId="6355"/>
    <cellStyle name="40% - 강조색2 3 8" xfId="6356"/>
    <cellStyle name="40% - 강조색2 3 9" xfId="6357"/>
    <cellStyle name="40% - 강조색2 30" xfId="2203"/>
    <cellStyle name="40% - 강조색2 30 2" xfId="2204"/>
    <cellStyle name="40% - 강조색2 30 3" xfId="6358"/>
    <cellStyle name="40% - 강조색2 31" xfId="2205"/>
    <cellStyle name="40% - 강조색2 31 2" xfId="6359"/>
    <cellStyle name="40% - 강조색2 32" xfId="2206"/>
    <cellStyle name="40% - 강조색2 32 2" xfId="6360"/>
    <cellStyle name="40% - 강조색2 33" xfId="2207"/>
    <cellStyle name="40% - 강조색2 34" xfId="2208"/>
    <cellStyle name="40% - 강조색2 35" xfId="2209"/>
    <cellStyle name="40% - 강조색2 36" xfId="2210"/>
    <cellStyle name="40% - 강조색2 37" xfId="2211"/>
    <cellStyle name="40% - 강조색2 38" xfId="2212"/>
    <cellStyle name="40% - 강조색2 4" xfId="2213"/>
    <cellStyle name="40% - 강조색2 4 10" xfId="6361"/>
    <cellStyle name="40% - 강조색2 4 11" xfId="6362"/>
    <cellStyle name="40% - 강조색2 4 12" xfId="6363"/>
    <cellStyle name="40% - 강조색2 4 13" xfId="6364"/>
    <cellStyle name="40% - 강조색2 4 14" xfId="6365"/>
    <cellStyle name="40% - 강조색2 4 2" xfId="2214"/>
    <cellStyle name="40% - 강조색2 4 2 2" xfId="2215"/>
    <cellStyle name="40% - 강조색2 4 2 2 2" xfId="2216"/>
    <cellStyle name="40% - 강조색2 4 2 2 3" xfId="2217"/>
    <cellStyle name="40% - 강조색2 4 2 2 4" xfId="6366"/>
    <cellStyle name="40% - 강조색2 4 2 3" xfId="2218"/>
    <cellStyle name="40% - 강조색2 4 2 3 2" xfId="2219"/>
    <cellStyle name="40% - 강조색2 4 2 3 3" xfId="2220"/>
    <cellStyle name="40% - 강조색2 4 2 4" xfId="2221"/>
    <cellStyle name="40% - 강조색2 4 2 5" xfId="2222"/>
    <cellStyle name="40% - 강조색2 4 2 6" xfId="6367"/>
    <cellStyle name="40% - 강조색2 4 3" xfId="2223"/>
    <cellStyle name="40% - 강조색2 4 3 2" xfId="2224"/>
    <cellStyle name="40% - 강조색2 4 3 2 2" xfId="2225"/>
    <cellStyle name="40% - 강조색2 4 3 2 3" xfId="2226"/>
    <cellStyle name="40% - 강조색2 4 3 3" xfId="2227"/>
    <cellStyle name="40% - 강조색2 4 3 3 2" xfId="2228"/>
    <cellStyle name="40% - 강조색2 4 3 3 3" xfId="2229"/>
    <cellStyle name="40% - 강조색2 4 3 4" xfId="2230"/>
    <cellStyle name="40% - 강조색2 4 3 5" xfId="2231"/>
    <cellStyle name="40% - 강조색2 4 3 6" xfId="6368"/>
    <cellStyle name="40% - 강조색2 4 4" xfId="2232"/>
    <cellStyle name="40% - 강조색2 4 4 2" xfId="2233"/>
    <cellStyle name="40% - 강조색2 4 4 3" xfId="2234"/>
    <cellStyle name="40% - 강조색2 4 4 4" xfId="6369"/>
    <cellStyle name="40% - 강조색2 4 5" xfId="2235"/>
    <cellStyle name="40% - 강조색2 4 5 2" xfId="2236"/>
    <cellStyle name="40% - 강조색2 4 5 3" xfId="2237"/>
    <cellStyle name="40% - 강조색2 4 5 4" xfId="6370"/>
    <cellStyle name="40% - 강조색2 4 6" xfId="2238"/>
    <cellStyle name="40% - 강조색2 4 6 2" xfId="6371"/>
    <cellStyle name="40% - 강조색2 4 7" xfId="2239"/>
    <cellStyle name="40% - 강조색2 4 7 2" xfId="6372"/>
    <cellStyle name="40% - 강조색2 4 8" xfId="6373"/>
    <cellStyle name="40% - 강조색2 4 9" xfId="6374"/>
    <cellStyle name="40% - 강조색2 5" xfId="2240"/>
    <cellStyle name="40% - 강조색2 5 10" xfId="6375"/>
    <cellStyle name="40% - 강조색2 5 11" xfId="6376"/>
    <cellStyle name="40% - 강조색2 5 12" xfId="6377"/>
    <cellStyle name="40% - 강조색2 5 13" xfId="6378"/>
    <cellStyle name="40% - 강조색2 5 14" xfId="6379"/>
    <cellStyle name="40% - 강조색2 5 2" xfId="2241"/>
    <cellStyle name="40% - 강조색2 5 2 2" xfId="2242"/>
    <cellStyle name="40% - 강조색2 5 2 2 2" xfId="2243"/>
    <cellStyle name="40% - 강조색2 5 2 2 3" xfId="2244"/>
    <cellStyle name="40% - 강조색2 5 2 2 4" xfId="6380"/>
    <cellStyle name="40% - 강조색2 5 2 3" xfId="2245"/>
    <cellStyle name="40% - 강조색2 5 2 3 2" xfId="2246"/>
    <cellStyle name="40% - 강조색2 5 2 3 3" xfId="2247"/>
    <cellStyle name="40% - 강조색2 5 2 4" xfId="2248"/>
    <cellStyle name="40% - 강조색2 5 2 5" xfId="2249"/>
    <cellStyle name="40% - 강조색2 5 2 6" xfId="6381"/>
    <cellStyle name="40% - 강조색2 5 3" xfId="2250"/>
    <cellStyle name="40% - 강조색2 5 3 2" xfId="2251"/>
    <cellStyle name="40% - 강조색2 5 3 2 2" xfId="2252"/>
    <cellStyle name="40% - 강조색2 5 3 2 3" xfId="2253"/>
    <cellStyle name="40% - 강조색2 5 3 3" xfId="2254"/>
    <cellStyle name="40% - 강조색2 5 3 3 2" xfId="2255"/>
    <cellStyle name="40% - 강조색2 5 3 3 3" xfId="2256"/>
    <cellStyle name="40% - 강조색2 5 3 4" xfId="2257"/>
    <cellStyle name="40% - 강조색2 5 3 5" xfId="2258"/>
    <cellStyle name="40% - 강조색2 5 3 6" xfId="6382"/>
    <cellStyle name="40% - 강조색2 5 4" xfId="2259"/>
    <cellStyle name="40% - 강조색2 5 4 2" xfId="2260"/>
    <cellStyle name="40% - 강조색2 5 4 3" xfId="2261"/>
    <cellStyle name="40% - 강조색2 5 4 4" xfId="6383"/>
    <cellStyle name="40% - 강조색2 5 5" xfId="2262"/>
    <cellStyle name="40% - 강조색2 5 5 2" xfId="2263"/>
    <cellStyle name="40% - 강조색2 5 5 3" xfId="2264"/>
    <cellStyle name="40% - 강조색2 5 5 4" xfId="6384"/>
    <cellStyle name="40% - 강조색2 5 6" xfId="2265"/>
    <cellStyle name="40% - 강조색2 5 6 2" xfId="6385"/>
    <cellStyle name="40% - 강조색2 5 7" xfId="2266"/>
    <cellStyle name="40% - 강조색2 5 7 2" xfId="6386"/>
    <cellStyle name="40% - 강조색2 5 8" xfId="6387"/>
    <cellStyle name="40% - 강조색2 5 9" xfId="6388"/>
    <cellStyle name="40% - 강조색2 6" xfId="2267"/>
    <cellStyle name="40% - 강조색2 6 10" xfId="6389"/>
    <cellStyle name="40% - 강조색2 6 11" xfId="6390"/>
    <cellStyle name="40% - 강조색2 6 12" xfId="6391"/>
    <cellStyle name="40% - 강조색2 6 13" xfId="6392"/>
    <cellStyle name="40% - 강조색2 6 14" xfId="6393"/>
    <cellStyle name="40% - 강조색2 6 2" xfId="2268"/>
    <cellStyle name="40% - 강조색2 6 2 2" xfId="2269"/>
    <cellStyle name="40% - 강조색2 6 2 2 2" xfId="2270"/>
    <cellStyle name="40% - 강조색2 6 2 2 3" xfId="2271"/>
    <cellStyle name="40% - 강조색2 6 2 2 4" xfId="6394"/>
    <cellStyle name="40% - 강조색2 6 2 3" xfId="2272"/>
    <cellStyle name="40% - 강조색2 6 2 3 2" xfId="2273"/>
    <cellStyle name="40% - 강조색2 6 2 3 3" xfId="2274"/>
    <cellStyle name="40% - 강조색2 6 2 4" xfId="2275"/>
    <cellStyle name="40% - 강조색2 6 2 5" xfId="2276"/>
    <cellStyle name="40% - 강조색2 6 2 6" xfId="6395"/>
    <cellStyle name="40% - 강조색2 6 3" xfId="2277"/>
    <cellStyle name="40% - 강조색2 6 3 2" xfId="2278"/>
    <cellStyle name="40% - 강조색2 6 3 2 2" xfId="2279"/>
    <cellStyle name="40% - 강조색2 6 3 2 3" xfId="2280"/>
    <cellStyle name="40% - 강조색2 6 3 3" xfId="2281"/>
    <cellStyle name="40% - 강조색2 6 3 3 2" xfId="2282"/>
    <cellStyle name="40% - 강조색2 6 3 3 3" xfId="2283"/>
    <cellStyle name="40% - 강조색2 6 3 4" xfId="2284"/>
    <cellStyle name="40% - 강조색2 6 3 5" xfId="2285"/>
    <cellStyle name="40% - 강조색2 6 3 6" xfId="6396"/>
    <cellStyle name="40% - 강조색2 6 4" xfId="2286"/>
    <cellStyle name="40% - 강조색2 6 4 2" xfId="2287"/>
    <cellStyle name="40% - 강조색2 6 4 3" xfId="2288"/>
    <cellStyle name="40% - 강조색2 6 4 4" xfId="6397"/>
    <cellStyle name="40% - 강조색2 6 5" xfId="2289"/>
    <cellStyle name="40% - 강조색2 6 5 2" xfId="2290"/>
    <cellStyle name="40% - 강조색2 6 5 3" xfId="2291"/>
    <cellStyle name="40% - 강조색2 6 5 4" xfId="6398"/>
    <cellStyle name="40% - 강조색2 6 6" xfId="2292"/>
    <cellStyle name="40% - 강조색2 6 6 2" xfId="6399"/>
    <cellStyle name="40% - 강조색2 6 7" xfId="2293"/>
    <cellStyle name="40% - 강조색2 6 7 2" xfId="6400"/>
    <cellStyle name="40% - 강조색2 6 8" xfId="6401"/>
    <cellStyle name="40% - 강조색2 6 9" xfId="6402"/>
    <cellStyle name="40% - 강조색2 7" xfId="2294"/>
    <cellStyle name="40% - 강조색2 7 10" xfId="6403"/>
    <cellStyle name="40% - 강조색2 7 11" xfId="6404"/>
    <cellStyle name="40% - 강조색2 7 12" xfId="6405"/>
    <cellStyle name="40% - 강조색2 7 13" xfId="6406"/>
    <cellStyle name="40% - 강조색2 7 14" xfId="6407"/>
    <cellStyle name="40% - 강조색2 7 2" xfId="2295"/>
    <cellStyle name="40% - 강조색2 7 2 2" xfId="2296"/>
    <cellStyle name="40% - 강조색2 7 2 2 2" xfId="2297"/>
    <cellStyle name="40% - 강조색2 7 2 2 3" xfId="2298"/>
    <cellStyle name="40% - 강조색2 7 2 2 4" xfId="6408"/>
    <cellStyle name="40% - 강조색2 7 2 3" xfId="2299"/>
    <cellStyle name="40% - 강조색2 7 2 3 2" xfId="2300"/>
    <cellStyle name="40% - 강조색2 7 2 3 3" xfId="2301"/>
    <cellStyle name="40% - 강조색2 7 2 4" xfId="2302"/>
    <cellStyle name="40% - 강조색2 7 2 5" xfId="2303"/>
    <cellStyle name="40% - 강조색2 7 2 6" xfId="6409"/>
    <cellStyle name="40% - 강조색2 7 3" xfId="2304"/>
    <cellStyle name="40% - 강조색2 7 3 2" xfId="2305"/>
    <cellStyle name="40% - 강조색2 7 3 2 2" xfId="2306"/>
    <cellStyle name="40% - 강조색2 7 3 2 3" xfId="2307"/>
    <cellStyle name="40% - 강조색2 7 3 3" xfId="2308"/>
    <cellStyle name="40% - 강조색2 7 3 3 2" xfId="2309"/>
    <cellStyle name="40% - 강조색2 7 3 3 3" xfId="2310"/>
    <cellStyle name="40% - 강조색2 7 3 4" xfId="2311"/>
    <cellStyle name="40% - 강조색2 7 3 5" xfId="2312"/>
    <cellStyle name="40% - 강조색2 7 3 6" xfId="6410"/>
    <cellStyle name="40% - 강조색2 7 4" xfId="2313"/>
    <cellStyle name="40% - 강조색2 7 4 2" xfId="2314"/>
    <cellStyle name="40% - 강조색2 7 4 3" xfId="2315"/>
    <cellStyle name="40% - 강조색2 7 4 4" xfId="6411"/>
    <cellStyle name="40% - 강조색2 7 5" xfId="2316"/>
    <cellStyle name="40% - 강조색2 7 5 2" xfId="2317"/>
    <cellStyle name="40% - 강조색2 7 5 3" xfId="2318"/>
    <cellStyle name="40% - 강조색2 7 5 4" xfId="6412"/>
    <cellStyle name="40% - 강조색2 7 6" xfId="2319"/>
    <cellStyle name="40% - 강조색2 7 6 2" xfId="6413"/>
    <cellStyle name="40% - 강조색2 7 7" xfId="2320"/>
    <cellStyle name="40% - 강조색2 7 7 2" xfId="6414"/>
    <cellStyle name="40% - 강조색2 7 8" xfId="6415"/>
    <cellStyle name="40% - 강조색2 7 9" xfId="6416"/>
    <cellStyle name="40% - 강조색2 8" xfId="2321"/>
    <cellStyle name="40% - 강조색2 8 10" xfId="6417"/>
    <cellStyle name="40% - 강조색2 8 11" xfId="6418"/>
    <cellStyle name="40% - 강조색2 8 12" xfId="6419"/>
    <cellStyle name="40% - 강조색2 8 13" xfId="6420"/>
    <cellStyle name="40% - 강조색2 8 14" xfId="6421"/>
    <cellStyle name="40% - 강조색2 8 2" xfId="2322"/>
    <cellStyle name="40% - 강조색2 8 2 2" xfId="2323"/>
    <cellStyle name="40% - 강조색2 8 2 2 2" xfId="2324"/>
    <cellStyle name="40% - 강조색2 8 2 2 3" xfId="2325"/>
    <cellStyle name="40% - 강조색2 8 2 2 4" xfId="6422"/>
    <cellStyle name="40% - 강조색2 8 2 3" xfId="2326"/>
    <cellStyle name="40% - 강조색2 8 2 3 2" xfId="2327"/>
    <cellStyle name="40% - 강조색2 8 2 3 3" xfId="2328"/>
    <cellStyle name="40% - 강조색2 8 2 4" xfId="2329"/>
    <cellStyle name="40% - 강조색2 8 2 5" xfId="2330"/>
    <cellStyle name="40% - 강조색2 8 2 6" xfId="6423"/>
    <cellStyle name="40% - 강조색2 8 3" xfId="2331"/>
    <cellStyle name="40% - 강조색2 8 3 2" xfId="2332"/>
    <cellStyle name="40% - 강조색2 8 3 2 2" xfId="2333"/>
    <cellStyle name="40% - 강조색2 8 3 2 3" xfId="2334"/>
    <cellStyle name="40% - 강조색2 8 3 3" xfId="2335"/>
    <cellStyle name="40% - 강조색2 8 3 3 2" xfId="2336"/>
    <cellStyle name="40% - 강조색2 8 3 3 3" xfId="2337"/>
    <cellStyle name="40% - 강조색2 8 3 4" xfId="2338"/>
    <cellStyle name="40% - 강조색2 8 3 5" xfId="2339"/>
    <cellStyle name="40% - 강조색2 8 3 6" xfId="6424"/>
    <cellStyle name="40% - 강조색2 8 4" xfId="2340"/>
    <cellStyle name="40% - 강조색2 8 4 2" xfId="2341"/>
    <cellStyle name="40% - 강조색2 8 4 3" xfId="2342"/>
    <cellStyle name="40% - 강조색2 8 4 4" xfId="6425"/>
    <cellStyle name="40% - 강조색2 8 5" xfId="2343"/>
    <cellStyle name="40% - 강조색2 8 5 2" xfId="2344"/>
    <cellStyle name="40% - 강조색2 8 5 3" xfId="2345"/>
    <cellStyle name="40% - 강조색2 8 5 4" xfId="6426"/>
    <cellStyle name="40% - 강조색2 8 6" xfId="2346"/>
    <cellStyle name="40% - 강조색2 8 6 2" xfId="6427"/>
    <cellStyle name="40% - 강조색2 8 7" xfId="2347"/>
    <cellStyle name="40% - 강조색2 8 7 2" xfId="6428"/>
    <cellStyle name="40% - 강조색2 8 8" xfId="6429"/>
    <cellStyle name="40% - 강조색2 8 9" xfId="6430"/>
    <cellStyle name="40% - 강조색2 9" xfId="2348"/>
    <cellStyle name="40% - 강조색2 9 10" xfId="6431"/>
    <cellStyle name="40% - 강조색2 9 11" xfId="6432"/>
    <cellStyle name="40% - 강조색2 9 12" xfId="6433"/>
    <cellStyle name="40% - 강조색2 9 13" xfId="6434"/>
    <cellStyle name="40% - 강조색2 9 14" xfId="6435"/>
    <cellStyle name="40% - 강조색2 9 2" xfId="2349"/>
    <cellStyle name="40% - 강조색2 9 2 2" xfId="2350"/>
    <cellStyle name="40% - 강조색2 9 2 2 2" xfId="6436"/>
    <cellStyle name="40% - 강조색2 9 2 3" xfId="2351"/>
    <cellStyle name="40% - 강조색2 9 2 4" xfId="6437"/>
    <cellStyle name="40% - 강조색2 9 3" xfId="2352"/>
    <cellStyle name="40% - 강조색2 9 3 2" xfId="2353"/>
    <cellStyle name="40% - 강조색2 9 3 3" xfId="2354"/>
    <cellStyle name="40% - 강조색2 9 3 4" xfId="6438"/>
    <cellStyle name="40% - 강조색2 9 4" xfId="2355"/>
    <cellStyle name="40% - 강조색2 9 4 2" xfId="6439"/>
    <cellStyle name="40% - 강조색2 9 5" xfId="2356"/>
    <cellStyle name="40% - 강조색2 9 5 2" xfId="6440"/>
    <cellStyle name="40% - 강조색2 9 6" xfId="6441"/>
    <cellStyle name="40% - 강조색2 9 7" xfId="6442"/>
    <cellStyle name="40% - 강조색2 9 8" xfId="6443"/>
    <cellStyle name="40% - 강조색2 9 9" xfId="6444"/>
    <cellStyle name="40% - 강조색3" xfId="4323" builtinId="39" customBuiltin="1"/>
    <cellStyle name="40% - 강조색3 10" xfId="2357"/>
    <cellStyle name="40% - 강조색3 10 10" xfId="6445"/>
    <cellStyle name="40% - 강조색3 10 11" xfId="6446"/>
    <cellStyle name="40% - 강조색3 10 12" xfId="6447"/>
    <cellStyle name="40% - 강조색3 10 13" xfId="6448"/>
    <cellStyle name="40% - 강조색3 10 14" xfId="6449"/>
    <cellStyle name="40% - 강조색3 10 2" xfId="2358"/>
    <cellStyle name="40% - 강조색3 10 2 2" xfId="2359"/>
    <cellStyle name="40% - 강조색3 10 2 2 2" xfId="6450"/>
    <cellStyle name="40% - 강조색3 10 2 3" xfId="2360"/>
    <cellStyle name="40% - 강조색3 10 2 4" xfId="6451"/>
    <cellStyle name="40% - 강조색3 10 3" xfId="2361"/>
    <cellStyle name="40% - 강조색3 10 3 2" xfId="2362"/>
    <cellStyle name="40% - 강조색3 10 3 3" xfId="2363"/>
    <cellStyle name="40% - 강조색3 10 3 4" xfId="6452"/>
    <cellStyle name="40% - 강조색3 10 4" xfId="2364"/>
    <cellStyle name="40% - 강조색3 10 4 2" xfId="6453"/>
    <cellStyle name="40% - 강조색3 10 5" xfId="2365"/>
    <cellStyle name="40% - 강조색3 10 5 2" xfId="6454"/>
    <cellStyle name="40% - 강조색3 10 6" xfId="6455"/>
    <cellStyle name="40% - 강조색3 10 7" xfId="6456"/>
    <cellStyle name="40% - 강조색3 10 8" xfId="6457"/>
    <cellStyle name="40% - 강조색3 10 9" xfId="6458"/>
    <cellStyle name="40% - 강조색3 11" xfId="2366"/>
    <cellStyle name="40% - 강조색3 11 10" xfId="6459"/>
    <cellStyle name="40% - 강조색3 11 11" xfId="6460"/>
    <cellStyle name="40% - 강조색3 11 12" xfId="6461"/>
    <cellStyle name="40% - 강조색3 11 13" xfId="6462"/>
    <cellStyle name="40% - 강조색3 11 14" xfId="6463"/>
    <cellStyle name="40% - 강조색3 11 2" xfId="2367"/>
    <cellStyle name="40% - 강조색3 11 2 2" xfId="2368"/>
    <cellStyle name="40% - 강조색3 11 2 2 2" xfId="6464"/>
    <cellStyle name="40% - 강조색3 11 2 3" xfId="2369"/>
    <cellStyle name="40% - 강조색3 11 2 4" xfId="6465"/>
    <cellStyle name="40% - 강조색3 11 3" xfId="2370"/>
    <cellStyle name="40% - 강조색3 11 3 2" xfId="2371"/>
    <cellStyle name="40% - 강조색3 11 3 3" xfId="2372"/>
    <cellStyle name="40% - 강조색3 11 3 4" xfId="6466"/>
    <cellStyle name="40% - 강조색3 11 4" xfId="2373"/>
    <cellStyle name="40% - 강조색3 11 4 2" xfId="6467"/>
    <cellStyle name="40% - 강조색3 11 5" xfId="2374"/>
    <cellStyle name="40% - 강조색3 11 5 2" xfId="6468"/>
    <cellStyle name="40% - 강조색3 11 6" xfId="6469"/>
    <cellStyle name="40% - 강조색3 11 7" xfId="6470"/>
    <cellStyle name="40% - 강조색3 11 8" xfId="6471"/>
    <cellStyle name="40% - 강조색3 11 9" xfId="6472"/>
    <cellStyle name="40% - 강조색3 12" xfId="2375"/>
    <cellStyle name="40% - 강조색3 12 10" xfId="6473"/>
    <cellStyle name="40% - 강조색3 12 11" xfId="6474"/>
    <cellStyle name="40% - 강조색3 12 12" xfId="6475"/>
    <cellStyle name="40% - 강조색3 12 13" xfId="6476"/>
    <cellStyle name="40% - 강조색3 12 14" xfId="6477"/>
    <cellStyle name="40% - 강조색3 12 2" xfId="2376"/>
    <cellStyle name="40% - 강조색3 12 2 2" xfId="2377"/>
    <cellStyle name="40% - 강조색3 12 2 2 2" xfId="6478"/>
    <cellStyle name="40% - 강조색3 12 2 3" xfId="2378"/>
    <cellStyle name="40% - 강조색3 12 2 4" xfId="6479"/>
    <cellStyle name="40% - 강조색3 12 3" xfId="2379"/>
    <cellStyle name="40% - 강조색3 12 3 2" xfId="2380"/>
    <cellStyle name="40% - 강조색3 12 3 3" xfId="2381"/>
    <cellStyle name="40% - 강조색3 12 3 4" xfId="6480"/>
    <cellStyle name="40% - 강조색3 12 4" xfId="2382"/>
    <cellStyle name="40% - 강조색3 12 4 2" xfId="6481"/>
    <cellStyle name="40% - 강조색3 12 5" xfId="2383"/>
    <cellStyle name="40% - 강조색3 12 5 2" xfId="6482"/>
    <cellStyle name="40% - 강조색3 12 6" xfId="6483"/>
    <cellStyle name="40% - 강조색3 12 7" xfId="6484"/>
    <cellStyle name="40% - 강조색3 12 8" xfId="6485"/>
    <cellStyle name="40% - 강조색3 12 9" xfId="6486"/>
    <cellStyle name="40% - 강조색3 13" xfId="2384"/>
    <cellStyle name="40% - 강조색3 13 10" xfId="6487"/>
    <cellStyle name="40% - 강조색3 13 11" xfId="6488"/>
    <cellStyle name="40% - 강조색3 13 12" xfId="6489"/>
    <cellStyle name="40% - 강조색3 13 13" xfId="6490"/>
    <cellStyle name="40% - 강조색3 13 14" xfId="6491"/>
    <cellStyle name="40% - 강조색3 13 2" xfId="2385"/>
    <cellStyle name="40% - 강조색3 13 2 2" xfId="2386"/>
    <cellStyle name="40% - 강조색3 13 2 2 2" xfId="6492"/>
    <cellStyle name="40% - 강조색3 13 2 3" xfId="2387"/>
    <cellStyle name="40% - 강조색3 13 2 4" xfId="6493"/>
    <cellStyle name="40% - 강조색3 13 3" xfId="2388"/>
    <cellStyle name="40% - 강조색3 13 3 2" xfId="2389"/>
    <cellStyle name="40% - 강조색3 13 3 3" xfId="2390"/>
    <cellStyle name="40% - 강조색3 13 3 4" xfId="6494"/>
    <cellStyle name="40% - 강조색3 13 4" xfId="2391"/>
    <cellStyle name="40% - 강조색3 13 4 2" xfId="6495"/>
    <cellStyle name="40% - 강조색3 13 5" xfId="2392"/>
    <cellStyle name="40% - 강조색3 13 5 2" xfId="6496"/>
    <cellStyle name="40% - 강조색3 13 6" xfId="6497"/>
    <cellStyle name="40% - 강조색3 13 7" xfId="6498"/>
    <cellStyle name="40% - 강조색3 13 8" xfId="6499"/>
    <cellStyle name="40% - 강조색3 13 9" xfId="6500"/>
    <cellStyle name="40% - 강조색3 14" xfId="2393"/>
    <cellStyle name="40% - 강조색3 14 10" xfId="6501"/>
    <cellStyle name="40% - 강조색3 14 11" xfId="6502"/>
    <cellStyle name="40% - 강조색3 14 12" xfId="6503"/>
    <cellStyle name="40% - 강조색3 14 13" xfId="6504"/>
    <cellStyle name="40% - 강조색3 14 14" xfId="6505"/>
    <cellStyle name="40% - 강조색3 14 2" xfId="2394"/>
    <cellStyle name="40% - 강조색3 14 2 2" xfId="2395"/>
    <cellStyle name="40% - 강조색3 14 2 2 2" xfId="6506"/>
    <cellStyle name="40% - 강조색3 14 2 3" xfId="2396"/>
    <cellStyle name="40% - 강조색3 14 2 4" xfId="6507"/>
    <cellStyle name="40% - 강조색3 14 3" xfId="2397"/>
    <cellStyle name="40% - 강조색3 14 3 2" xfId="2398"/>
    <cellStyle name="40% - 강조색3 14 3 3" xfId="2399"/>
    <cellStyle name="40% - 강조색3 14 3 4" xfId="6508"/>
    <cellStyle name="40% - 강조색3 14 4" xfId="2400"/>
    <cellStyle name="40% - 강조색3 14 4 2" xfId="6509"/>
    <cellStyle name="40% - 강조색3 14 5" xfId="2401"/>
    <cellStyle name="40% - 강조색3 14 5 2" xfId="6510"/>
    <cellStyle name="40% - 강조색3 14 6" xfId="6511"/>
    <cellStyle name="40% - 강조색3 14 7" xfId="6512"/>
    <cellStyle name="40% - 강조색3 14 8" xfId="6513"/>
    <cellStyle name="40% - 강조색3 14 9" xfId="6514"/>
    <cellStyle name="40% - 강조색3 15" xfId="2402"/>
    <cellStyle name="40% - 강조색3 15 10" xfId="6515"/>
    <cellStyle name="40% - 강조색3 15 11" xfId="6516"/>
    <cellStyle name="40% - 강조색3 15 12" xfId="6517"/>
    <cellStyle name="40% - 강조색3 15 13" xfId="6518"/>
    <cellStyle name="40% - 강조색3 15 14" xfId="6519"/>
    <cellStyle name="40% - 강조색3 15 2" xfId="2403"/>
    <cellStyle name="40% - 강조색3 15 2 2" xfId="2404"/>
    <cellStyle name="40% - 강조색3 15 2 2 2" xfId="6520"/>
    <cellStyle name="40% - 강조색3 15 2 3" xfId="2405"/>
    <cellStyle name="40% - 강조색3 15 2 4" xfId="6521"/>
    <cellStyle name="40% - 강조색3 15 3" xfId="2406"/>
    <cellStyle name="40% - 강조색3 15 3 2" xfId="2407"/>
    <cellStyle name="40% - 강조색3 15 3 3" xfId="2408"/>
    <cellStyle name="40% - 강조색3 15 3 4" xfId="6522"/>
    <cellStyle name="40% - 강조색3 15 4" xfId="2409"/>
    <cellStyle name="40% - 강조색3 15 4 2" xfId="6523"/>
    <cellStyle name="40% - 강조색3 15 5" xfId="2410"/>
    <cellStyle name="40% - 강조색3 15 5 2" xfId="6524"/>
    <cellStyle name="40% - 강조색3 15 6" xfId="6525"/>
    <cellStyle name="40% - 강조색3 15 7" xfId="6526"/>
    <cellStyle name="40% - 강조색3 15 8" xfId="6527"/>
    <cellStyle name="40% - 강조색3 15 9" xfId="6528"/>
    <cellStyle name="40% - 강조색3 16" xfId="2411"/>
    <cellStyle name="40% - 강조색3 16 10" xfId="6529"/>
    <cellStyle name="40% - 강조색3 16 11" xfId="6530"/>
    <cellStyle name="40% - 강조색3 16 12" xfId="6531"/>
    <cellStyle name="40% - 강조색3 16 13" xfId="6532"/>
    <cellStyle name="40% - 강조색3 16 14" xfId="6533"/>
    <cellStyle name="40% - 강조색3 16 2" xfId="2412"/>
    <cellStyle name="40% - 강조색3 16 2 2" xfId="2413"/>
    <cellStyle name="40% - 강조색3 16 2 2 2" xfId="6534"/>
    <cellStyle name="40% - 강조색3 16 2 3" xfId="2414"/>
    <cellStyle name="40% - 강조색3 16 2 4" xfId="6535"/>
    <cellStyle name="40% - 강조색3 16 3" xfId="2415"/>
    <cellStyle name="40% - 강조색3 16 3 2" xfId="2416"/>
    <cellStyle name="40% - 강조색3 16 3 3" xfId="2417"/>
    <cellStyle name="40% - 강조색3 16 3 4" xfId="6536"/>
    <cellStyle name="40% - 강조색3 16 4" xfId="2418"/>
    <cellStyle name="40% - 강조색3 16 4 2" xfId="6537"/>
    <cellStyle name="40% - 강조색3 16 5" xfId="2419"/>
    <cellStyle name="40% - 강조색3 16 5 2" xfId="6538"/>
    <cellStyle name="40% - 강조색3 16 6" xfId="6539"/>
    <cellStyle name="40% - 강조색3 16 7" xfId="6540"/>
    <cellStyle name="40% - 강조색3 16 8" xfId="6541"/>
    <cellStyle name="40% - 강조색3 16 9" xfId="6542"/>
    <cellStyle name="40% - 강조색3 17" xfId="2420"/>
    <cellStyle name="40% - 강조색3 17 10" xfId="6543"/>
    <cellStyle name="40% - 강조색3 17 11" xfId="6544"/>
    <cellStyle name="40% - 강조색3 17 12" xfId="6545"/>
    <cellStyle name="40% - 강조색3 17 13" xfId="6546"/>
    <cellStyle name="40% - 강조색3 17 14" xfId="6547"/>
    <cellStyle name="40% - 강조색3 17 2" xfId="2421"/>
    <cellStyle name="40% - 강조색3 17 2 2" xfId="2422"/>
    <cellStyle name="40% - 강조색3 17 2 3" xfId="2423"/>
    <cellStyle name="40% - 강조색3 17 2 4" xfId="6548"/>
    <cellStyle name="40% - 강조색3 17 3" xfId="2424"/>
    <cellStyle name="40% - 강조색3 17 3 2" xfId="6549"/>
    <cellStyle name="40% - 강조색3 17 4" xfId="2425"/>
    <cellStyle name="40% - 강조색3 17 4 2" xfId="6550"/>
    <cellStyle name="40% - 강조색3 17 5" xfId="6551"/>
    <cellStyle name="40% - 강조색3 17 6" xfId="6552"/>
    <cellStyle name="40% - 강조색3 17 7" xfId="6553"/>
    <cellStyle name="40% - 강조색3 17 8" xfId="6554"/>
    <cellStyle name="40% - 강조색3 17 9" xfId="6555"/>
    <cellStyle name="40% - 강조색3 18" xfId="2426"/>
    <cellStyle name="40% - 강조색3 18 10" xfId="6556"/>
    <cellStyle name="40% - 강조색3 18 11" xfId="6557"/>
    <cellStyle name="40% - 강조색3 18 12" xfId="6558"/>
    <cellStyle name="40% - 강조색3 18 13" xfId="6559"/>
    <cellStyle name="40% - 강조색3 18 14" xfId="6560"/>
    <cellStyle name="40% - 강조색3 18 2" xfId="2427"/>
    <cellStyle name="40% - 강조색3 18 2 2" xfId="2428"/>
    <cellStyle name="40% - 강조색3 18 2 3" xfId="2429"/>
    <cellStyle name="40% - 강조색3 18 2 4" xfId="6561"/>
    <cellStyle name="40% - 강조색3 18 3" xfId="2430"/>
    <cellStyle name="40% - 강조색3 18 3 2" xfId="6562"/>
    <cellStyle name="40% - 강조색3 18 4" xfId="2431"/>
    <cellStyle name="40% - 강조색3 18 4 2" xfId="6563"/>
    <cellStyle name="40% - 강조색3 18 5" xfId="6564"/>
    <cellStyle name="40% - 강조색3 18 6" xfId="6565"/>
    <cellStyle name="40% - 강조색3 18 7" xfId="6566"/>
    <cellStyle name="40% - 강조색3 18 8" xfId="6567"/>
    <cellStyle name="40% - 강조색3 18 9" xfId="6568"/>
    <cellStyle name="40% - 강조색3 19" xfId="2432"/>
    <cellStyle name="40% - 강조색3 19 10" xfId="6569"/>
    <cellStyle name="40% - 강조색3 19 11" xfId="6570"/>
    <cellStyle name="40% - 강조색3 19 12" xfId="6571"/>
    <cellStyle name="40% - 강조색3 19 13" xfId="6572"/>
    <cellStyle name="40% - 강조색3 19 14" xfId="6573"/>
    <cellStyle name="40% - 강조색3 19 2" xfId="2433"/>
    <cellStyle name="40% - 강조색3 19 2 2" xfId="2434"/>
    <cellStyle name="40% - 강조색3 19 2 3" xfId="2435"/>
    <cellStyle name="40% - 강조색3 19 2 4" xfId="6574"/>
    <cellStyle name="40% - 강조색3 19 3" xfId="2436"/>
    <cellStyle name="40% - 강조색3 19 3 2" xfId="6575"/>
    <cellStyle name="40% - 강조색3 19 4" xfId="2437"/>
    <cellStyle name="40% - 강조색3 19 4 2" xfId="6576"/>
    <cellStyle name="40% - 강조색3 19 5" xfId="6577"/>
    <cellStyle name="40% - 강조색3 19 6" xfId="6578"/>
    <cellStyle name="40% - 강조색3 19 7" xfId="6579"/>
    <cellStyle name="40% - 강조색3 19 8" xfId="6580"/>
    <cellStyle name="40% - 강조색3 19 9" xfId="6581"/>
    <cellStyle name="40% - 강조색3 2" xfId="2438"/>
    <cellStyle name="40% - 강조색3 2 10" xfId="6582"/>
    <cellStyle name="40% - 강조색3 2 11" xfId="6583"/>
    <cellStyle name="40% - 강조색3 2 12" xfId="6584"/>
    <cellStyle name="40% - 강조색3 2 13" xfId="6585"/>
    <cellStyle name="40% - 강조색3 2 2" xfId="6586"/>
    <cellStyle name="40% - 강조색3 2 2 2" xfId="6587"/>
    <cellStyle name="40% - 강조색3 2 3" xfId="6588"/>
    <cellStyle name="40% - 강조색3 2 3 2" xfId="6589"/>
    <cellStyle name="40% - 강조색3 2 4" xfId="6590"/>
    <cellStyle name="40% - 강조색3 2 4 2" xfId="6591"/>
    <cellStyle name="40% - 강조색3 2 5" xfId="6592"/>
    <cellStyle name="40% - 강조색3 2 6" xfId="6593"/>
    <cellStyle name="40% - 강조색3 2 7" xfId="6594"/>
    <cellStyle name="40% - 강조색3 2 8" xfId="6595"/>
    <cellStyle name="40% - 강조색3 2 9" xfId="6596"/>
    <cellStyle name="40% - 강조색3 20" xfId="2439"/>
    <cellStyle name="40% - 강조색3 20 2" xfId="2440"/>
    <cellStyle name="40% - 강조색3 20 3" xfId="2441"/>
    <cellStyle name="40% - 강조색3 20 4" xfId="6597"/>
    <cellStyle name="40% - 강조색3 21" xfId="2442"/>
    <cellStyle name="40% - 강조색3 21 2" xfId="2443"/>
    <cellStyle name="40% - 강조색3 21 3" xfId="2444"/>
    <cellStyle name="40% - 강조색3 21 4" xfId="6598"/>
    <cellStyle name="40% - 강조색3 22" xfId="2445"/>
    <cellStyle name="40% - 강조색3 22 2" xfId="2446"/>
    <cellStyle name="40% - 강조색3 22 3" xfId="2447"/>
    <cellStyle name="40% - 강조색3 22 4" xfId="6599"/>
    <cellStyle name="40% - 강조색3 23" xfId="2448"/>
    <cellStyle name="40% - 강조색3 23 2" xfId="2449"/>
    <cellStyle name="40% - 강조색3 23 3" xfId="2450"/>
    <cellStyle name="40% - 강조색3 23 4" xfId="6600"/>
    <cellStyle name="40% - 강조색3 24" xfId="2451"/>
    <cellStyle name="40% - 강조색3 24 2" xfId="2452"/>
    <cellStyle name="40% - 강조색3 24 3" xfId="2453"/>
    <cellStyle name="40% - 강조색3 24 4" xfId="6601"/>
    <cellStyle name="40% - 강조색3 25" xfId="2454"/>
    <cellStyle name="40% - 강조색3 25 2" xfId="2455"/>
    <cellStyle name="40% - 강조색3 25 3" xfId="2456"/>
    <cellStyle name="40% - 강조색3 25 4" xfId="6602"/>
    <cellStyle name="40% - 강조색3 26" xfId="2457"/>
    <cellStyle name="40% - 강조색3 26 2" xfId="2458"/>
    <cellStyle name="40% - 강조색3 26 3" xfId="2459"/>
    <cellStyle name="40% - 강조색3 26 4" xfId="6603"/>
    <cellStyle name="40% - 강조색3 27" xfId="2460"/>
    <cellStyle name="40% - 강조색3 27 2" xfId="2461"/>
    <cellStyle name="40% - 강조색3 27 3" xfId="2462"/>
    <cellStyle name="40% - 강조색3 27 4" xfId="6604"/>
    <cellStyle name="40% - 강조색3 28" xfId="2463"/>
    <cellStyle name="40% - 강조색3 28 2" xfId="2464"/>
    <cellStyle name="40% - 강조색3 28 3" xfId="2465"/>
    <cellStyle name="40% - 강조색3 28 4" xfId="6605"/>
    <cellStyle name="40% - 강조색3 29" xfId="2466"/>
    <cellStyle name="40% - 강조색3 29 2" xfId="2467"/>
    <cellStyle name="40% - 강조색3 29 3" xfId="2468"/>
    <cellStyle name="40% - 강조색3 29 4" xfId="6606"/>
    <cellStyle name="40% - 강조색3 3" xfId="2469"/>
    <cellStyle name="40% - 강조색3 3 10" xfId="6607"/>
    <cellStyle name="40% - 강조색3 3 11" xfId="6608"/>
    <cellStyle name="40% - 강조색3 3 12" xfId="6609"/>
    <cellStyle name="40% - 강조색3 3 13" xfId="6610"/>
    <cellStyle name="40% - 강조색3 3 14" xfId="6611"/>
    <cellStyle name="40% - 강조색3 3 2" xfId="2470"/>
    <cellStyle name="40% - 강조색3 3 2 2" xfId="2471"/>
    <cellStyle name="40% - 강조색3 3 2 2 2" xfId="2472"/>
    <cellStyle name="40% - 강조색3 3 2 2 3" xfId="2473"/>
    <cellStyle name="40% - 강조색3 3 2 2 4" xfId="6612"/>
    <cellStyle name="40% - 강조색3 3 2 3" xfId="2474"/>
    <cellStyle name="40% - 강조색3 3 2 3 2" xfId="2475"/>
    <cellStyle name="40% - 강조색3 3 2 3 3" xfId="2476"/>
    <cellStyle name="40% - 강조색3 3 2 4" xfId="2477"/>
    <cellStyle name="40% - 강조색3 3 2 5" xfId="2478"/>
    <cellStyle name="40% - 강조색3 3 2 6" xfId="6613"/>
    <cellStyle name="40% - 강조색3 3 3" xfId="2479"/>
    <cellStyle name="40% - 강조색3 3 3 2" xfId="2480"/>
    <cellStyle name="40% - 강조색3 3 3 2 2" xfId="2481"/>
    <cellStyle name="40% - 강조색3 3 3 2 3" xfId="2482"/>
    <cellStyle name="40% - 강조색3 3 3 3" xfId="2483"/>
    <cellStyle name="40% - 강조색3 3 3 3 2" xfId="2484"/>
    <cellStyle name="40% - 강조색3 3 3 3 3" xfId="2485"/>
    <cellStyle name="40% - 강조색3 3 3 4" xfId="2486"/>
    <cellStyle name="40% - 강조색3 3 3 5" xfId="2487"/>
    <cellStyle name="40% - 강조색3 3 3 6" xfId="6614"/>
    <cellStyle name="40% - 강조색3 3 4" xfId="2488"/>
    <cellStyle name="40% - 강조색3 3 4 2" xfId="2489"/>
    <cellStyle name="40% - 강조색3 3 4 3" xfId="2490"/>
    <cellStyle name="40% - 강조색3 3 4 4" xfId="6615"/>
    <cellStyle name="40% - 강조색3 3 5" xfId="2491"/>
    <cellStyle name="40% - 강조색3 3 5 2" xfId="2492"/>
    <cellStyle name="40% - 강조색3 3 5 3" xfId="2493"/>
    <cellStyle name="40% - 강조색3 3 5 4" xfId="6616"/>
    <cellStyle name="40% - 강조색3 3 6" xfId="2494"/>
    <cellStyle name="40% - 강조색3 3 6 2" xfId="6617"/>
    <cellStyle name="40% - 강조색3 3 7" xfId="2495"/>
    <cellStyle name="40% - 강조색3 3 7 2" xfId="6618"/>
    <cellStyle name="40% - 강조색3 3 8" xfId="6619"/>
    <cellStyle name="40% - 강조색3 3 9" xfId="6620"/>
    <cellStyle name="40% - 강조색3 30" xfId="2496"/>
    <cellStyle name="40% - 강조색3 30 2" xfId="2497"/>
    <cellStyle name="40% - 강조색3 30 3" xfId="6621"/>
    <cellStyle name="40% - 강조색3 31" xfId="2498"/>
    <cellStyle name="40% - 강조색3 31 2" xfId="6622"/>
    <cellStyle name="40% - 강조색3 32" xfId="2499"/>
    <cellStyle name="40% - 강조색3 32 2" xfId="6623"/>
    <cellStyle name="40% - 강조색3 33" xfId="2500"/>
    <cellStyle name="40% - 강조색3 34" xfId="2501"/>
    <cellStyle name="40% - 강조색3 35" xfId="2502"/>
    <cellStyle name="40% - 강조색3 36" xfId="2503"/>
    <cellStyle name="40% - 강조색3 37" xfId="2504"/>
    <cellStyle name="40% - 강조색3 38" xfId="2505"/>
    <cellStyle name="40% - 강조색3 4" xfId="2506"/>
    <cellStyle name="40% - 강조색3 4 10" xfId="6624"/>
    <cellStyle name="40% - 강조색3 4 11" xfId="6625"/>
    <cellStyle name="40% - 강조색3 4 12" xfId="6626"/>
    <cellStyle name="40% - 강조색3 4 13" xfId="6627"/>
    <cellStyle name="40% - 강조색3 4 14" xfId="6628"/>
    <cellStyle name="40% - 강조색3 4 2" xfId="2507"/>
    <cellStyle name="40% - 강조색3 4 2 2" xfId="2508"/>
    <cellStyle name="40% - 강조색3 4 2 2 2" xfId="2509"/>
    <cellStyle name="40% - 강조색3 4 2 2 3" xfId="2510"/>
    <cellStyle name="40% - 강조색3 4 2 2 4" xfId="6629"/>
    <cellStyle name="40% - 강조색3 4 2 3" xfId="2511"/>
    <cellStyle name="40% - 강조색3 4 2 3 2" xfId="2512"/>
    <cellStyle name="40% - 강조색3 4 2 3 3" xfId="2513"/>
    <cellStyle name="40% - 강조색3 4 2 4" xfId="2514"/>
    <cellStyle name="40% - 강조색3 4 2 5" xfId="2515"/>
    <cellStyle name="40% - 강조색3 4 2 6" xfId="6630"/>
    <cellStyle name="40% - 강조색3 4 3" xfId="2516"/>
    <cellStyle name="40% - 강조색3 4 3 2" xfId="2517"/>
    <cellStyle name="40% - 강조색3 4 3 2 2" xfId="2518"/>
    <cellStyle name="40% - 강조색3 4 3 2 3" xfId="2519"/>
    <cellStyle name="40% - 강조색3 4 3 3" xfId="2520"/>
    <cellStyle name="40% - 강조색3 4 3 3 2" xfId="2521"/>
    <cellStyle name="40% - 강조색3 4 3 3 3" xfId="2522"/>
    <cellStyle name="40% - 강조색3 4 3 4" xfId="2523"/>
    <cellStyle name="40% - 강조색3 4 3 5" xfId="2524"/>
    <cellStyle name="40% - 강조색3 4 3 6" xfId="6631"/>
    <cellStyle name="40% - 강조색3 4 4" xfId="2525"/>
    <cellStyle name="40% - 강조색3 4 4 2" xfId="2526"/>
    <cellStyle name="40% - 강조색3 4 4 3" xfId="2527"/>
    <cellStyle name="40% - 강조색3 4 4 4" xfId="6632"/>
    <cellStyle name="40% - 강조색3 4 5" xfId="2528"/>
    <cellStyle name="40% - 강조색3 4 5 2" xfId="2529"/>
    <cellStyle name="40% - 강조색3 4 5 3" xfId="2530"/>
    <cellStyle name="40% - 강조색3 4 5 4" xfId="6633"/>
    <cellStyle name="40% - 강조색3 4 6" xfId="2531"/>
    <cellStyle name="40% - 강조색3 4 6 2" xfId="6634"/>
    <cellStyle name="40% - 강조색3 4 7" xfId="2532"/>
    <cellStyle name="40% - 강조색3 4 7 2" xfId="6635"/>
    <cellStyle name="40% - 강조색3 4 8" xfId="6636"/>
    <cellStyle name="40% - 강조색3 4 9" xfId="6637"/>
    <cellStyle name="40% - 강조색3 5" xfId="2533"/>
    <cellStyle name="40% - 강조색3 5 10" xfId="6638"/>
    <cellStyle name="40% - 강조색3 5 11" xfId="6639"/>
    <cellStyle name="40% - 강조색3 5 12" xfId="6640"/>
    <cellStyle name="40% - 강조색3 5 13" xfId="6641"/>
    <cellStyle name="40% - 강조색3 5 14" xfId="6642"/>
    <cellStyle name="40% - 강조색3 5 2" xfId="2534"/>
    <cellStyle name="40% - 강조색3 5 2 2" xfId="2535"/>
    <cellStyle name="40% - 강조색3 5 2 2 2" xfId="2536"/>
    <cellStyle name="40% - 강조색3 5 2 2 3" xfId="2537"/>
    <cellStyle name="40% - 강조색3 5 2 2 4" xfId="6643"/>
    <cellStyle name="40% - 강조색3 5 2 3" xfId="2538"/>
    <cellStyle name="40% - 강조색3 5 2 3 2" xfId="2539"/>
    <cellStyle name="40% - 강조색3 5 2 3 3" xfId="2540"/>
    <cellStyle name="40% - 강조색3 5 2 4" xfId="2541"/>
    <cellStyle name="40% - 강조색3 5 2 5" xfId="2542"/>
    <cellStyle name="40% - 강조색3 5 2 6" xfId="6644"/>
    <cellStyle name="40% - 강조색3 5 3" xfId="2543"/>
    <cellStyle name="40% - 강조색3 5 3 2" xfId="2544"/>
    <cellStyle name="40% - 강조색3 5 3 2 2" xfId="2545"/>
    <cellStyle name="40% - 강조색3 5 3 2 3" xfId="2546"/>
    <cellStyle name="40% - 강조색3 5 3 3" xfId="2547"/>
    <cellStyle name="40% - 강조색3 5 3 3 2" xfId="2548"/>
    <cellStyle name="40% - 강조색3 5 3 3 3" xfId="2549"/>
    <cellStyle name="40% - 강조색3 5 3 4" xfId="2550"/>
    <cellStyle name="40% - 강조색3 5 3 5" xfId="2551"/>
    <cellStyle name="40% - 강조색3 5 3 6" xfId="6645"/>
    <cellStyle name="40% - 강조색3 5 4" xfId="2552"/>
    <cellStyle name="40% - 강조색3 5 4 2" xfId="2553"/>
    <cellStyle name="40% - 강조색3 5 4 3" xfId="2554"/>
    <cellStyle name="40% - 강조색3 5 4 4" xfId="6646"/>
    <cellStyle name="40% - 강조색3 5 5" xfId="2555"/>
    <cellStyle name="40% - 강조색3 5 5 2" xfId="2556"/>
    <cellStyle name="40% - 강조색3 5 5 3" xfId="2557"/>
    <cellStyle name="40% - 강조색3 5 5 4" xfId="6647"/>
    <cellStyle name="40% - 강조색3 5 6" xfId="2558"/>
    <cellStyle name="40% - 강조색3 5 6 2" xfId="6648"/>
    <cellStyle name="40% - 강조색3 5 7" xfId="2559"/>
    <cellStyle name="40% - 강조색3 5 7 2" xfId="6649"/>
    <cellStyle name="40% - 강조색3 5 8" xfId="6650"/>
    <cellStyle name="40% - 강조색3 5 9" xfId="6651"/>
    <cellStyle name="40% - 강조색3 6" xfId="2560"/>
    <cellStyle name="40% - 강조색3 6 10" xfId="6652"/>
    <cellStyle name="40% - 강조색3 6 11" xfId="6653"/>
    <cellStyle name="40% - 강조색3 6 12" xfId="6654"/>
    <cellStyle name="40% - 강조색3 6 13" xfId="6655"/>
    <cellStyle name="40% - 강조색3 6 14" xfId="6656"/>
    <cellStyle name="40% - 강조색3 6 2" xfId="2561"/>
    <cellStyle name="40% - 강조색3 6 2 2" xfId="2562"/>
    <cellStyle name="40% - 강조색3 6 2 2 2" xfId="2563"/>
    <cellStyle name="40% - 강조색3 6 2 2 3" xfId="2564"/>
    <cellStyle name="40% - 강조색3 6 2 2 4" xfId="6657"/>
    <cellStyle name="40% - 강조색3 6 2 3" xfId="2565"/>
    <cellStyle name="40% - 강조색3 6 2 3 2" xfId="2566"/>
    <cellStyle name="40% - 강조색3 6 2 3 3" xfId="2567"/>
    <cellStyle name="40% - 강조색3 6 2 4" xfId="2568"/>
    <cellStyle name="40% - 강조색3 6 2 5" xfId="2569"/>
    <cellStyle name="40% - 강조색3 6 2 6" xfId="6658"/>
    <cellStyle name="40% - 강조색3 6 3" xfId="2570"/>
    <cellStyle name="40% - 강조색3 6 3 2" xfId="2571"/>
    <cellStyle name="40% - 강조색3 6 3 2 2" xfId="2572"/>
    <cellStyle name="40% - 강조색3 6 3 2 3" xfId="2573"/>
    <cellStyle name="40% - 강조색3 6 3 3" xfId="2574"/>
    <cellStyle name="40% - 강조색3 6 3 3 2" xfId="2575"/>
    <cellStyle name="40% - 강조색3 6 3 3 3" xfId="2576"/>
    <cellStyle name="40% - 강조색3 6 3 4" xfId="2577"/>
    <cellStyle name="40% - 강조색3 6 3 5" xfId="2578"/>
    <cellStyle name="40% - 강조색3 6 3 6" xfId="6659"/>
    <cellStyle name="40% - 강조색3 6 4" xfId="2579"/>
    <cellStyle name="40% - 강조색3 6 4 2" xfId="2580"/>
    <cellStyle name="40% - 강조색3 6 4 3" xfId="2581"/>
    <cellStyle name="40% - 강조색3 6 4 4" xfId="6660"/>
    <cellStyle name="40% - 강조색3 6 5" xfId="2582"/>
    <cellStyle name="40% - 강조색3 6 5 2" xfId="2583"/>
    <cellStyle name="40% - 강조색3 6 5 3" xfId="2584"/>
    <cellStyle name="40% - 강조색3 6 5 4" xfId="6661"/>
    <cellStyle name="40% - 강조색3 6 6" xfId="2585"/>
    <cellStyle name="40% - 강조색3 6 6 2" xfId="6662"/>
    <cellStyle name="40% - 강조색3 6 7" xfId="2586"/>
    <cellStyle name="40% - 강조색3 6 7 2" xfId="6663"/>
    <cellStyle name="40% - 강조색3 6 8" xfId="6664"/>
    <cellStyle name="40% - 강조색3 6 9" xfId="6665"/>
    <cellStyle name="40% - 강조색3 7" xfId="2587"/>
    <cellStyle name="40% - 강조색3 7 10" xfId="6666"/>
    <cellStyle name="40% - 강조색3 7 11" xfId="6667"/>
    <cellStyle name="40% - 강조색3 7 12" xfId="6668"/>
    <cellStyle name="40% - 강조색3 7 13" xfId="6669"/>
    <cellStyle name="40% - 강조색3 7 14" xfId="6670"/>
    <cellStyle name="40% - 강조색3 7 2" xfId="2588"/>
    <cellStyle name="40% - 강조색3 7 2 2" xfId="2589"/>
    <cellStyle name="40% - 강조색3 7 2 2 2" xfId="2590"/>
    <cellStyle name="40% - 강조색3 7 2 2 3" xfId="2591"/>
    <cellStyle name="40% - 강조색3 7 2 2 4" xfId="6671"/>
    <cellStyle name="40% - 강조색3 7 2 3" xfId="2592"/>
    <cellStyle name="40% - 강조색3 7 2 3 2" xfId="2593"/>
    <cellStyle name="40% - 강조색3 7 2 3 3" xfId="2594"/>
    <cellStyle name="40% - 강조색3 7 2 4" xfId="2595"/>
    <cellStyle name="40% - 강조색3 7 2 5" xfId="2596"/>
    <cellStyle name="40% - 강조색3 7 2 6" xfId="6672"/>
    <cellStyle name="40% - 강조색3 7 3" xfId="2597"/>
    <cellStyle name="40% - 강조색3 7 3 2" xfId="2598"/>
    <cellStyle name="40% - 강조색3 7 3 2 2" xfId="2599"/>
    <cellStyle name="40% - 강조색3 7 3 2 3" xfId="2600"/>
    <cellStyle name="40% - 강조색3 7 3 3" xfId="2601"/>
    <cellStyle name="40% - 강조색3 7 3 3 2" xfId="2602"/>
    <cellStyle name="40% - 강조색3 7 3 3 3" xfId="2603"/>
    <cellStyle name="40% - 강조색3 7 3 4" xfId="2604"/>
    <cellStyle name="40% - 강조색3 7 3 5" xfId="2605"/>
    <cellStyle name="40% - 강조색3 7 3 6" xfId="6673"/>
    <cellStyle name="40% - 강조색3 7 4" xfId="2606"/>
    <cellStyle name="40% - 강조색3 7 4 2" xfId="2607"/>
    <cellStyle name="40% - 강조색3 7 4 3" xfId="2608"/>
    <cellStyle name="40% - 강조색3 7 4 4" xfId="6674"/>
    <cellStyle name="40% - 강조색3 7 5" xfId="2609"/>
    <cellStyle name="40% - 강조색3 7 5 2" xfId="2610"/>
    <cellStyle name="40% - 강조색3 7 5 3" xfId="2611"/>
    <cellStyle name="40% - 강조색3 7 5 4" xfId="6675"/>
    <cellStyle name="40% - 강조색3 7 6" xfId="2612"/>
    <cellStyle name="40% - 강조색3 7 6 2" xfId="6676"/>
    <cellStyle name="40% - 강조색3 7 7" xfId="2613"/>
    <cellStyle name="40% - 강조색3 7 7 2" xfId="6677"/>
    <cellStyle name="40% - 강조색3 7 8" xfId="6678"/>
    <cellStyle name="40% - 강조색3 7 9" xfId="6679"/>
    <cellStyle name="40% - 강조색3 8" xfId="2614"/>
    <cellStyle name="40% - 강조색3 8 10" xfId="6680"/>
    <cellStyle name="40% - 강조색3 8 11" xfId="6681"/>
    <cellStyle name="40% - 강조색3 8 12" xfId="6682"/>
    <cellStyle name="40% - 강조색3 8 13" xfId="6683"/>
    <cellStyle name="40% - 강조색3 8 14" xfId="6684"/>
    <cellStyle name="40% - 강조색3 8 2" xfId="2615"/>
    <cellStyle name="40% - 강조색3 8 2 2" xfId="2616"/>
    <cellStyle name="40% - 강조색3 8 2 2 2" xfId="2617"/>
    <cellStyle name="40% - 강조색3 8 2 2 3" xfId="2618"/>
    <cellStyle name="40% - 강조색3 8 2 2 4" xfId="6685"/>
    <cellStyle name="40% - 강조색3 8 2 3" xfId="2619"/>
    <cellStyle name="40% - 강조색3 8 2 3 2" xfId="2620"/>
    <cellStyle name="40% - 강조색3 8 2 3 3" xfId="2621"/>
    <cellStyle name="40% - 강조색3 8 2 4" xfId="2622"/>
    <cellStyle name="40% - 강조색3 8 2 5" xfId="2623"/>
    <cellStyle name="40% - 강조색3 8 2 6" xfId="6686"/>
    <cellStyle name="40% - 강조색3 8 3" xfId="2624"/>
    <cellStyle name="40% - 강조색3 8 3 2" xfId="2625"/>
    <cellStyle name="40% - 강조색3 8 3 2 2" xfId="2626"/>
    <cellStyle name="40% - 강조색3 8 3 2 3" xfId="2627"/>
    <cellStyle name="40% - 강조색3 8 3 3" xfId="2628"/>
    <cellStyle name="40% - 강조색3 8 3 3 2" xfId="2629"/>
    <cellStyle name="40% - 강조색3 8 3 3 3" xfId="2630"/>
    <cellStyle name="40% - 강조색3 8 3 4" xfId="2631"/>
    <cellStyle name="40% - 강조색3 8 3 5" xfId="2632"/>
    <cellStyle name="40% - 강조색3 8 3 6" xfId="6687"/>
    <cellStyle name="40% - 강조색3 8 4" xfId="2633"/>
    <cellStyle name="40% - 강조색3 8 4 2" xfId="2634"/>
    <cellStyle name="40% - 강조색3 8 4 3" xfId="2635"/>
    <cellStyle name="40% - 강조색3 8 4 4" xfId="6688"/>
    <cellStyle name="40% - 강조색3 8 5" xfId="2636"/>
    <cellStyle name="40% - 강조색3 8 5 2" xfId="2637"/>
    <cellStyle name="40% - 강조색3 8 5 3" xfId="2638"/>
    <cellStyle name="40% - 강조색3 8 5 4" xfId="6689"/>
    <cellStyle name="40% - 강조색3 8 6" xfId="2639"/>
    <cellStyle name="40% - 강조색3 8 6 2" xfId="6690"/>
    <cellStyle name="40% - 강조색3 8 7" xfId="2640"/>
    <cellStyle name="40% - 강조색3 8 7 2" xfId="6691"/>
    <cellStyle name="40% - 강조색3 8 8" xfId="6692"/>
    <cellStyle name="40% - 강조색3 8 9" xfId="6693"/>
    <cellStyle name="40% - 강조색3 9" xfId="2641"/>
    <cellStyle name="40% - 강조색3 9 10" xfId="6694"/>
    <cellStyle name="40% - 강조색3 9 11" xfId="6695"/>
    <cellStyle name="40% - 강조색3 9 12" xfId="6696"/>
    <cellStyle name="40% - 강조색3 9 13" xfId="6697"/>
    <cellStyle name="40% - 강조색3 9 14" xfId="6698"/>
    <cellStyle name="40% - 강조색3 9 2" xfId="2642"/>
    <cellStyle name="40% - 강조색3 9 2 2" xfId="2643"/>
    <cellStyle name="40% - 강조색3 9 2 2 2" xfId="6699"/>
    <cellStyle name="40% - 강조색3 9 2 3" xfId="2644"/>
    <cellStyle name="40% - 강조색3 9 2 4" xfId="6700"/>
    <cellStyle name="40% - 강조색3 9 3" xfId="2645"/>
    <cellStyle name="40% - 강조색3 9 3 2" xfId="2646"/>
    <cellStyle name="40% - 강조색3 9 3 3" xfId="2647"/>
    <cellStyle name="40% - 강조색3 9 3 4" xfId="6701"/>
    <cellStyle name="40% - 강조색3 9 4" xfId="2648"/>
    <cellStyle name="40% - 강조색3 9 4 2" xfId="6702"/>
    <cellStyle name="40% - 강조색3 9 5" xfId="2649"/>
    <cellStyle name="40% - 강조색3 9 5 2" xfId="6703"/>
    <cellStyle name="40% - 강조색3 9 6" xfId="6704"/>
    <cellStyle name="40% - 강조색3 9 7" xfId="6705"/>
    <cellStyle name="40% - 강조색3 9 8" xfId="6706"/>
    <cellStyle name="40% - 강조색3 9 9" xfId="6707"/>
    <cellStyle name="40% - 강조색4" xfId="4327" builtinId="43" customBuiltin="1"/>
    <cellStyle name="40% - 강조색4 10" xfId="2650"/>
    <cellStyle name="40% - 강조색4 10 10" xfId="6708"/>
    <cellStyle name="40% - 강조색4 10 11" xfId="6709"/>
    <cellStyle name="40% - 강조색4 10 12" xfId="6710"/>
    <cellStyle name="40% - 강조색4 10 13" xfId="6711"/>
    <cellStyle name="40% - 강조색4 10 14" xfId="6712"/>
    <cellStyle name="40% - 강조색4 10 2" xfId="2651"/>
    <cellStyle name="40% - 강조색4 10 2 2" xfId="2652"/>
    <cellStyle name="40% - 강조색4 10 2 2 2" xfId="6713"/>
    <cellStyle name="40% - 강조색4 10 2 3" xfId="2653"/>
    <cellStyle name="40% - 강조색4 10 2 4" xfId="6714"/>
    <cellStyle name="40% - 강조색4 10 3" xfId="2654"/>
    <cellStyle name="40% - 강조색4 10 3 2" xfId="2655"/>
    <cellStyle name="40% - 강조색4 10 3 3" xfId="2656"/>
    <cellStyle name="40% - 강조색4 10 3 4" xfId="6715"/>
    <cellStyle name="40% - 강조색4 10 4" xfId="2657"/>
    <cellStyle name="40% - 강조색4 10 4 2" xfId="6716"/>
    <cellStyle name="40% - 강조색4 10 5" xfId="2658"/>
    <cellStyle name="40% - 강조색4 10 5 2" xfId="6717"/>
    <cellStyle name="40% - 강조색4 10 6" xfId="6718"/>
    <cellStyle name="40% - 강조색4 10 7" xfId="6719"/>
    <cellStyle name="40% - 강조색4 10 8" xfId="6720"/>
    <cellStyle name="40% - 강조색4 10 9" xfId="6721"/>
    <cellStyle name="40% - 강조색4 11" xfId="2659"/>
    <cellStyle name="40% - 강조색4 11 10" xfId="6722"/>
    <cellStyle name="40% - 강조색4 11 11" xfId="6723"/>
    <cellStyle name="40% - 강조색4 11 12" xfId="6724"/>
    <cellStyle name="40% - 강조색4 11 13" xfId="6725"/>
    <cellStyle name="40% - 강조색4 11 14" xfId="6726"/>
    <cellStyle name="40% - 강조색4 11 2" xfId="2660"/>
    <cellStyle name="40% - 강조색4 11 2 2" xfId="2661"/>
    <cellStyle name="40% - 강조색4 11 2 2 2" xfId="6727"/>
    <cellStyle name="40% - 강조색4 11 2 3" xfId="2662"/>
    <cellStyle name="40% - 강조색4 11 2 4" xfId="6728"/>
    <cellStyle name="40% - 강조색4 11 3" xfId="2663"/>
    <cellStyle name="40% - 강조색4 11 3 2" xfId="2664"/>
    <cellStyle name="40% - 강조색4 11 3 3" xfId="2665"/>
    <cellStyle name="40% - 강조색4 11 3 4" xfId="6729"/>
    <cellStyle name="40% - 강조색4 11 4" xfId="2666"/>
    <cellStyle name="40% - 강조색4 11 4 2" xfId="6730"/>
    <cellStyle name="40% - 강조색4 11 5" xfId="2667"/>
    <cellStyle name="40% - 강조색4 11 5 2" xfId="6731"/>
    <cellStyle name="40% - 강조색4 11 6" xfId="6732"/>
    <cellStyle name="40% - 강조색4 11 7" xfId="6733"/>
    <cellStyle name="40% - 강조색4 11 8" xfId="6734"/>
    <cellStyle name="40% - 강조색4 11 9" xfId="6735"/>
    <cellStyle name="40% - 강조색4 12" xfId="2668"/>
    <cellStyle name="40% - 강조색4 12 10" xfId="6736"/>
    <cellStyle name="40% - 강조색4 12 11" xfId="6737"/>
    <cellStyle name="40% - 강조색4 12 12" xfId="6738"/>
    <cellStyle name="40% - 강조색4 12 13" xfId="6739"/>
    <cellStyle name="40% - 강조색4 12 14" xfId="6740"/>
    <cellStyle name="40% - 강조색4 12 2" xfId="2669"/>
    <cellStyle name="40% - 강조색4 12 2 2" xfId="2670"/>
    <cellStyle name="40% - 강조색4 12 2 2 2" xfId="6741"/>
    <cellStyle name="40% - 강조색4 12 2 3" xfId="2671"/>
    <cellStyle name="40% - 강조색4 12 2 4" xfId="6742"/>
    <cellStyle name="40% - 강조색4 12 3" xfId="2672"/>
    <cellStyle name="40% - 강조색4 12 3 2" xfId="2673"/>
    <cellStyle name="40% - 강조색4 12 3 3" xfId="2674"/>
    <cellStyle name="40% - 강조색4 12 3 4" xfId="6743"/>
    <cellStyle name="40% - 강조색4 12 4" xfId="2675"/>
    <cellStyle name="40% - 강조색4 12 4 2" xfId="6744"/>
    <cellStyle name="40% - 강조색4 12 5" xfId="2676"/>
    <cellStyle name="40% - 강조색4 12 5 2" xfId="6745"/>
    <cellStyle name="40% - 강조색4 12 6" xfId="6746"/>
    <cellStyle name="40% - 강조색4 12 7" xfId="6747"/>
    <cellStyle name="40% - 강조색4 12 8" xfId="6748"/>
    <cellStyle name="40% - 강조색4 12 9" xfId="6749"/>
    <cellStyle name="40% - 강조색4 13" xfId="2677"/>
    <cellStyle name="40% - 강조색4 13 10" xfId="6750"/>
    <cellStyle name="40% - 강조색4 13 11" xfId="6751"/>
    <cellStyle name="40% - 강조색4 13 12" xfId="6752"/>
    <cellStyle name="40% - 강조색4 13 13" xfId="6753"/>
    <cellStyle name="40% - 강조색4 13 14" xfId="6754"/>
    <cellStyle name="40% - 강조색4 13 2" xfId="2678"/>
    <cellStyle name="40% - 강조색4 13 2 2" xfId="2679"/>
    <cellStyle name="40% - 강조색4 13 2 2 2" xfId="6755"/>
    <cellStyle name="40% - 강조색4 13 2 3" xfId="2680"/>
    <cellStyle name="40% - 강조색4 13 2 4" xfId="6756"/>
    <cellStyle name="40% - 강조색4 13 3" xfId="2681"/>
    <cellStyle name="40% - 강조색4 13 3 2" xfId="2682"/>
    <cellStyle name="40% - 강조색4 13 3 3" xfId="2683"/>
    <cellStyle name="40% - 강조색4 13 3 4" xfId="6757"/>
    <cellStyle name="40% - 강조색4 13 4" xfId="2684"/>
    <cellStyle name="40% - 강조색4 13 4 2" xfId="6758"/>
    <cellStyle name="40% - 강조색4 13 5" xfId="2685"/>
    <cellStyle name="40% - 강조색4 13 5 2" xfId="6759"/>
    <cellStyle name="40% - 강조색4 13 6" xfId="6760"/>
    <cellStyle name="40% - 강조색4 13 7" xfId="6761"/>
    <cellStyle name="40% - 강조색4 13 8" xfId="6762"/>
    <cellStyle name="40% - 강조색4 13 9" xfId="6763"/>
    <cellStyle name="40% - 강조색4 14" xfId="2686"/>
    <cellStyle name="40% - 강조색4 14 10" xfId="6764"/>
    <cellStyle name="40% - 강조색4 14 11" xfId="6765"/>
    <cellStyle name="40% - 강조색4 14 12" xfId="6766"/>
    <cellStyle name="40% - 강조색4 14 13" xfId="6767"/>
    <cellStyle name="40% - 강조색4 14 14" xfId="6768"/>
    <cellStyle name="40% - 강조색4 14 2" xfId="2687"/>
    <cellStyle name="40% - 강조색4 14 2 2" xfId="2688"/>
    <cellStyle name="40% - 강조색4 14 2 2 2" xfId="6769"/>
    <cellStyle name="40% - 강조색4 14 2 3" xfId="2689"/>
    <cellStyle name="40% - 강조색4 14 2 4" xfId="6770"/>
    <cellStyle name="40% - 강조색4 14 3" xfId="2690"/>
    <cellStyle name="40% - 강조색4 14 3 2" xfId="2691"/>
    <cellStyle name="40% - 강조색4 14 3 3" xfId="2692"/>
    <cellStyle name="40% - 강조색4 14 3 4" xfId="6771"/>
    <cellStyle name="40% - 강조색4 14 4" xfId="2693"/>
    <cellStyle name="40% - 강조색4 14 4 2" xfId="6772"/>
    <cellStyle name="40% - 강조색4 14 5" xfId="2694"/>
    <cellStyle name="40% - 강조색4 14 5 2" xfId="6773"/>
    <cellStyle name="40% - 강조색4 14 6" xfId="6774"/>
    <cellStyle name="40% - 강조색4 14 7" xfId="6775"/>
    <cellStyle name="40% - 강조색4 14 8" xfId="6776"/>
    <cellStyle name="40% - 강조색4 14 9" xfId="6777"/>
    <cellStyle name="40% - 강조색4 15" xfId="2695"/>
    <cellStyle name="40% - 강조색4 15 10" xfId="6778"/>
    <cellStyle name="40% - 강조색4 15 11" xfId="6779"/>
    <cellStyle name="40% - 강조색4 15 12" xfId="6780"/>
    <cellStyle name="40% - 강조색4 15 13" xfId="6781"/>
    <cellStyle name="40% - 강조색4 15 14" xfId="6782"/>
    <cellStyle name="40% - 강조색4 15 2" xfId="2696"/>
    <cellStyle name="40% - 강조색4 15 2 2" xfId="2697"/>
    <cellStyle name="40% - 강조색4 15 2 2 2" xfId="6783"/>
    <cellStyle name="40% - 강조색4 15 2 3" xfId="2698"/>
    <cellStyle name="40% - 강조색4 15 2 4" xfId="6784"/>
    <cellStyle name="40% - 강조색4 15 3" xfId="2699"/>
    <cellStyle name="40% - 강조색4 15 3 2" xfId="2700"/>
    <cellStyle name="40% - 강조색4 15 3 3" xfId="2701"/>
    <cellStyle name="40% - 강조색4 15 3 4" xfId="6785"/>
    <cellStyle name="40% - 강조색4 15 4" xfId="2702"/>
    <cellStyle name="40% - 강조색4 15 4 2" xfId="6786"/>
    <cellStyle name="40% - 강조색4 15 5" xfId="2703"/>
    <cellStyle name="40% - 강조색4 15 5 2" xfId="6787"/>
    <cellStyle name="40% - 강조색4 15 6" xfId="6788"/>
    <cellStyle name="40% - 강조색4 15 7" xfId="6789"/>
    <cellStyle name="40% - 강조색4 15 8" xfId="6790"/>
    <cellStyle name="40% - 강조색4 15 9" xfId="6791"/>
    <cellStyle name="40% - 강조색4 16" xfId="2704"/>
    <cellStyle name="40% - 강조색4 16 10" xfId="6792"/>
    <cellStyle name="40% - 강조색4 16 11" xfId="6793"/>
    <cellStyle name="40% - 강조색4 16 12" xfId="6794"/>
    <cellStyle name="40% - 강조색4 16 13" xfId="6795"/>
    <cellStyle name="40% - 강조색4 16 14" xfId="6796"/>
    <cellStyle name="40% - 강조색4 16 2" xfId="2705"/>
    <cellStyle name="40% - 강조색4 16 2 2" xfId="2706"/>
    <cellStyle name="40% - 강조색4 16 2 2 2" xfId="6797"/>
    <cellStyle name="40% - 강조색4 16 2 3" xfId="2707"/>
    <cellStyle name="40% - 강조색4 16 2 4" xfId="6798"/>
    <cellStyle name="40% - 강조색4 16 3" xfId="2708"/>
    <cellStyle name="40% - 강조색4 16 3 2" xfId="2709"/>
    <cellStyle name="40% - 강조색4 16 3 3" xfId="2710"/>
    <cellStyle name="40% - 강조색4 16 3 4" xfId="6799"/>
    <cellStyle name="40% - 강조색4 16 4" xfId="2711"/>
    <cellStyle name="40% - 강조색4 16 4 2" xfId="6800"/>
    <cellStyle name="40% - 강조색4 16 5" xfId="2712"/>
    <cellStyle name="40% - 강조색4 16 5 2" xfId="6801"/>
    <cellStyle name="40% - 강조색4 16 6" xfId="6802"/>
    <cellStyle name="40% - 강조색4 16 7" xfId="6803"/>
    <cellStyle name="40% - 강조색4 16 8" xfId="6804"/>
    <cellStyle name="40% - 강조색4 16 9" xfId="6805"/>
    <cellStyle name="40% - 강조색4 17" xfId="2713"/>
    <cellStyle name="40% - 강조색4 17 10" xfId="6806"/>
    <cellStyle name="40% - 강조색4 17 11" xfId="6807"/>
    <cellStyle name="40% - 강조색4 17 12" xfId="6808"/>
    <cellStyle name="40% - 강조색4 17 13" xfId="6809"/>
    <cellStyle name="40% - 강조색4 17 14" xfId="6810"/>
    <cellStyle name="40% - 강조색4 17 2" xfId="2714"/>
    <cellStyle name="40% - 강조색4 17 2 2" xfId="2715"/>
    <cellStyle name="40% - 강조색4 17 2 3" xfId="2716"/>
    <cellStyle name="40% - 강조색4 17 2 4" xfId="6811"/>
    <cellStyle name="40% - 강조색4 17 3" xfId="2717"/>
    <cellStyle name="40% - 강조색4 17 3 2" xfId="6812"/>
    <cellStyle name="40% - 강조색4 17 4" xfId="2718"/>
    <cellStyle name="40% - 강조색4 17 4 2" xfId="6813"/>
    <cellStyle name="40% - 강조색4 17 5" xfId="6814"/>
    <cellStyle name="40% - 강조색4 17 6" xfId="6815"/>
    <cellStyle name="40% - 강조색4 17 7" xfId="6816"/>
    <cellStyle name="40% - 강조색4 17 8" xfId="6817"/>
    <cellStyle name="40% - 강조색4 17 9" xfId="6818"/>
    <cellStyle name="40% - 강조색4 18" xfId="2719"/>
    <cellStyle name="40% - 강조색4 18 10" xfId="6819"/>
    <cellStyle name="40% - 강조색4 18 11" xfId="6820"/>
    <cellStyle name="40% - 강조색4 18 12" xfId="6821"/>
    <cellStyle name="40% - 강조색4 18 13" xfId="6822"/>
    <cellStyle name="40% - 강조색4 18 14" xfId="6823"/>
    <cellStyle name="40% - 강조색4 18 2" xfId="2720"/>
    <cellStyle name="40% - 강조색4 18 2 2" xfId="2721"/>
    <cellStyle name="40% - 강조색4 18 2 3" xfId="2722"/>
    <cellStyle name="40% - 강조색4 18 2 4" xfId="6824"/>
    <cellStyle name="40% - 강조색4 18 3" xfId="2723"/>
    <cellStyle name="40% - 강조색4 18 3 2" xfId="6825"/>
    <cellStyle name="40% - 강조색4 18 4" xfId="2724"/>
    <cellStyle name="40% - 강조색4 18 4 2" xfId="6826"/>
    <cellStyle name="40% - 강조색4 18 5" xfId="6827"/>
    <cellStyle name="40% - 강조색4 18 6" xfId="6828"/>
    <cellStyle name="40% - 강조색4 18 7" xfId="6829"/>
    <cellStyle name="40% - 강조색4 18 8" xfId="6830"/>
    <cellStyle name="40% - 강조색4 18 9" xfId="6831"/>
    <cellStyle name="40% - 강조색4 19" xfId="2725"/>
    <cellStyle name="40% - 강조색4 19 10" xfId="6832"/>
    <cellStyle name="40% - 강조색4 19 11" xfId="6833"/>
    <cellStyle name="40% - 강조색4 19 12" xfId="6834"/>
    <cellStyle name="40% - 강조색4 19 13" xfId="6835"/>
    <cellStyle name="40% - 강조색4 19 14" xfId="6836"/>
    <cellStyle name="40% - 강조색4 19 2" xfId="2726"/>
    <cellStyle name="40% - 강조색4 19 2 2" xfId="2727"/>
    <cellStyle name="40% - 강조색4 19 2 3" xfId="2728"/>
    <cellStyle name="40% - 강조색4 19 2 4" xfId="6837"/>
    <cellStyle name="40% - 강조색4 19 3" xfId="2729"/>
    <cellStyle name="40% - 강조색4 19 3 2" xfId="6838"/>
    <cellStyle name="40% - 강조색4 19 4" xfId="2730"/>
    <cellStyle name="40% - 강조색4 19 4 2" xfId="6839"/>
    <cellStyle name="40% - 강조색4 19 5" xfId="6840"/>
    <cellStyle name="40% - 강조색4 19 6" xfId="6841"/>
    <cellStyle name="40% - 강조색4 19 7" xfId="6842"/>
    <cellStyle name="40% - 강조색4 19 8" xfId="6843"/>
    <cellStyle name="40% - 강조색4 19 9" xfId="6844"/>
    <cellStyle name="40% - 강조색4 2" xfId="2731"/>
    <cellStyle name="40% - 강조색4 2 10" xfId="6845"/>
    <cellStyle name="40% - 강조색4 2 11" xfId="6846"/>
    <cellStyle name="40% - 강조색4 2 12" xfId="6847"/>
    <cellStyle name="40% - 강조색4 2 13" xfId="6848"/>
    <cellStyle name="40% - 강조색4 2 2" xfId="6849"/>
    <cellStyle name="40% - 강조색4 2 2 2" xfId="6850"/>
    <cellStyle name="40% - 강조색4 2 3" xfId="6851"/>
    <cellStyle name="40% - 강조색4 2 3 2" xfId="6852"/>
    <cellStyle name="40% - 강조색4 2 4" xfId="6853"/>
    <cellStyle name="40% - 강조색4 2 4 2" xfId="6854"/>
    <cellStyle name="40% - 강조색4 2 5" xfId="6855"/>
    <cellStyle name="40% - 강조색4 2 6" xfId="6856"/>
    <cellStyle name="40% - 강조색4 2 7" xfId="6857"/>
    <cellStyle name="40% - 강조색4 2 8" xfId="6858"/>
    <cellStyle name="40% - 강조색4 2 9" xfId="6859"/>
    <cellStyle name="40% - 강조색4 20" xfId="2732"/>
    <cellStyle name="40% - 강조색4 20 2" xfId="2733"/>
    <cellStyle name="40% - 강조색4 20 3" xfId="2734"/>
    <cellStyle name="40% - 강조색4 20 4" xfId="6860"/>
    <cellStyle name="40% - 강조색4 21" xfId="2735"/>
    <cellStyle name="40% - 강조색4 21 2" xfId="2736"/>
    <cellStyle name="40% - 강조색4 21 3" xfId="2737"/>
    <cellStyle name="40% - 강조색4 21 4" xfId="6861"/>
    <cellStyle name="40% - 강조색4 22" xfId="2738"/>
    <cellStyle name="40% - 강조색4 22 2" xfId="2739"/>
    <cellStyle name="40% - 강조색4 22 3" xfId="2740"/>
    <cellStyle name="40% - 강조색4 22 4" xfId="6862"/>
    <cellStyle name="40% - 강조색4 23" xfId="2741"/>
    <cellStyle name="40% - 강조색4 23 2" xfId="2742"/>
    <cellStyle name="40% - 강조색4 23 3" xfId="2743"/>
    <cellStyle name="40% - 강조색4 23 4" xfId="6863"/>
    <cellStyle name="40% - 강조색4 24" xfId="2744"/>
    <cellStyle name="40% - 강조색4 24 2" xfId="2745"/>
    <cellStyle name="40% - 강조색4 24 3" xfId="2746"/>
    <cellStyle name="40% - 강조색4 24 4" xfId="6864"/>
    <cellStyle name="40% - 강조색4 25" xfId="2747"/>
    <cellStyle name="40% - 강조색4 25 2" xfId="2748"/>
    <cellStyle name="40% - 강조색4 25 3" xfId="2749"/>
    <cellStyle name="40% - 강조색4 25 4" xfId="6865"/>
    <cellStyle name="40% - 강조색4 26" xfId="2750"/>
    <cellStyle name="40% - 강조색4 26 2" xfId="2751"/>
    <cellStyle name="40% - 강조색4 26 3" xfId="2752"/>
    <cellStyle name="40% - 강조색4 26 4" xfId="6866"/>
    <cellStyle name="40% - 강조색4 27" xfId="2753"/>
    <cellStyle name="40% - 강조색4 27 2" xfId="2754"/>
    <cellStyle name="40% - 강조색4 27 3" xfId="2755"/>
    <cellStyle name="40% - 강조색4 27 4" xfId="6867"/>
    <cellStyle name="40% - 강조색4 28" xfId="2756"/>
    <cellStyle name="40% - 강조색4 28 2" xfId="2757"/>
    <cellStyle name="40% - 강조색4 28 3" xfId="2758"/>
    <cellStyle name="40% - 강조색4 28 4" xfId="6868"/>
    <cellStyle name="40% - 강조색4 29" xfId="2759"/>
    <cellStyle name="40% - 강조색4 29 2" xfId="2760"/>
    <cellStyle name="40% - 강조색4 29 3" xfId="2761"/>
    <cellStyle name="40% - 강조색4 29 4" xfId="6869"/>
    <cellStyle name="40% - 강조색4 3" xfId="2762"/>
    <cellStyle name="40% - 강조색4 3 10" xfId="6870"/>
    <cellStyle name="40% - 강조색4 3 11" xfId="6871"/>
    <cellStyle name="40% - 강조색4 3 12" xfId="6872"/>
    <cellStyle name="40% - 강조색4 3 13" xfId="6873"/>
    <cellStyle name="40% - 강조색4 3 14" xfId="6874"/>
    <cellStyle name="40% - 강조색4 3 2" xfId="2763"/>
    <cellStyle name="40% - 강조색4 3 2 2" xfId="2764"/>
    <cellStyle name="40% - 강조색4 3 2 2 2" xfId="2765"/>
    <cellStyle name="40% - 강조색4 3 2 2 3" xfId="2766"/>
    <cellStyle name="40% - 강조색4 3 2 2 4" xfId="6875"/>
    <cellStyle name="40% - 강조색4 3 2 3" xfId="2767"/>
    <cellStyle name="40% - 강조색4 3 2 3 2" xfId="2768"/>
    <cellStyle name="40% - 강조색4 3 2 3 3" xfId="2769"/>
    <cellStyle name="40% - 강조색4 3 2 4" xfId="2770"/>
    <cellStyle name="40% - 강조색4 3 2 5" xfId="2771"/>
    <cellStyle name="40% - 강조색4 3 2 6" xfId="6876"/>
    <cellStyle name="40% - 강조색4 3 3" xfId="2772"/>
    <cellStyle name="40% - 강조색4 3 3 2" xfId="2773"/>
    <cellStyle name="40% - 강조색4 3 3 2 2" xfId="2774"/>
    <cellStyle name="40% - 강조색4 3 3 2 3" xfId="2775"/>
    <cellStyle name="40% - 강조색4 3 3 3" xfId="2776"/>
    <cellStyle name="40% - 강조색4 3 3 3 2" xfId="2777"/>
    <cellStyle name="40% - 강조색4 3 3 3 3" xfId="2778"/>
    <cellStyle name="40% - 강조색4 3 3 4" xfId="2779"/>
    <cellStyle name="40% - 강조색4 3 3 5" xfId="2780"/>
    <cellStyle name="40% - 강조색4 3 3 6" xfId="6877"/>
    <cellStyle name="40% - 강조색4 3 4" xfId="2781"/>
    <cellStyle name="40% - 강조색4 3 4 2" xfId="2782"/>
    <cellStyle name="40% - 강조색4 3 4 3" xfId="2783"/>
    <cellStyle name="40% - 강조색4 3 4 4" xfId="6878"/>
    <cellStyle name="40% - 강조색4 3 5" xfId="2784"/>
    <cellStyle name="40% - 강조색4 3 5 2" xfId="2785"/>
    <cellStyle name="40% - 강조색4 3 5 3" xfId="2786"/>
    <cellStyle name="40% - 강조색4 3 5 4" xfId="6879"/>
    <cellStyle name="40% - 강조색4 3 6" xfId="2787"/>
    <cellStyle name="40% - 강조색4 3 6 2" xfId="6880"/>
    <cellStyle name="40% - 강조색4 3 7" xfId="2788"/>
    <cellStyle name="40% - 강조색4 3 7 2" xfId="6881"/>
    <cellStyle name="40% - 강조색4 3 8" xfId="6882"/>
    <cellStyle name="40% - 강조색4 3 9" xfId="6883"/>
    <cellStyle name="40% - 강조색4 30" xfId="2789"/>
    <cellStyle name="40% - 강조색4 30 2" xfId="2790"/>
    <cellStyle name="40% - 강조색4 30 3" xfId="6884"/>
    <cellStyle name="40% - 강조색4 31" xfId="2791"/>
    <cellStyle name="40% - 강조색4 31 2" xfId="6885"/>
    <cellStyle name="40% - 강조색4 32" xfId="2792"/>
    <cellStyle name="40% - 강조색4 32 2" xfId="6886"/>
    <cellStyle name="40% - 강조색4 33" xfId="2793"/>
    <cellStyle name="40% - 강조색4 34" xfId="2794"/>
    <cellStyle name="40% - 강조색4 35" xfId="2795"/>
    <cellStyle name="40% - 강조색4 36" xfId="2796"/>
    <cellStyle name="40% - 강조색4 37" xfId="2797"/>
    <cellStyle name="40% - 강조색4 38" xfId="2798"/>
    <cellStyle name="40% - 강조색4 4" xfId="2799"/>
    <cellStyle name="40% - 강조색4 4 10" xfId="6887"/>
    <cellStyle name="40% - 강조색4 4 11" xfId="6888"/>
    <cellStyle name="40% - 강조색4 4 12" xfId="6889"/>
    <cellStyle name="40% - 강조색4 4 13" xfId="6890"/>
    <cellStyle name="40% - 강조색4 4 14" xfId="6891"/>
    <cellStyle name="40% - 강조색4 4 2" xfId="2800"/>
    <cellStyle name="40% - 강조색4 4 2 2" xfId="2801"/>
    <cellStyle name="40% - 강조색4 4 2 2 2" xfId="2802"/>
    <cellStyle name="40% - 강조색4 4 2 2 3" xfId="2803"/>
    <cellStyle name="40% - 강조색4 4 2 2 4" xfId="6892"/>
    <cellStyle name="40% - 강조색4 4 2 3" xfId="2804"/>
    <cellStyle name="40% - 강조색4 4 2 3 2" xfId="2805"/>
    <cellStyle name="40% - 강조색4 4 2 3 3" xfId="2806"/>
    <cellStyle name="40% - 강조색4 4 2 4" xfId="2807"/>
    <cellStyle name="40% - 강조색4 4 2 5" xfId="2808"/>
    <cellStyle name="40% - 강조색4 4 2 6" xfId="6893"/>
    <cellStyle name="40% - 강조색4 4 3" xfId="2809"/>
    <cellStyle name="40% - 강조색4 4 3 2" xfId="2810"/>
    <cellStyle name="40% - 강조색4 4 3 2 2" xfId="2811"/>
    <cellStyle name="40% - 강조색4 4 3 2 3" xfId="2812"/>
    <cellStyle name="40% - 강조색4 4 3 3" xfId="2813"/>
    <cellStyle name="40% - 강조색4 4 3 3 2" xfId="2814"/>
    <cellStyle name="40% - 강조색4 4 3 3 3" xfId="2815"/>
    <cellStyle name="40% - 강조색4 4 3 4" xfId="2816"/>
    <cellStyle name="40% - 강조색4 4 3 5" xfId="2817"/>
    <cellStyle name="40% - 강조색4 4 3 6" xfId="6894"/>
    <cellStyle name="40% - 강조색4 4 4" xfId="2818"/>
    <cellStyle name="40% - 강조색4 4 4 2" xfId="2819"/>
    <cellStyle name="40% - 강조색4 4 4 3" xfId="2820"/>
    <cellStyle name="40% - 강조색4 4 4 4" xfId="6895"/>
    <cellStyle name="40% - 강조색4 4 5" xfId="2821"/>
    <cellStyle name="40% - 강조색4 4 5 2" xfId="2822"/>
    <cellStyle name="40% - 강조색4 4 5 3" xfId="2823"/>
    <cellStyle name="40% - 강조색4 4 5 4" xfId="6896"/>
    <cellStyle name="40% - 강조색4 4 6" xfId="2824"/>
    <cellStyle name="40% - 강조색4 4 6 2" xfId="6897"/>
    <cellStyle name="40% - 강조색4 4 7" xfId="2825"/>
    <cellStyle name="40% - 강조색4 4 7 2" xfId="6898"/>
    <cellStyle name="40% - 강조색4 4 8" xfId="6899"/>
    <cellStyle name="40% - 강조색4 4 9" xfId="6900"/>
    <cellStyle name="40% - 강조색4 5" xfId="2826"/>
    <cellStyle name="40% - 강조색4 5 10" xfId="6901"/>
    <cellStyle name="40% - 강조색4 5 11" xfId="6902"/>
    <cellStyle name="40% - 강조색4 5 12" xfId="6903"/>
    <cellStyle name="40% - 강조색4 5 13" xfId="6904"/>
    <cellStyle name="40% - 강조색4 5 14" xfId="6905"/>
    <cellStyle name="40% - 강조색4 5 2" xfId="2827"/>
    <cellStyle name="40% - 강조색4 5 2 2" xfId="2828"/>
    <cellStyle name="40% - 강조색4 5 2 2 2" xfId="2829"/>
    <cellStyle name="40% - 강조색4 5 2 2 3" xfId="2830"/>
    <cellStyle name="40% - 강조색4 5 2 2 4" xfId="6906"/>
    <cellStyle name="40% - 강조색4 5 2 3" xfId="2831"/>
    <cellStyle name="40% - 강조색4 5 2 3 2" xfId="2832"/>
    <cellStyle name="40% - 강조색4 5 2 3 3" xfId="2833"/>
    <cellStyle name="40% - 강조색4 5 2 4" xfId="2834"/>
    <cellStyle name="40% - 강조색4 5 2 5" xfId="2835"/>
    <cellStyle name="40% - 강조색4 5 2 6" xfId="6907"/>
    <cellStyle name="40% - 강조색4 5 3" xfId="2836"/>
    <cellStyle name="40% - 강조색4 5 3 2" xfId="2837"/>
    <cellStyle name="40% - 강조색4 5 3 2 2" xfId="2838"/>
    <cellStyle name="40% - 강조색4 5 3 2 3" xfId="2839"/>
    <cellStyle name="40% - 강조색4 5 3 3" xfId="2840"/>
    <cellStyle name="40% - 강조색4 5 3 3 2" xfId="2841"/>
    <cellStyle name="40% - 강조색4 5 3 3 3" xfId="2842"/>
    <cellStyle name="40% - 강조색4 5 3 4" xfId="2843"/>
    <cellStyle name="40% - 강조색4 5 3 5" xfId="2844"/>
    <cellStyle name="40% - 강조색4 5 3 6" xfId="6908"/>
    <cellStyle name="40% - 강조색4 5 4" xfId="2845"/>
    <cellStyle name="40% - 강조색4 5 4 2" xfId="2846"/>
    <cellStyle name="40% - 강조색4 5 4 3" xfId="2847"/>
    <cellStyle name="40% - 강조색4 5 4 4" xfId="6909"/>
    <cellStyle name="40% - 강조색4 5 5" xfId="2848"/>
    <cellStyle name="40% - 강조색4 5 5 2" xfId="2849"/>
    <cellStyle name="40% - 강조색4 5 5 3" xfId="2850"/>
    <cellStyle name="40% - 강조색4 5 5 4" xfId="6910"/>
    <cellStyle name="40% - 강조색4 5 6" xfId="2851"/>
    <cellStyle name="40% - 강조색4 5 6 2" xfId="6911"/>
    <cellStyle name="40% - 강조색4 5 7" xfId="2852"/>
    <cellStyle name="40% - 강조색4 5 7 2" xfId="6912"/>
    <cellStyle name="40% - 강조색4 5 8" xfId="6913"/>
    <cellStyle name="40% - 강조색4 5 9" xfId="6914"/>
    <cellStyle name="40% - 강조색4 6" xfId="2853"/>
    <cellStyle name="40% - 강조색4 6 10" xfId="6915"/>
    <cellStyle name="40% - 강조색4 6 11" xfId="6916"/>
    <cellStyle name="40% - 강조색4 6 12" xfId="6917"/>
    <cellStyle name="40% - 강조색4 6 13" xfId="6918"/>
    <cellStyle name="40% - 강조색4 6 14" xfId="6919"/>
    <cellStyle name="40% - 강조색4 6 2" xfId="2854"/>
    <cellStyle name="40% - 강조색4 6 2 2" xfId="2855"/>
    <cellStyle name="40% - 강조색4 6 2 2 2" xfId="2856"/>
    <cellStyle name="40% - 강조색4 6 2 2 3" xfId="2857"/>
    <cellStyle name="40% - 강조색4 6 2 2 4" xfId="6920"/>
    <cellStyle name="40% - 강조색4 6 2 3" xfId="2858"/>
    <cellStyle name="40% - 강조색4 6 2 3 2" xfId="2859"/>
    <cellStyle name="40% - 강조색4 6 2 3 3" xfId="2860"/>
    <cellStyle name="40% - 강조색4 6 2 4" xfId="2861"/>
    <cellStyle name="40% - 강조색4 6 2 5" xfId="2862"/>
    <cellStyle name="40% - 강조색4 6 2 6" xfId="6921"/>
    <cellStyle name="40% - 강조색4 6 3" xfId="2863"/>
    <cellStyle name="40% - 강조색4 6 3 2" xfId="2864"/>
    <cellStyle name="40% - 강조색4 6 3 2 2" xfId="2865"/>
    <cellStyle name="40% - 강조색4 6 3 2 3" xfId="2866"/>
    <cellStyle name="40% - 강조색4 6 3 3" xfId="2867"/>
    <cellStyle name="40% - 강조색4 6 3 3 2" xfId="2868"/>
    <cellStyle name="40% - 강조색4 6 3 3 3" xfId="2869"/>
    <cellStyle name="40% - 강조색4 6 3 4" xfId="2870"/>
    <cellStyle name="40% - 강조색4 6 3 5" xfId="2871"/>
    <cellStyle name="40% - 강조색4 6 3 6" xfId="6922"/>
    <cellStyle name="40% - 강조색4 6 4" xfId="2872"/>
    <cellStyle name="40% - 강조색4 6 4 2" xfId="2873"/>
    <cellStyle name="40% - 강조색4 6 4 3" xfId="2874"/>
    <cellStyle name="40% - 강조색4 6 4 4" xfId="6923"/>
    <cellStyle name="40% - 강조색4 6 5" xfId="2875"/>
    <cellStyle name="40% - 강조색4 6 5 2" xfId="2876"/>
    <cellStyle name="40% - 강조색4 6 5 3" xfId="2877"/>
    <cellStyle name="40% - 강조색4 6 5 4" xfId="6924"/>
    <cellStyle name="40% - 강조색4 6 6" xfId="2878"/>
    <cellStyle name="40% - 강조색4 6 6 2" xfId="6925"/>
    <cellStyle name="40% - 강조색4 6 7" xfId="2879"/>
    <cellStyle name="40% - 강조색4 6 7 2" xfId="6926"/>
    <cellStyle name="40% - 강조색4 6 8" xfId="6927"/>
    <cellStyle name="40% - 강조색4 6 9" xfId="6928"/>
    <cellStyle name="40% - 강조색4 7" xfId="2880"/>
    <cellStyle name="40% - 강조색4 7 10" xfId="6929"/>
    <cellStyle name="40% - 강조색4 7 11" xfId="6930"/>
    <cellStyle name="40% - 강조색4 7 12" xfId="6931"/>
    <cellStyle name="40% - 강조색4 7 13" xfId="6932"/>
    <cellStyle name="40% - 강조색4 7 14" xfId="6933"/>
    <cellStyle name="40% - 강조색4 7 2" xfId="2881"/>
    <cellStyle name="40% - 강조색4 7 2 2" xfId="2882"/>
    <cellStyle name="40% - 강조색4 7 2 2 2" xfId="2883"/>
    <cellStyle name="40% - 강조색4 7 2 2 3" xfId="2884"/>
    <cellStyle name="40% - 강조색4 7 2 2 4" xfId="6934"/>
    <cellStyle name="40% - 강조색4 7 2 3" xfId="2885"/>
    <cellStyle name="40% - 강조색4 7 2 3 2" xfId="2886"/>
    <cellStyle name="40% - 강조색4 7 2 3 3" xfId="2887"/>
    <cellStyle name="40% - 강조색4 7 2 4" xfId="2888"/>
    <cellStyle name="40% - 강조색4 7 2 5" xfId="2889"/>
    <cellStyle name="40% - 강조색4 7 2 6" xfId="6935"/>
    <cellStyle name="40% - 강조색4 7 3" xfId="2890"/>
    <cellStyle name="40% - 강조색4 7 3 2" xfId="2891"/>
    <cellStyle name="40% - 강조색4 7 3 2 2" xfId="2892"/>
    <cellStyle name="40% - 강조색4 7 3 2 3" xfId="2893"/>
    <cellStyle name="40% - 강조색4 7 3 3" xfId="2894"/>
    <cellStyle name="40% - 강조색4 7 3 3 2" xfId="2895"/>
    <cellStyle name="40% - 강조색4 7 3 3 3" xfId="2896"/>
    <cellStyle name="40% - 강조색4 7 3 4" xfId="2897"/>
    <cellStyle name="40% - 강조색4 7 3 5" xfId="2898"/>
    <cellStyle name="40% - 강조색4 7 3 6" xfId="6936"/>
    <cellStyle name="40% - 강조색4 7 4" xfId="2899"/>
    <cellStyle name="40% - 강조색4 7 4 2" xfId="2900"/>
    <cellStyle name="40% - 강조색4 7 4 3" xfId="2901"/>
    <cellStyle name="40% - 강조색4 7 4 4" xfId="6937"/>
    <cellStyle name="40% - 강조색4 7 5" xfId="2902"/>
    <cellStyle name="40% - 강조색4 7 5 2" xfId="2903"/>
    <cellStyle name="40% - 강조색4 7 5 3" xfId="2904"/>
    <cellStyle name="40% - 강조색4 7 5 4" xfId="6938"/>
    <cellStyle name="40% - 강조색4 7 6" xfId="2905"/>
    <cellStyle name="40% - 강조색4 7 6 2" xfId="6939"/>
    <cellStyle name="40% - 강조색4 7 7" xfId="2906"/>
    <cellStyle name="40% - 강조색4 7 7 2" xfId="6940"/>
    <cellStyle name="40% - 강조색4 7 8" xfId="6941"/>
    <cellStyle name="40% - 강조색4 7 9" xfId="6942"/>
    <cellStyle name="40% - 강조색4 8" xfId="2907"/>
    <cellStyle name="40% - 강조색4 8 10" xfId="6943"/>
    <cellStyle name="40% - 강조색4 8 11" xfId="6944"/>
    <cellStyle name="40% - 강조색4 8 12" xfId="6945"/>
    <cellStyle name="40% - 강조색4 8 13" xfId="6946"/>
    <cellStyle name="40% - 강조색4 8 14" xfId="6947"/>
    <cellStyle name="40% - 강조색4 8 2" xfId="2908"/>
    <cellStyle name="40% - 강조색4 8 2 2" xfId="2909"/>
    <cellStyle name="40% - 강조색4 8 2 2 2" xfId="2910"/>
    <cellStyle name="40% - 강조색4 8 2 2 3" xfId="2911"/>
    <cellStyle name="40% - 강조색4 8 2 2 4" xfId="6948"/>
    <cellStyle name="40% - 강조색4 8 2 3" xfId="2912"/>
    <cellStyle name="40% - 강조색4 8 2 3 2" xfId="2913"/>
    <cellStyle name="40% - 강조색4 8 2 3 3" xfId="2914"/>
    <cellStyle name="40% - 강조색4 8 2 4" xfId="2915"/>
    <cellStyle name="40% - 강조색4 8 2 5" xfId="2916"/>
    <cellStyle name="40% - 강조색4 8 2 6" xfId="6949"/>
    <cellStyle name="40% - 강조색4 8 3" xfId="2917"/>
    <cellStyle name="40% - 강조색4 8 3 2" xfId="2918"/>
    <cellStyle name="40% - 강조색4 8 3 2 2" xfId="2919"/>
    <cellStyle name="40% - 강조색4 8 3 2 3" xfId="2920"/>
    <cellStyle name="40% - 강조색4 8 3 3" xfId="2921"/>
    <cellStyle name="40% - 강조색4 8 3 3 2" xfId="2922"/>
    <cellStyle name="40% - 강조색4 8 3 3 3" xfId="2923"/>
    <cellStyle name="40% - 강조색4 8 3 4" xfId="2924"/>
    <cellStyle name="40% - 강조색4 8 3 5" xfId="2925"/>
    <cellStyle name="40% - 강조색4 8 3 6" xfId="6950"/>
    <cellStyle name="40% - 강조색4 8 4" xfId="2926"/>
    <cellStyle name="40% - 강조색4 8 4 2" xfId="2927"/>
    <cellStyle name="40% - 강조색4 8 4 3" xfId="2928"/>
    <cellStyle name="40% - 강조색4 8 4 4" xfId="6951"/>
    <cellStyle name="40% - 강조색4 8 5" xfId="2929"/>
    <cellStyle name="40% - 강조색4 8 5 2" xfId="2930"/>
    <cellStyle name="40% - 강조색4 8 5 3" xfId="2931"/>
    <cellStyle name="40% - 강조색4 8 5 4" xfId="6952"/>
    <cellStyle name="40% - 강조색4 8 6" xfId="2932"/>
    <cellStyle name="40% - 강조색4 8 6 2" xfId="6953"/>
    <cellStyle name="40% - 강조색4 8 7" xfId="2933"/>
    <cellStyle name="40% - 강조색4 8 7 2" xfId="6954"/>
    <cellStyle name="40% - 강조색4 8 8" xfId="6955"/>
    <cellStyle name="40% - 강조색4 8 9" xfId="6956"/>
    <cellStyle name="40% - 강조색4 9" xfId="2934"/>
    <cellStyle name="40% - 강조색4 9 10" xfId="6957"/>
    <cellStyle name="40% - 강조색4 9 11" xfId="6958"/>
    <cellStyle name="40% - 강조색4 9 12" xfId="6959"/>
    <cellStyle name="40% - 강조색4 9 13" xfId="6960"/>
    <cellStyle name="40% - 강조색4 9 14" xfId="6961"/>
    <cellStyle name="40% - 강조색4 9 2" xfId="2935"/>
    <cellStyle name="40% - 강조색4 9 2 2" xfId="2936"/>
    <cellStyle name="40% - 강조색4 9 2 2 2" xfId="6962"/>
    <cellStyle name="40% - 강조색4 9 2 3" xfId="2937"/>
    <cellStyle name="40% - 강조색4 9 2 4" xfId="6963"/>
    <cellStyle name="40% - 강조색4 9 3" xfId="2938"/>
    <cellStyle name="40% - 강조색4 9 3 2" xfId="2939"/>
    <cellStyle name="40% - 강조색4 9 3 3" xfId="2940"/>
    <cellStyle name="40% - 강조색4 9 3 4" xfId="6964"/>
    <cellStyle name="40% - 강조색4 9 4" xfId="2941"/>
    <cellStyle name="40% - 강조색4 9 4 2" xfId="6965"/>
    <cellStyle name="40% - 강조색4 9 5" xfId="2942"/>
    <cellStyle name="40% - 강조색4 9 5 2" xfId="6966"/>
    <cellStyle name="40% - 강조색4 9 6" xfId="6967"/>
    <cellStyle name="40% - 강조색4 9 7" xfId="6968"/>
    <cellStyle name="40% - 강조색4 9 8" xfId="6969"/>
    <cellStyle name="40% - 강조색4 9 9" xfId="6970"/>
    <cellStyle name="40% - 강조색5" xfId="4331" builtinId="47" customBuiltin="1"/>
    <cellStyle name="40% - 강조색5 10" xfId="2943"/>
    <cellStyle name="40% - 강조색5 10 10" xfId="6971"/>
    <cellStyle name="40% - 강조색5 10 11" xfId="6972"/>
    <cellStyle name="40% - 강조색5 10 12" xfId="6973"/>
    <cellStyle name="40% - 강조색5 10 13" xfId="6974"/>
    <cellStyle name="40% - 강조색5 10 14" xfId="6975"/>
    <cellStyle name="40% - 강조색5 10 2" xfId="2944"/>
    <cellStyle name="40% - 강조색5 10 2 2" xfId="2945"/>
    <cellStyle name="40% - 강조색5 10 2 2 2" xfId="6976"/>
    <cellStyle name="40% - 강조색5 10 2 3" xfId="2946"/>
    <cellStyle name="40% - 강조색5 10 2 4" xfId="6977"/>
    <cellStyle name="40% - 강조색5 10 3" xfId="2947"/>
    <cellStyle name="40% - 강조색5 10 3 2" xfId="2948"/>
    <cellStyle name="40% - 강조색5 10 3 3" xfId="2949"/>
    <cellStyle name="40% - 강조색5 10 3 4" xfId="6978"/>
    <cellStyle name="40% - 강조색5 10 4" xfId="2950"/>
    <cellStyle name="40% - 강조색5 10 4 2" xfId="6979"/>
    <cellStyle name="40% - 강조색5 10 5" xfId="2951"/>
    <cellStyle name="40% - 강조색5 10 5 2" xfId="6980"/>
    <cellStyle name="40% - 강조색5 10 6" xfId="6981"/>
    <cellStyle name="40% - 강조색5 10 7" xfId="6982"/>
    <cellStyle name="40% - 강조색5 10 8" xfId="6983"/>
    <cellStyle name="40% - 강조색5 10 9" xfId="6984"/>
    <cellStyle name="40% - 강조색5 11" xfId="2952"/>
    <cellStyle name="40% - 강조색5 11 10" xfId="6985"/>
    <cellStyle name="40% - 강조색5 11 11" xfId="6986"/>
    <cellStyle name="40% - 강조색5 11 12" xfId="6987"/>
    <cellStyle name="40% - 강조색5 11 13" xfId="6988"/>
    <cellStyle name="40% - 강조색5 11 14" xfId="6989"/>
    <cellStyle name="40% - 강조색5 11 2" xfId="2953"/>
    <cellStyle name="40% - 강조색5 11 2 2" xfId="2954"/>
    <cellStyle name="40% - 강조색5 11 2 2 2" xfId="6990"/>
    <cellStyle name="40% - 강조색5 11 2 3" xfId="2955"/>
    <cellStyle name="40% - 강조색5 11 2 4" xfId="6991"/>
    <cellStyle name="40% - 강조색5 11 3" xfId="2956"/>
    <cellStyle name="40% - 강조색5 11 3 2" xfId="2957"/>
    <cellStyle name="40% - 강조색5 11 3 3" xfId="2958"/>
    <cellStyle name="40% - 강조색5 11 3 4" xfId="6992"/>
    <cellStyle name="40% - 강조색5 11 4" xfId="2959"/>
    <cellStyle name="40% - 강조색5 11 4 2" xfId="6993"/>
    <cellStyle name="40% - 강조색5 11 5" xfId="2960"/>
    <cellStyle name="40% - 강조색5 11 5 2" xfId="6994"/>
    <cellStyle name="40% - 강조색5 11 6" xfId="6995"/>
    <cellStyle name="40% - 강조색5 11 7" xfId="6996"/>
    <cellStyle name="40% - 강조색5 11 8" xfId="6997"/>
    <cellStyle name="40% - 강조색5 11 9" xfId="6998"/>
    <cellStyle name="40% - 강조색5 12" xfId="2961"/>
    <cellStyle name="40% - 강조색5 12 10" xfId="6999"/>
    <cellStyle name="40% - 강조색5 12 11" xfId="7000"/>
    <cellStyle name="40% - 강조색5 12 12" xfId="7001"/>
    <cellStyle name="40% - 강조색5 12 13" xfId="7002"/>
    <cellStyle name="40% - 강조색5 12 14" xfId="7003"/>
    <cellStyle name="40% - 강조색5 12 2" xfId="2962"/>
    <cellStyle name="40% - 강조색5 12 2 2" xfId="2963"/>
    <cellStyle name="40% - 강조색5 12 2 2 2" xfId="7004"/>
    <cellStyle name="40% - 강조색5 12 2 3" xfId="2964"/>
    <cellStyle name="40% - 강조색5 12 2 4" xfId="7005"/>
    <cellStyle name="40% - 강조색5 12 3" xfId="2965"/>
    <cellStyle name="40% - 강조색5 12 3 2" xfId="2966"/>
    <cellStyle name="40% - 강조색5 12 3 3" xfId="2967"/>
    <cellStyle name="40% - 강조색5 12 3 4" xfId="7006"/>
    <cellStyle name="40% - 강조색5 12 4" xfId="2968"/>
    <cellStyle name="40% - 강조색5 12 4 2" xfId="7007"/>
    <cellStyle name="40% - 강조색5 12 5" xfId="2969"/>
    <cellStyle name="40% - 강조색5 12 5 2" xfId="7008"/>
    <cellStyle name="40% - 강조색5 12 6" xfId="7009"/>
    <cellStyle name="40% - 강조색5 12 7" xfId="7010"/>
    <cellStyle name="40% - 강조색5 12 8" xfId="7011"/>
    <cellStyle name="40% - 강조색5 12 9" xfId="7012"/>
    <cellStyle name="40% - 강조색5 13" xfId="2970"/>
    <cellStyle name="40% - 강조색5 13 10" xfId="7013"/>
    <cellStyle name="40% - 강조색5 13 11" xfId="7014"/>
    <cellStyle name="40% - 강조색5 13 12" xfId="7015"/>
    <cellStyle name="40% - 강조색5 13 13" xfId="7016"/>
    <cellStyle name="40% - 강조색5 13 14" xfId="7017"/>
    <cellStyle name="40% - 강조색5 13 2" xfId="2971"/>
    <cellStyle name="40% - 강조색5 13 2 2" xfId="2972"/>
    <cellStyle name="40% - 강조색5 13 2 2 2" xfId="7018"/>
    <cellStyle name="40% - 강조색5 13 2 3" xfId="2973"/>
    <cellStyle name="40% - 강조색5 13 2 4" xfId="7019"/>
    <cellStyle name="40% - 강조색5 13 3" xfId="2974"/>
    <cellStyle name="40% - 강조색5 13 3 2" xfId="2975"/>
    <cellStyle name="40% - 강조색5 13 3 3" xfId="2976"/>
    <cellStyle name="40% - 강조색5 13 3 4" xfId="7020"/>
    <cellStyle name="40% - 강조색5 13 4" xfId="2977"/>
    <cellStyle name="40% - 강조색5 13 4 2" xfId="7021"/>
    <cellStyle name="40% - 강조색5 13 5" xfId="2978"/>
    <cellStyle name="40% - 강조색5 13 5 2" xfId="7022"/>
    <cellStyle name="40% - 강조색5 13 6" xfId="7023"/>
    <cellStyle name="40% - 강조색5 13 7" xfId="7024"/>
    <cellStyle name="40% - 강조색5 13 8" xfId="7025"/>
    <cellStyle name="40% - 강조색5 13 9" xfId="7026"/>
    <cellStyle name="40% - 강조색5 14" xfId="2979"/>
    <cellStyle name="40% - 강조색5 14 10" xfId="7027"/>
    <cellStyle name="40% - 강조색5 14 11" xfId="7028"/>
    <cellStyle name="40% - 강조색5 14 12" xfId="7029"/>
    <cellStyle name="40% - 강조색5 14 13" xfId="7030"/>
    <cellStyle name="40% - 강조색5 14 14" xfId="7031"/>
    <cellStyle name="40% - 강조색5 14 2" xfId="2980"/>
    <cellStyle name="40% - 강조색5 14 2 2" xfId="2981"/>
    <cellStyle name="40% - 강조색5 14 2 2 2" xfId="7032"/>
    <cellStyle name="40% - 강조색5 14 2 3" xfId="2982"/>
    <cellStyle name="40% - 강조색5 14 2 4" xfId="7033"/>
    <cellStyle name="40% - 강조색5 14 3" xfId="2983"/>
    <cellStyle name="40% - 강조색5 14 3 2" xfId="2984"/>
    <cellStyle name="40% - 강조색5 14 3 3" xfId="2985"/>
    <cellStyle name="40% - 강조색5 14 3 4" xfId="7034"/>
    <cellStyle name="40% - 강조색5 14 4" xfId="2986"/>
    <cellStyle name="40% - 강조색5 14 4 2" xfId="7035"/>
    <cellStyle name="40% - 강조색5 14 5" xfId="2987"/>
    <cellStyle name="40% - 강조색5 14 5 2" xfId="7036"/>
    <cellStyle name="40% - 강조색5 14 6" xfId="7037"/>
    <cellStyle name="40% - 강조색5 14 7" xfId="7038"/>
    <cellStyle name="40% - 강조색5 14 8" xfId="7039"/>
    <cellStyle name="40% - 강조색5 14 9" xfId="7040"/>
    <cellStyle name="40% - 강조색5 15" xfId="2988"/>
    <cellStyle name="40% - 강조색5 15 10" xfId="7041"/>
    <cellStyle name="40% - 강조색5 15 11" xfId="7042"/>
    <cellStyle name="40% - 강조색5 15 12" xfId="7043"/>
    <cellStyle name="40% - 강조색5 15 13" xfId="7044"/>
    <cellStyle name="40% - 강조색5 15 14" xfId="7045"/>
    <cellStyle name="40% - 강조색5 15 2" xfId="2989"/>
    <cellStyle name="40% - 강조색5 15 2 2" xfId="2990"/>
    <cellStyle name="40% - 강조색5 15 2 2 2" xfId="7046"/>
    <cellStyle name="40% - 강조색5 15 2 3" xfId="2991"/>
    <cellStyle name="40% - 강조색5 15 2 4" xfId="7047"/>
    <cellStyle name="40% - 강조색5 15 3" xfId="2992"/>
    <cellStyle name="40% - 강조색5 15 3 2" xfId="2993"/>
    <cellStyle name="40% - 강조색5 15 3 3" xfId="2994"/>
    <cellStyle name="40% - 강조색5 15 3 4" xfId="7048"/>
    <cellStyle name="40% - 강조색5 15 4" xfId="2995"/>
    <cellStyle name="40% - 강조색5 15 4 2" xfId="7049"/>
    <cellStyle name="40% - 강조색5 15 5" xfId="2996"/>
    <cellStyle name="40% - 강조색5 15 5 2" xfId="7050"/>
    <cellStyle name="40% - 강조색5 15 6" xfId="7051"/>
    <cellStyle name="40% - 강조색5 15 7" xfId="7052"/>
    <cellStyle name="40% - 강조색5 15 8" xfId="7053"/>
    <cellStyle name="40% - 강조색5 15 9" xfId="7054"/>
    <cellStyle name="40% - 강조색5 16" xfId="2997"/>
    <cellStyle name="40% - 강조색5 16 10" xfId="7055"/>
    <cellStyle name="40% - 강조색5 16 11" xfId="7056"/>
    <cellStyle name="40% - 강조색5 16 12" xfId="7057"/>
    <cellStyle name="40% - 강조색5 16 13" xfId="7058"/>
    <cellStyle name="40% - 강조색5 16 14" xfId="7059"/>
    <cellStyle name="40% - 강조색5 16 2" xfId="2998"/>
    <cellStyle name="40% - 강조색5 16 2 2" xfId="2999"/>
    <cellStyle name="40% - 강조색5 16 2 2 2" xfId="7060"/>
    <cellStyle name="40% - 강조색5 16 2 3" xfId="3000"/>
    <cellStyle name="40% - 강조색5 16 2 4" xfId="7061"/>
    <cellStyle name="40% - 강조색5 16 3" xfId="3001"/>
    <cellStyle name="40% - 강조색5 16 3 2" xfId="3002"/>
    <cellStyle name="40% - 강조색5 16 3 3" xfId="3003"/>
    <cellStyle name="40% - 강조색5 16 3 4" xfId="7062"/>
    <cellStyle name="40% - 강조색5 16 4" xfId="3004"/>
    <cellStyle name="40% - 강조색5 16 4 2" xfId="7063"/>
    <cellStyle name="40% - 강조색5 16 5" xfId="3005"/>
    <cellStyle name="40% - 강조색5 16 5 2" xfId="7064"/>
    <cellStyle name="40% - 강조색5 16 6" xfId="7065"/>
    <cellStyle name="40% - 강조색5 16 7" xfId="7066"/>
    <cellStyle name="40% - 강조색5 16 8" xfId="7067"/>
    <cellStyle name="40% - 강조색5 16 9" xfId="7068"/>
    <cellStyle name="40% - 강조색5 17" xfId="3006"/>
    <cellStyle name="40% - 강조색5 17 10" xfId="7069"/>
    <cellStyle name="40% - 강조색5 17 11" xfId="7070"/>
    <cellStyle name="40% - 강조색5 17 12" xfId="7071"/>
    <cellStyle name="40% - 강조색5 17 13" xfId="7072"/>
    <cellStyle name="40% - 강조색5 17 14" xfId="7073"/>
    <cellStyle name="40% - 강조색5 17 2" xfId="3007"/>
    <cellStyle name="40% - 강조색5 17 2 2" xfId="3008"/>
    <cellStyle name="40% - 강조색5 17 2 3" xfId="3009"/>
    <cellStyle name="40% - 강조색5 17 2 4" xfId="7074"/>
    <cellStyle name="40% - 강조색5 17 3" xfId="3010"/>
    <cellStyle name="40% - 강조색5 17 3 2" xfId="7075"/>
    <cellStyle name="40% - 강조색5 17 4" xfId="3011"/>
    <cellStyle name="40% - 강조색5 17 4 2" xfId="7076"/>
    <cellStyle name="40% - 강조색5 17 5" xfId="7077"/>
    <cellStyle name="40% - 강조색5 17 6" xfId="7078"/>
    <cellStyle name="40% - 강조색5 17 7" xfId="7079"/>
    <cellStyle name="40% - 강조색5 17 8" xfId="7080"/>
    <cellStyle name="40% - 강조색5 17 9" xfId="7081"/>
    <cellStyle name="40% - 강조색5 18" xfId="3012"/>
    <cellStyle name="40% - 강조색5 18 10" xfId="7082"/>
    <cellStyle name="40% - 강조색5 18 11" xfId="7083"/>
    <cellStyle name="40% - 강조색5 18 12" xfId="7084"/>
    <cellStyle name="40% - 강조색5 18 13" xfId="7085"/>
    <cellStyle name="40% - 강조색5 18 14" xfId="7086"/>
    <cellStyle name="40% - 강조색5 18 2" xfId="3013"/>
    <cellStyle name="40% - 강조색5 18 2 2" xfId="3014"/>
    <cellStyle name="40% - 강조색5 18 2 3" xfId="3015"/>
    <cellStyle name="40% - 강조색5 18 2 4" xfId="7087"/>
    <cellStyle name="40% - 강조색5 18 3" xfId="3016"/>
    <cellStyle name="40% - 강조색5 18 3 2" xfId="7088"/>
    <cellStyle name="40% - 강조색5 18 4" xfId="3017"/>
    <cellStyle name="40% - 강조색5 18 4 2" xfId="7089"/>
    <cellStyle name="40% - 강조색5 18 5" xfId="7090"/>
    <cellStyle name="40% - 강조색5 18 6" xfId="7091"/>
    <cellStyle name="40% - 강조색5 18 7" xfId="7092"/>
    <cellStyle name="40% - 강조색5 18 8" xfId="7093"/>
    <cellStyle name="40% - 강조색5 18 9" xfId="7094"/>
    <cellStyle name="40% - 강조색5 19" xfId="3018"/>
    <cellStyle name="40% - 강조색5 19 10" xfId="7095"/>
    <cellStyle name="40% - 강조색5 19 11" xfId="7096"/>
    <cellStyle name="40% - 강조색5 19 12" xfId="7097"/>
    <cellStyle name="40% - 강조색5 19 13" xfId="7098"/>
    <cellStyle name="40% - 강조색5 19 14" xfId="7099"/>
    <cellStyle name="40% - 강조색5 19 2" xfId="3019"/>
    <cellStyle name="40% - 강조색5 19 2 2" xfId="3020"/>
    <cellStyle name="40% - 강조색5 19 2 3" xfId="3021"/>
    <cellStyle name="40% - 강조색5 19 2 4" xfId="7100"/>
    <cellStyle name="40% - 강조색5 19 3" xfId="3022"/>
    <cellStyle name="40% - 강조색5 19 3 2" xfId="7101"/>
    <cellStyle name="40% - 강조색5 19 4" xfId="3023"/>
    <cellStyle name="40% - 강조색5 19 4 2" xfId="7102"/>
    <cellStyle name="40% - 강조색5 19 5" xfId="7103"/>
    <cellStyle name="40% - 강조색5 19 6" xfId="7104"/>
    <cellStyle name="40% - 강조색5 19 7" xfId="7105"/>
    <cellStyle name="40% - 강조색5 19 8" xfId="7106"/>
    <cellStyle name="40% - 강조색5 19 9" xfId="7107"/>
    <cellStyle name="40% - 강조색5 2" xfId="3024"/>
    <cellStyle name="40% - 강조색5 2 10" xfId="7108"/>
    <cellStyle name="40% - 강조색5 2 11" xfId="7109"/>
    <cellStyle name="40% - 강조색5 2 12" xfId="7110"/>
    <cellStyle name="40% - 강조색5 2 13" xfId="7111"/>
    <cellStyle name="40% - 강조색5 2 2" xfId="7112"/>
    <cellStyle name="40% - 강조색5 2 2 2" xfId="7113"/>
    <cellStyle name="40% - 강조색5 2 3" xfId="7114"/>
    <cellStyle name="40% - 강조색5 2 3 2" xfId="7115"/>
    <cellStyle name="40% - 강조색5 2 4" xfId="7116"/>
    <cellStyle name="40% - 강조색5 2 4 2" xfId="7117"/>
    <cellStyle name="40% - 강조색5 2 5" xfId="7118"/>
    <cellStyle name="40% - 강조색5 2 6" xfId="7119"/>
    <cellStyle name="40% - 강조색5 2 7" xfId="7120"/>
    <cellStyle name="40% - 강조색5 2 8" xfId="7121"/>
    <cellStyle name="40% - 강조색5 2 9" xfId="7122"/>
    <cellStyle name="40% - 강조색5 20" xfId="3025"/>
    <cellStyle name="40% - 강조색5 20 2" xfId="3026"/>
    <cellStyle name="40% - 강조색5 20 3" xfId="3027"/>
    <cellStyle name="40% - 강조색5 20 4" xfId="7123"/>
    <cellStyle name="40% - 강조색5 21" xfId="3028"/>
    <cellStyle name="40% - 강조색5 21 2" xfId="3029"/>
    <cellStyle name="40% - 강조색5 21 3" xfId="3030"/>
    <cellStyle name="40% - 강조색5 21 4" xfId="7124"/>
    <cellStyle name="40% - 강조색5 22" xfId="3031"/>
    <cellStyle name="40% - 강조색5 22 2" xfId="3032"/>
    <cellStyle name="40% - 강조색5 22 3" xfId="3033"/>
    <cellStyle name="40% - 강조색5 22 4" xfId="7125"/>
    <cellStyle name="40% - 강조색5 23" xfId="3034"/>
    <cellStyle name="40% - 강조색5 23 2" xfId="3035"/>
    <cellStyle name="40% - 강조색5 23 3" xfId="3036"/>
    <cellStyle name="40% - 강조색5 23 4" xfId="7126"/>
    <cellStyle name="40% - 강조색5 24" xfId="3037"/>
    <cellStyle name="40% - 강조색5 24 2" xfId="3038"/>
    <cellStyle name="40% - 강조색5 24 3" xfId="3039"/>
    <cellStyle name="40% - 강조색5 24 4" xfId="7127"/>
    <cellStyle name="40% - 강조색5 25" xfId="3040"/>
    <cellStyle name="40% - 강조색5 25 2" xfId="3041"/>
    <cellStyle name="40% - 강조색5 25 3" xfId="3042"/>
    <cellStyle name="40% - 강조색5 25 4" xfId="7128"/>
    <cellStyle name="40% - 강조색5 26" xfId="3043"/>
    <cellStyle name="40% - 강조색5 26 2" xfId="3044"/>
    <cellStyle name="40% - 강조색5 26 3" xfId="3045"/>
    <cellStyle name="40% - 강조색5 26 4" xfId="7129"/>
    <cellStyle name="40% - 강조색5 27" xfId="3046"/>
    <cellStyle name="40% - 강조색5 27 2" xfId="3047"/>
    <cellStyle name="40% - 강조색5 27 3" xfId="3048"/>
    <cellStyle name="40% - 강조색5 27 4" xfId="7130"/>
    <cellStyle name="40% - 강조색5 28" xfId="3049"/>
    <cellStyle name="40% - 강조색5 28 2" xfId="3050"/>
    <cellStyle name="40% - 강조색5 28 3" xfId="3051"/>
    <cellStyle name="40% - 강조색5 28 4" xfId="7131"/>
    <cellStyle name="40% - 강조색5 29" xfId="3052"/>
    <cellStyle name="40% - 강조색5 29 2" xfId="3053"/>
    <cellStyle name="40% - 강조색5 29 3" xfId="3054"/>
    <cellStyle name="40% - 강조색5 29 4" xfId="7132"/>
    <cellStyle name="40% - 강조색5 3" xfId="3055"/>
    <cellStyle name="40% - 강조색5 3 10" xfId="7133"/>
    <cellStyle name="40% - 강조색5 3 11" xfId="7134"/>
    <cellStyle name="40% - 강조색5 3 12" xfId="7135"/>
    <cellStyle name="40% - 강조색5 3 13" xfId="7136"/>
    <cellStyle name="40% - 강조색5 3 14" xfId="7137"/>
    <cellStyle name="40% - 강조색5 3 2" xfId="3056"/>
    <cellStyle name="40% - 강조색5 3 2 2" xfId="3057"/>
    <cellStyle name="40% - 강조색5 3 2 2 2" xfId="3058"/>
    <cellStyle name="40% - 강조색5 3 2 2 3" xfId="3059"/>
    <cellStyle name="40% - 강조색5 3 2 2 4" xfId="7138"/>
    <cellStyle name="40% - 강조색5 3 2 3" xfId="3060"/>
    <cellStyle name="40% - 강조색5 3 2 3 2" xfId="3061"/>
    <cellStyle name="40% - 강조색5 3 2 3 3" xfId="3062"/>
    <cellStyle name="40% - 강조색5 3 2 4" xfId="3063"/>
    <cellStyle name="40% - 강조색5 3 2 5" xfId="3064"/>
    <cellStyle name="40% - 강조색5 3 2 6" xfId="7139"/>
    <cellStyle name="40% - 강조색5 3 3" xfId="3065"/>
    <cellStyle name="40% - 강조색5 3 3 2" xfId="3066"/>
    <cellStyle name="40% - 강조색5 3 3 2 2" xfId="3067"/>
    <cellStyle name="40% - 강조색5 3 3 2 3" xfId="3068"/>
    <cellStyle name="40% - 강조색5 3 3 3" xfId="3069"/>
    <cellStyle name="40% - 강조색5 3 3 3 2" xfId="3070"/>
    <cellStyle name="40% - 강조색5 3 3 3 3" xfId="3071"/>
    <cellStyle name="40% - 강조색5 3 3 4" xfId="3072"/>
    <cellStyle name="40% - 강조색5 3 3 5" xfId="3073"/>
    <cellStyle name="40% - 강조색5 3 3 6" xfId="7140"/>
    <cellStyle name="40% - 강조색5 3 4" xfId="3074"/>
    <cellStyle name="40% - 강조색5 3 4 2" xfId="3075"/>
    <cellStyle name="40% - 강조색5 3 4 3" xfId="3076"/>
    <cellStyle name="40% - 강조색5 3 4 4" xfId="7141"/>
    <cellStyle name="40% - 강조색5 3 5" xfId="3077"/>
    <cellStyle name="40% - 강조색5 3 5 2" xfId="3078"/>
    <cellStyle name="40% - 강조색5 3 5 3" xfId="3079"/>
    <cellStyle name="40% - 강조색5 3 5 4" xfId="7142"/>
    <cellStyle name="40% - 강조색5 3 6" xfId="3080"/>
    <cellStyle name="40% - 강조색5 3 6 2" xfId="7143"/>
    <cellStyle name="40% - 강조색5 3 7" xfId="3081"/>
    <cellStyle name="40% - 강조색5 3 7 2" xfId="7144"/>
    <cellStyle name="40% - 강조색5 3 8" xfId="7145"/>
    <cellStyle name="40% - 강조색5 3 9" xfId="7146"/>
    <cellStyle name="40% - 강조색5 30" xfId="3082"/>
    <cellStyle name="40% - 강조색5 30 2" xfId="3083"/>
    <cellStyle name="40% - 강조색5 30 3" xfId="7147"/>
    <cellStyle name="40% - 강조색5 31" xfId="3084"/>
    <cellStyle name="40% - 강조색5 31 2" xfId="7148"/>
    <cellStyle name="40% - 강조색5 32" xfId="3085"/>
    <cellStyle name="40% - 강조색5 32 2" xfId="7149"/>
    <cellStyle name="40% - 강조색5 33" xfId="3086"/>
    <cellStyle name="40% - 강조색5 34" xfId="3087"/>
    <cellStyle name="40% - 강조색5 35" xfId="3088"/>
    <cellStyle name="40% - 강조색5 36" xfId="3089"/>
    <cellStyle name="40% - 강조색5 37" xfId="3090"/>
    <cellStyle name="40% - 강조색5 38" xfId="3091"/>
    <cellStyle name="40% - 강조색5 4" xfId="3092"/>
    <cellStyle name="40% - 강조색5 4 10" xfId="7150"/>
    <cellStyle name="40% - 강조색5 4 11" xfId="7151"/>
    <cellStyle name="40% - 강조색5 4 12" xfId="7152"/>
    <cellStyle name="40% - 강조색5 4 13" xfId="7153"/>
    <cellStyle name="40% - 강조색5 4 14" xfId="7154"/>
    <cellStyle name="40% - 강조색5 4 2" xfId="3093"/>
    <cellStyle name="40% - 강조색5 4 2 2" xfId="3094"/>
    <cellStyle name="40% - 강조색5 4 2 2 2" xfId="3095"/>
    <cellStyle name="40% - 강조색5 4 2 2 3" xfId="3096"/>
    <cellStyle name="40% - 강조색5 4 2 2 4" xfId="7155"/>
    <cellStyle name="40% - 강조색5 4 2 3" xfId="3097"/>
    <cellStyle name="40% - 강조색5 4 2 3 2" xfId="3098"/>
    <cellStyle name="40% - 강조색5 4 2 3 3" xfId="3099"/>
    <cellStyle name="40% - 강조색5 4 2 4" xfId="3100"/>
    <cellStyle name="40% - 강조색5 4 2 5" xfId="3101"/>
    <cellStyle name="40% - 강조색5 4 2 6" xfId="7156"/>
    <cellStyle name="40% - 강조색5 4 3" xfId="3102"/>
    <cellStyle name="40% - 강조색5 4 3 2" xfId="3103"/>
    <cellStyle name="40% - 강조색5 4 3 2 2" xfId="3104"/>
    <cellStyle name="40% - 강조색5 4 3 2 3" xfId="3105"/>
    <cellStyle name="40% - 강조색5 4 3 3" xfId="3106"/>
    <cellStyle name="40% - 강조색5 4 3 3 2" xfId="3107"/>
    <cellStyle name="40% - 강조색5 4 3 3 3" xfId="3108"/>
    <cellStyle name="40% - 강조색5 4 3 4" xfId="3109"/>
    <cellStyle name="40% - 강조색5 4 3 5" xfId="3110"/>
    <cellStyle name="40% - 강조색5 4 3 6" xfId="7157"/>
    <cellStyle name="40% - 강조색5 4 4" xfId="3111"/>
    <cellStyle name="40% - 강조색5 4 4 2" xfId="3112"/>
    <cellStyle name="40% - 강조색5 4 4 3" xfId="3113"/>
    <cellStyle name="40% - 강조색5 4 4 4" xfId="7158"/>
    <cellStyle name="40% - 강조색5 4 5" xfId="3114"/>
    <cellStyle name="40% - 강조색5 4 5 2" xfId="3115"/>
    <cellStyle name="40% - 강조색5 4 5 3" xfId="3116"/>
    <cellStyle name="40% - 강조색5 4 5 4" xfId="7159"/>
    <cellStyle name="40% - 강조색5 4 6" xfId="3117"/>
    <cellStyle name="40% - 강조색5 4 6 2" xfId="7160"/>
    <cellStyle name="40% - 강조색5 4 7" xfId="3118"/>
    <cellStyle name="40% - 강조색5 4 7 2" xfId="7161"/>
    <cellStyle name="40% - 강조색5 4 8" xfId="7162"/>
    <cellStyle name="40% - 강조색5 4 9" xfId="7163"/>
    <cellStyle name="40% - 강조색5 5" xfId="3119"/>
    <cellStyle name="40% - 강조색5 5 10" xfId="7164"/>
    <cellStyle name="40% - 강조색5 5 11" xfId="7165"/>
    <cellStyle name="40% - 강조색5 5 12" xfId="7166"/>
    <cellStyle name="40% - 강조색5 5 13" xfId="7167"/>
    <cellStyle name="40% - 강조색5 5 14" xfId="7168"/>
    <cellStyle name="40% - 강조색5 5 2" xfId="3120"/>
    <cellStyle name="40% - 강조색5 5 2 2" xfId="3121"/>
    <cellStyle name="40% - 강조색5 5 2 2 2" xfId="3122"/>
    <cellStyle name="40% - 강조색5 5 2 2 3" xfId="3123"/>
    <cellStyle name="40% - 강조색5 5 2 2 4" xfId="7169"/>
    <cellStyle name="40% - 강조색5 5 2 3" xfId="3124"/>
    <cellStyle name="40% - 강조색5 5 2 3 2" xfId="3125"/>
    <cellStyle name="40% - 강조색5 5 2 3 3" xfId="3126"/>
    <cellStyle name="40% - 강조색5 5 2 4" xfId="3127"/>
    <cellStyle name="40% - 강조색5 5 2 5" xfId="3128"/>
    <cellStyle name="40% - 강조색5 5 2 6" xfId="7170"/>
    <cellStyle name="40% - 강조색5 5 3" xfId="3129"/>
    <cellStyle name="40% - 강조색5 5 3 2" xfId="3130"/>
    <cellStyle name="40% - 강조색5 5 3 2 2" xfId="3131"/>
    <cellStyle name="40% - 강조색5 5 3 2 3" xfId="3132"/>
    <cellStyle name="40% - 강조색5 5 3 3" xfId="3133"/>
    <cellStyle name="40% - 강조색5 5 3 3 2" xfId="3134"/>
    <cellStyle name="40% - 강조색5 5 3 3 3" xfId="3135"/>
    <cellStyle name="40% - 강조색5 5 3 4" xfId="3136"/>
    <cellStyle name="40% - 강조색5 5 3 5" xfId="3137"/>
    <cellStyle name="40% - 강조색5 5 3 6" xfId="7171"/>
    <cellStyle name="40% - 강조색5 5 4" xfId="3138"/>
    <cellStyle name="40% - 강조색5 5 4 2" xfId="3139"/>
    <cellStyle name="40% - 강조색5 5 4 3" xfId="3140"/>
    <cellStyle name="40% - 강조색5 5 4 4" xfId="7172"/>
    <cellStyle name="40% - 강조색5 5 5" xfId="3141"/>
    <cellStyle name="40% - 강조색5 5 5 2" xfId="3142"/>
    <cellStyle name="40% - 강조색5 5 5 3" xfId="3143"/>
    <cellStyle name="40% - 강조색5 5 5 4" xfId="7173"/>
    <cellStyle name="40% - 강조색5 5 6" xfId="3144"/>
    <cellStyle name="40% - 강조색5 5 6 2" xfId="7174"/>
    <cellStyle name="40% - 강조색5 5 7" xfId="3145"/>
    <cellStyle name="40% - 강조색5 5 7 2" xfId="7175"/>
    <cellStyle name="40% - 강조색5 5 8" xfId="7176"/>
    <cellStyle name="40% - 강조색5 5 9" xfId="7177"/>
    <cellStyle name="40% - 강조색5 6" xfId="3146"/>
    <cellStyle name="40% - 강조색5 6 10" xfId="7178"/>
    <cellStyle name="40% - 강조색5 6 11" xfId="7179"/>
    <cellStyle name="40% - 강조색5 6 12" xfId="7180"/>
    <cellStyle name="40% - 강조색5 6 13" xfId="7181"/>
    <cellStyle name="40% - 강조색5 6 14" xfId="7182"/>
    <cellStyle name="40% - 강조색5 6 2" xfId="3147"/>
    <cellStyle name="40% - 강조색5 6 2 2" xfId="3148"/>
    <cellStyle name="40% - 강조색5 6 2 2 2" xfId="3149"/>
    <cellStyle name="40% - 강조색5 6 2 2 3" xfId="3150"/>
    <cellStyle name="40% - 강조색5 6 2 2 4" xfId="7183"/>
    <cellStyle name="40% - 강조색5 6 2 3" xfId="3151"/>
    <cellStyle name="40% - 강조색5 6 2 3 2" xfId="3152"/>
    <cellStyle name="40% - 강조색5 6 2 3 3" xfId="3153"/>
    <cellStyle name="40% - 강조색5 6 2 4" xfId="3154"/>
    <cellStyle name="40% - 강조색5 6 2 5" xfId="3155"/>
    <cellStyle name="40% - 강조색5 6 2 6" xfId="7184"/>
    <cellStyle name="40% - 강조색5 6 3" xfId="3156"/>
    <cellStyle name="40% - 강조색5 6 3 2" xfId="3157"/>
    <cellStyle name="40% - 강조색5 6 3 2 2" xfId="3158"/>
    <cellStyle name="40% - 강조색5 6 3 2 3" xfId="3159"/>
    <cellStyle name="40% - 강조색5 6 3 3" xfId="3160"/>
    <cellStyle name="40% - 강조색5 6 3 3 2" xfId="3161"/>
    <cellStyle name="40% - 강조색5 6 3 3 3" xfId="3162"/>
    <cellStyle name="40% - 강조색5 6 3 4" xfId="3163"/>
    <cellStyle name="40% - 강조색5 6 3 5" xfId="3164"/>
    <cellStyle name="40% - 강조색5 6 3 6" xfId="7185"/>
    <cellStyle name="40% - 강조색5 6 4" xfId="3165"/>
    <cellStyle name="40% - 강조색5 6 4 2" xfId="3166"/>
    <cellStyle name="40% - 강조색5 6 4 3" xfId="3167"/>
    <cellStyle name="40% - 강조색5 6 4 4" xfId="7186"/>
    <cellStyle name="40% - 강조색5 6 5" xfId="3168"/>
    <cellStyle name="40% - 강조색5 6 5 2" xfId="3169"/>
    <cellStyle name="40% - 강조색5 6 5 3" xfId="3170"/>
    <cellStyle name="40% - 강조색5 6 5 4" xfId="7187"/>
    <cellStyle name="40% - 강조색5 6 6" xfId="3171"/>
    <cellStyle name="40% - 강조색5 6 6 2" xfId="7188"/>
    <cellStyle name="40% - 강조색5 6 7" xfId="3172"/>
    <cellStyle name="40% - 강조색5 6 7 2" xfId="7189"/>
    <cellStyle name="40% - 강조색5 6 8" xfId="7190"/>
    <cellStyle name="40% - 강조색5 6 9" xfId="7191"/>
    <cellStyle name="40% - 강조색5 7" xfId="3173"/>
    <cellStyle name="40% - 강조색5 7 10" xfId="7192"/>
    <cellStyle name="40% - 강조색5 7 11" xfId="7193"/>
    <cellStyle name="40% - 강조색5 7 12" xfId="7194"/>
    <cellStyle name="40% - 강조색5 7 13" xfId="7195"/>
    <cellStyle name="40% - 강조색5 7 14" xfId="7196"/>
    <cellStyle name="40% - 강조색5 7 2" xfId="3174"/>
    <cellStyle name="40% - 강조색5 7 2 2" xfId="3175"/>
    <cellStyle name="40% - 강조색5 7 2 2 2" xfId="3176"/>
    <cellStyle name="40% - 강조색5 7 2 2 3" xfId="3177"/>
    <cellStyle name="40% - 강조색5 7 2 2 4" xfId="7197"/>
    <cellStyle name="40% - 강조색5 7 2 3" xfId="3178"/>
    <cellStyle name="40% - 강조색5 7 2 3 2" xfId="3179"/>
    <cellStyle name="40% - 강조색5 7 2 3 3" xfId="3180"/>
    <cellStyle name="40% - 강조색5 7 2 4" xfId="3181"/>
    <cellStyle name="40% - 강조색5 7 2 5" xfId="3182"/>
    <cellStyle name="40% - 강조색5 7 2 6" xfId="7198"/>
    <cellStyle name="40% - 강조색5 7 3" xfId="3183"/>
    <cellStyle name="40% - 강조색5 7 3 2" xfId="3184"/>
    <cellStyle name="40% - 강조색5 7 3 2 2" xfId="3185"/>
    <cellStyle name="40% - 강조색5 7 3 2 3" xfId="3186"/>
    <cellStyle name="40% - 강조색5 7 3 3" xfId="3187"/>
    <cellStyle name="40% - 강조색5 7 3 3 2" xfId="3188"/>
    <cellStyle name="40% - 강조색5 7 3 3 3" xfId="3189"/>
    <cellStyle name="40% - 강조색5 7 3 4" xfId="3190"/>
    <cellStyle name="40% - 강조색5 7 3 5" xfId="3191"/>
    <cellStyle name="40% - 강조색5 7 3 6" xfId="7199"/>
    <cellStyle name="40% - 강조색5 7 4" xfId="3192"/>
    <cellStyle name="40% - 강조색5 7 4 2" xfId="3193"/>
    <cellStyle name="40% - 강조색5 7 4 3" xfId="3194"/>
    <cellStyle name="40% - 강조색5 7 4 4" xfId="7200"/>
    <cellStyle name="40% - 강조색5 7 5" xfId="3195"/>
    <cellStyle name="40% - 강조색5 7 5 2" xfId="3196"/>
    <cellStyle name="40% - 강조색5 7 5 3" xfId="3197"/>
    <cellStyle name="40% - 강조색5 7 5 4" xfId="7201"/>
    <cellStyle name="40% - 강조색5 7 6" xfId="3198"/>
    <cellStyle name="40% - 강조색5 7 6 2" xfId="7202"/>
    <cellStyle name="40% - 강조색5 7 7" xfId="3199"/>
    <cellStyle name="40% - 강조색5 7 7 2" xfId="7203"/>
    <cellStyle name="40% - 강조색5 7 8" xfId="7204"/>
    <cellStyle name="40% - 강조색5 7 9" xfId="7205"/>
    <cellStyle name="40% - 강조색5 8" xfId="3200"/>
    <cellStyle name="40% - 강조색5 8 10" xfId="7206"/>
    <cellStyle name="40% - 강조색5 8 11" xfId="7207"/>
    <cellStyle name="40% - 강조색5 8 12" xfId="7208"/>
    <cellStyle name="40% - 강조색5 8 13" xfId="7209"/>
    <cellStyle name="40% - 강조색5 8 14" xfId="7210"/>
    <cellStyle name="40% - 강조색5 8 2" xfId="3201"/>
    <cellStyle name="40% - 강조색5 8 2 2" xfId="3202"/>
    <cellStyle name="40% - 강조색5 8 2 2 2" xfId="3203"/>
    <cellStyle name="40% - 강조색5 8 2 2 3" xfId="3204"/>
    <cellStyle name="40% - 강조색5 8 2 2 4" xfId="7211"/>
    <cellStyle name="40% - 강조색5 8 2 3" xfId="3205"/>
    <cellStyle name="40% - 강조색5 8 2 3 2" xfId="3206"/>
    <cellStyle name="40% - 강조색5 8 2 3 3" xfId="3207"/>
    <cellStyle name="40% - 강조색5 8 2 4" xfId="3208"/>
    <cellStyle name="40% - 강조색5 8 2 5" xfId="3209"/>
    <cellStyle name="40% - 강조색5 8 2 6" xfId="7212"/>
    <cellStyle name="40% - 강조색5 8 3" xfId="3210"/>
    <cellStyle name="40% - 강조색5 8 3 2" xfId="3211"/>
    <cellStyle name="40% - 강조색5 8 3 2 2" xfId="3212"/>
    <cellStyle name="40% - 강조색5 8 3 2 3" xfId="3213"/>
    <cellStyle name="40% - 강조색5 8 3 3" xfId="3214"/>
    <cellStyle name="40% - 강조색5 8 3 3 2" xfId="3215"/>
    <cellStyle name="40% - 강조색5 8 3 3 3" xfId="3216"/>
    <cellStyle name="40% - 강조색5 8 3 4" xfId="3217"/>
    <cellStyle name="40% - 강조색5 8 3 5" xfId="3218"/>
    <cellStyle name="40% - 강조색5 8 3 6" xfId="7213"/>
    <cellStyle name="40% - 강조색5 8 4" xfId="3219"/>
    <cellStyle name="40% - 강조색5 8 4 2" xfId="3220"/>
    <cellStyle name="40% - 강조색5 8 4 3" xfId="3221"/>
    <cellStyle name="40% - 강조색5 8 4 4" xfId="7214"/>
    <cellStyle name="40% - 강조색5 8 5" xfId="3222"/>
    <cellStyle name="40% - 강조색5 8 5 2" xfId="3223"/>
    <cellStyle name="40% - 강조색5 8 5 3" xfId="3224"/>
    <cellStyle name="40% - 강조색5 8 5 4" xfId="7215"/>
    <cellStyle name="40% - 강조색5 8 6" xfId="3225"/>
    <cellStyle name="40% - 강조색5 8 6 2" xfId="7216"/>
    <cellStyle name="40% - 강조색5 8 7" xfId="3226"/>
    <cellStyle name="40% - 강조색5 8 7 2" xfId="7217"/>
    <cellStyle name="40% - 강조색5 8 8" xfId="7218"/>
    <cellStyle name="40% - 강조색5 8 9" xfId="7219"/>
    <cellStyle name="40% - 강조색5 9" xfId="3227"/>
    <cellStyle name="40% - 강조색5 9 10" xfId="7220"/>
    <cellStyle name="40% - 강조색5 9 11" xfId="7221"/>
    <cellStyle name="40% - 강조색5 9 12" xfId="7222"/>
    <cellStyle name="40% - 강조색5 9 13" xfId="7223"/>
    <cellStyle name="40% - 강조색5 9 14" xfId="7224"/>
    <cellStyle name="40% - 강조색5 9 2" xfId="3228"/>
    <cellStyle name="40% - 강조색5 9 2 2" xfId="3229"/>
    <cellStyle name="40% - 강조색5 9 2 2 2" xfId="7225"/>
    <cellStyle name="40% - 강조색5 9 2 3" xfId="3230"/>
    <cellStyle name="40% - 강조색5 9 2 4" xfId="7226"/>
    <cellStyle name="40% - 강조색5 9 3" xfId="3231"/>
    <cellStyle name="40% - 강조색5 9 3 2" xfId="3232"/>
    <cellStyle name="40% - 강조색5 9 3 3" xfId="3233"/>
    <cellStyle name="40% - 강조색5 9 3 4" xfId="7227"/>
    <cellStyle name="40% - 강조색5 9 4" xfId="3234"/>
    <cellStyle name="40% - 강조색5 9 4 2" xfId="7228"/>
    <cellStyle name="40% - 강조색5 9 5" xfId="3235"/>
    <cellStyle name="40% - 강조색5 9 5 2" xfId="7229"/>
    <cellStyle name="40% - 강조색5 9 6" xfId="7230"/>
    <cellStyle name="40% - 강조색5 9 7" xfId="7231"/>
    <cellStyle name="40% - 강조색5 9 8" xfId="7232"/>
    <cellStyle name="40% - 강조색5 9 9" xfId="7233"/>
    <cellStyle name="40% - 강조색6" xfId="4335" builtinId="51" customBuiltin="1"/>
    <cellStyle name="40% - 강조색6 10" xfId="3236"/>
    <cellStyle name="40% - 강조색6 10 10" xfId="7234"/>
    <cellStyle name="40% - 강조색6 10 11" xfId="7235"/>
    <cellStyle name="40% - 강조색6 10 12" xfId="7236"/>
    <cellStyle name="40% - 강조색6 10 13" xfId="7237"/>
    <cellStyle name="40% - 강조색6 10 14" xfId="7238"/>
    <cellStyle name="40% - 강조색6 10 2" xfId="3237"/>
    <cellStyle name="40% - 강조색6 10 2 2" xfId="3238"/>
    <cellStyle name="40% - 강조색6 10 2 2 2" xfId="7239"/>
    <cellStyle name="40% - 강조색6 10 2 3" xfId="3239"/>
    <cellStyle name="40% - 강조색6 10 2 4" xfId="7240"/>
    <cellStyle name="40% - 강조색6 10 3" xfId="3240"/>
    <cellStyle name="40% - 강조색6 10 3 2" xfId="3241"/>
    <cellStyle name="40% - 강조색6 10 3 3" xfId="3242"/>
    <cellStyle name="40% - 강조색6 10 3 4" xfId="7241"/>
    <cellStyle name="40% - 강조색6 10 4" xfId="3243"/>
    <cellStyle name="40% - 강조색6 10 4 2" xfId="7242"/>
    <cellStyle name="40% - 강조색6 10 5" xfId="3244"/>
    <cellStyle name="40% - 강조색6 10 5 2" xfId="7243"/>
    <cellStyle name="40% - 강조색6 10 6" xfId="7244"/>
    <cellStyle name="40% - 강조색6 10 7" xfId="7245"/>
    <cellStyle name="40% - 강조색6 10 8" xfId="7246"/>
    <cellStyle name="40% - 강조색6 10 9" xfId="7247"/>
    <cellStyle name="40% - 강조색6 11" xfId="3245"/>
    <cellStyle name="40% - 강조색6 11 10" xfId="7248"/>
    <cellStyle name="40% - 강조색6 11 11" xfId="7249"/>
    <cellStyle name="40% - 강조색6 11 12" xfId="7250"/>
    <cellStyle name="40% - 강조색6 11 13" xfId="7251"/>
    <cellStyle name="40% - 강조색6 11 14" xfId="7252"/>
    <cellStyle name="40% - 강조색6 11 2" xfId="3246"/>
    <cellStyle name="40% - 강조색6 11 2 2" xfId="3247"/>
    <cellStyle name="40% - 강조색6 11 2 2 2" xfId="7253"/>
    <cellStyle name="40% - 강조색6 11 2 3" xfId="3248"/>
    <cellStyle name="40% - 강조색6 11 2 4" xfId="7254"/>
    <cellStyle name="40% - 강조색6 11 3" xfId="3249"/>
    <cellStyle name="40% - 강조색6 11 3 2" xfId="3250"/>
    <cellStyle name="40% - 강조색6 11 3 3" xfId="3251"/>
    <cellStyle name="40% - 강조색6 11 3 4" xfId="7255"/>
    <cellStyle name="40% - 강조색6 11 4" xfId="3252"/>
    <cellStyle name="40% - 강조색6 11 4 2" xfId="7256"/>
    <cellStyle name="40% - 강조색6 11 5" xfId="3253"/>
    <cellStyle name="40% - 강조색6 11 5 2" xfId="7257"/>
    <cellStyle name="40% - 강조색6 11 6" xfId="7258"/>
    <cellStyle name="40% - 강조색6 11 7" xfId="7259"/>
    <cellStyle name="40% - 강조색6 11 8" xfId="7260"/>
    <cellStyle name="40% - 강조색6 11 9" xfId="7261"/>
    <cellStyle name="40% - 강조색6 12" xfId="3254"/>
    <cellStyle name="40% - 강조색6 12 10" xfId="7262"/>
    <cellStyle name="40% - 강조색6 12 11" xfId="7263"/>
    <cellStyle name="40% - 강조색6 12 12" xfId="7264"/>
    <cellStyle name="40% - 강조색6 12 13" xfId="7265"/>
    <cellStyle name="40% - 강조색6 12 14" xfId="7266"/>
    <cellStyle name="40% - 강조색6 12 2" xfId="3255"/>
    <cellStyle name="40% - 강조색6 12 2 2" xfId="3256"/>
    <cellStyle name="40% - 강조색6 12 2 2 2" xfId="7267"/>
    <cellStyle name="40% - 강조색6 12 2 3" xfId="3257"/>
    <cellStyle name="40% - 강조색6 12 2 4" xfId="7268"/>
    <cellStyle name="40% - 강조색6 12 3" xfId="3258"/>
    <cellStyle name="40% - 강조색6 12 3 2" xfId="3259"/>
    <cellStyle name="40% - 강조색6 12 3 3" xfId="3260"/>
    <cellStyle name="40% - 강조색6 12 3 4" xfId="7269"/>
    <cellStyle name="40% - 강조색6 12 4" xfId="3261"/>
    <cellStyle name="40% - 강조색6 12 4 2" xfId="7270"/>
    <cellStyle name="40% - 강조색6 12 5" xfId="3262"/>
    <cellStyle name="40% - 강조색6 12 5 2" xfId="7271"/>
    <cellStyle name="40% - 강조색6 12 6" xfId="7272"/>
    <cellStyle name="40% - 강조색6 12 7" xfId="7273"/>
    <cellStyle name="40% - 강조색6 12 8" xfId="7274"/>
    <cellStyle name="40% - 강조색6 12 9" xfId="7275"/>
    <cellStyle name="40% - 강조색6 13" xfId="3263"/>
    <cellStyle name="40% - 강조색6 13 10" xfId="7276"/>
    <cellStyle name="40% - 강조색6 13 11" xfId="7277"/>
    <cellStyle name="40% - 강조색6 13 12" xfId="7278"/>
    <cellStyle name="40% - 강조색6 13 13" xfId="7279"/>
    <cellStyle name="40% - 강조색6 13 14" xfId="7280"/>
    <cellStyle name="40% - 강조색6 13 2" xfId="3264"/>
    <cellStyle name="40% - 강조색6 13 2 2" xfId="3265"/>
    <cellStyle name="40% - 강조색6 13 2 2 2" xfId="7281"/>
    <cellStyle name="40% - 강조색6 13 2 3" xfId="3266"/>
    <cellStyle name="40% - 강조색6 13 2 4" xfId="7282"/>
    <cellStyle name="40% - 강조색6 13 3" xfId="3267"/>
    <cellStyle name="40% - 강조색6 13 3 2" xfId="3268"/>
    <cellStyle name="40% - 강조색6 13 3 3" xfId="3269"/>
    <cellStyle name="40% - 강조색6 13 3 4" xfId="7283"/>
    <cellStyle name="40% - 강조색6 13 4" xfId="3270"/>
    <cellStyle name="40% - 강조색6 13 4 2" xfId="7284"/>
    <cellStyle name="40% - 강조색6 13 5" xfId="3271"/>
    <cellStyle name="40% - 강조색6 13 5 2" xfId="7285"/>
    <cellStyle name="40% - 강조색6 13 6" xfId="7286"/>
    <cellStyle name="40% - 강조색6 13 7" xfId="7287"/>
    <cellStyle name="40% - 강조색6 13 8" xfId="7288"/>
    <cellStyle name="40% - 강조색6 13 9" xfId="7289"/>
    <cellStyle name="40% - 강조색6 14" xfId="3272"/>
    <cellStyle name="40% - 강조색6 14 10" xfId="7290"/>
    <cellStyle name="40% - 강조색6 14 11" xfId="7291"/>
    <cellStyle name="40% - 강조색6 14 12" xfId="7292"/>
    <cellStyle name="40% - 강조색6 14 13" xfId="7293"/>
    <cellStyle name="40% - 강조색6 14 14" xfId="7294"/>
    <cellStyle name="40% - 강조색6 14 2" xfId="3273"/>
    <cellStyle name="40% - 강조색6 14 2 2" xfId="3274"/>
    <cellStyle name="40% - 강조색6 14 2 2 2" xfId="7295"/>
    <cellStyle name="40% - 강조색6 14 2 3" xfId="3275"/>
    <cellStyle name="40% - 강조색6 14 2 4" xfId="7296"/>
    <cellStyle name="40% - 강조색6 14 3" xfId="3276"/>
    <cellStyle name="40% - 강조색6 14 3 2" xfId="3277"/>
    <cellStyle name="40% - 강조색6 14 3 3" xfId="3278"/>
    <cellStyle name="40% - 강조색6 14 3 4" xfId="7297"/>
    <cellStyle name="40% - 강조색6 14 4" xfId="3279"/>
    <cellStyle name="40% - 강조색6 14 4 2" xfId="7298"/>
    <cellStyle name="40% - 강조색6 14 5" xfId="3280"/>
    <cellStyle name="40% - 강조색6 14 5 2" xfId="7299"/>
    <cellStyle name="40% - 강조색6 14 6" xfId="7300"/>
    <cellStyle name="40% - 강조색6 14 7" xfId="7301"/>
    <cellStyle name="40% - 강조색6 14 8" xfId="7302"/>
    <cellStyle name="40% - 강조색6 14 9" xfId="7303"/>
    <cellStyle name="40% - 강조색6 15" xfId="3281"/>
    <cellStyle name="40% - 강조색6 15 10" xfId="7304"/>
    <cellStyle name="40% - 강조색6 15 11" xfId="7305"/>
    <cellStyle name="40% - 강조색6 15 12" xfId="7306"/>
    <cellStyle name="40% - 강조색6 15 13" xfId="7307"/>
    <cellStyle name="40% - 강조색6 15 14" xfId="7308"/>
    <cellStyle name="40% - 강조색6 15 2" xfId="3282"/>
    <cellStyle name="40% - 강조색6 15 2 2" xfId="3283"/>
    <cellStyle name="40% - 강조색6 15 2 2 2" xfId="7309"/>
    <cellStyle name="40% - 강조색6 15 2 3" xfId="3284"/>
    <cellStyle name="40% - 강조색6 15 2 4" xfId="7310"/>
    <cellStyle name="40% - 강조색6 15 3" xfId="3285"/>
    <cellStyle name="40% - 강조색6 15 3 2" xfId="3286"/>
    <cellStyle name="40% - 강조색6 15 3 3" xfId="3287"/>
    <cellStyle name="40% - 강조색6 15 3 4" xfId="7311"/>
    <cellStyle name="40% - 강조색6 15 4" xfId="3288"/>
    <cellStyle name="40% - 강조색6 15 4 2" xfId="7312"/>
    <cellStyle name="40% - 강조색6 15 5" xfId="3289"/>
    <cellStyle name="40% - 강조색6 15 5 2" xfId="7313"/>
    <cellStyle name="40% - 강조색6 15 6" xfId="7314"/>
    <cellStyle name="40% - 강조색6 15 7" xfId="7315"/>
    <cellStyle name="40% - 강조색6 15 8" xfId="7316"/>
    <cellStyle name="40% - 강조색6 15 9" xfId="7317"/>
    <cellStyle name="40% - 강조색6 16" xfId="3290"/>
    <cellStyle name="40% - 강조색6 16 10" xfId="7318"/>
    <cellStyle name="40% - 강조색6 16 11" xfId="7319"/>
    <cellStyle name="40% - 강조색6 16 12" xfId="7320"/>
    <cellStyle name="40% - 강조색6 16 13" xfId="7321"/>
    <cellStyle name="40% - 강조색6 16 14" xfId="7322"/>
    <cellStyle name="40% - 강조색6 16 2" xfId="3291"/>
    <cellStyle name="40% - 강조색6 16 2 2" xfId="3292"/>
    <cellStyle name="40% - 강조색6 16 2 2 2" xfId="7323"/>
    <cellStyle name="40% - 강조색6 16 2 3" xfId="3293"/>
    <cellStyle name="40% - 강조색6 16 2 4" xfId="7324"/>
    <cellStyle name="40% - 강조색6 16 3" xfId="3294"/>
    <cellStyle name="40% - 강조색6 16 3 2" xfId="3295"/>
    <cellStyle name="40% - 강조색6 16 3 3" xfId="3296"/>
    <cellStyle name="40% - 강조색6 16 3 4" xfId="7325"/>
    <cellStyle name="40% - 강조색6 16 4" xfId="3297"/>
    <cellStyle name="40% - 강조색6 16 4 2" xfId="7326"/>
    <cellStyle name="40% - 강조색6 16 5" xfId="3298"/>
    <cellStyle name="40% - 강조색6 16 5 2" xfId="7327"/>
    <cellStyle name="40% - 강조색6 16 6" xfId="7328"/>
    <cellStyle name="40% - 강조색6 16 7" xfId="7329"/>
    <cellStyle name="40% - 강조색6 16 8" xfId="7330"/>
    <cellStyle name="40% - 강조색6 16 9" xfId="7331"/>
    <cellStyle name="40% - 강조색6 17" xfId="3299"/>
    <cellStyle name="40% - 강조색6 17 10" xfId="7332"/>
    <cellStyle name="40% - 강조색6 17 11" xfId="7333"/>
    <cellStyle name="40% - 강조색6 17 12" xfId="7334"/>
    <cellStyle name="40% - 강조색6 17 13" xfId="7335"/>
    <cellStyle name="40% - 강조색6 17 14" xfId="7336"/>
    <cellStyle name="40% - 강조색6 17 2" xfId="3300"/>
    <cellStyle name="40% - 강조색6 17 2 2" xfId="3301"/>
    <cellStyle name="40% - 강조색6 17 2 3" xfId="3302"/>
    <cellStyle name="40% - 강조색6 17 2 4" xfId="7337"/>
    <cellStyle name="40% - 강조색6 17 3" xfId="3303"/>
    <cellStyle name="40% - 강조색6 17 3 2" xfId="7338"/>
    <cellStyle name="40% - 강조색6 17 4" xfId="3304"/>
    <cellStyle name="40% - 강조색6 17 4 2" xfId="7339"/>
    <cellStyle name="40% - 강조색6 17 5" xfId="7340"/>
    <cellStyle name="40% - 강조색6 17 6" xfId="7341"/>
    <cellStyle name="40% - 강조색6 17 7" xfId="7342"/>
    <cellStyle name="40% - 강조색6 17 8" xfId="7343"/>
    <cellStyle name="40% - 강조색6 17 9" xfId="7344"/>
    <cellStyle name="40% - 강조색6 18" xfId="3305"/>
    <cellStyle name="40% - 강조색6 18 10" xfId="7345"/>
    <cellStyle name="40% - 강조색6 18 11" xfId="7346"/>
    <cellStyle name="40% - 강조색6 18 12" xfId="7347"/>
    <cellStyle name="40% - 강조색6 18 13" xfId="7348"/>
    <cellStyle name="40% - 강조색6 18 14" xfId="7349"/>
    <cellStyle name="40% - 강조색6 18 2" xfId="3306"/>
    <cellStyle name="40% - 강조색6 18 2 2" xfId="3307"/>
    <cellStyle name="40% - 강조색6 18 2 3" xfId="3308"/>
    <cellStyle name="40% - 강조색6 18 2 4" xfId="7350"/>
    <cellStyle name="40% - 강조색6 18 3" xfId="3309"/>
    <cellStyle name="40% - 강조색6 18 3 2" xfId="7351"/>
    <cellStyle name="40% - 강조색6 18 4" xfId="3310"/>
    <cellStyle name="40% - 강조색6 18 4 2" xfId="7352"/>
    <cellStyle name="40% - 강조색6 18 5" xfId="7353"/>
    <cellStyle name="40% - 강조색6 18 6" xfId="7354"/>
    <cellStyle name="40% - 강조색6 18 7" xfId="7355"/>
    <cellStyle name="40% - 강조색6 18 8" xfId="7356"/>
    <cellStyle name="40% - 강조색6 18 9" xfId="7357"/>
    <cellStyle name="40% - 강조색6 19" xfId="3311"/>
    <cellStyle name="40% - 강조색6 19 10" xfId="7358"/>
    <cellStyle name="40% - 강조색6 19 11" xfId="7359"/>
    <cellStyle name="40% - 강조색6 19 12" xfId="7360"/>
    <cellStyle name="40% - 강조색6 19 13" xfId="7361"/>
    <cellStyle name="40% - 강조색6 19 14" xfId="7362"/>
    <cellStyle name="40% - 강조색6 19 2" xfId="3312"/>
    <cellStyle name="40% - 강조색6 19 2 2" xfId="3313"/>
    <cellStyle name="40% - 강조색6 19 2 3" xfId="3314"/>
    <cellStyle name="40% - 강조색6 19 2 4" xfId="7363"/>
    <cellStyle name="40% - 강조색6 19 3" xfId="3315"/>
    <cellStyle name="40% - 강조색6 19 3 2" xfId="7364"/>
    <cellStyle name="40% - 강조색6 19 4" xfId="3316"/>
    <cellStyle name="40% - 강조색6 19 4 2" xfId="7365"/>
    <cellStyle name="40% - 강조색6 19 5" xfId="7366"/>
    <cellStyle name="40% - 강조색6 19 6" xfId="7367"/>
    <cellStyle name="40% - 강조색6 19 7" xfId="7368"/>
    <cellStyle name="40% - 강조색6 19 8" xfId="7369"/>
    <cellStyle name="40% - 강조색6 19 9" xfId="7370"/>
    <cellStyle name="40% - 강조색6 2" xfId="3317"/>
    <cellStyle name="40% - 강조색6 2 10" xfId="7371"/>
    <cellStyle name="40% - 강조색6 2 11" xfId="7372"/>
    <cellStyle name="40% - 강조색6 2 12" xfId="7373"/>
    <cellStyle name="40% - 강조색6 2 13" xfId="7374"/>
    <cellStyle name="40% - 강조색6 2 2" xfId="7375"/>
    <cellStyle name="40% - 강조색6 2 2 2" xfId="7376"/>
    <cellStyle name="40% - 강조색6 2 3" xfId="7377"/>
    <cellStyle name="40% - 강조색6 2 3 2" xfId="7378"/>
    <cellStyle name="40% - 강조색6 2 4" xfId="7379"/>
    <cellStyle name="40% - 강조색6 2 4 2" xfId="7380"/>
    <cellStyle name="40% - 강조색6 2 5" xfId="7381"/>
    <cellStyle name="40% - 강조색6 2 6" xfId="7382"/>
    <cellStyle name="40% - 강조색6 2 7" xfId="7383"/>
    <cellStyle name="40% - 강조색6 2 8" xfId="7384"/>
    <cellStyle name="40% - 강조색6 2 9" xfId="7385"/>
    <cellStyle name="40% - 강조색6 20" xfId="3318"/>
    <cellStyle name="40% - 강조색6 20 2" xfId="3319"/>
    <cellStyle name="40% - 강조색6 20 3" xfId="3320"/>
    <cellStyle name="40% - 강조색6 20 4" xfId="7386"/>
    <cellStyle name="40% - 강조색6 21" xfId="3321"/>
    <cellStyle name="40% - 강조색6 21 2" xfId="3322"/>
    <cellStyle name="40% - 강조색6 21 3" xfId="3323"/>
    <cellStyle name="40% - 강조색6 21 4" xfId="7387"/>
    <cellStyle name="40% - 강조색6 22" xfId="3324"/>
    <cellStyle name="40% - 강조색6 22 2" xfId="3325"/>
    <cellStyle name="40% - 강조색6 22 3" xfId="3326"/>
    <cellStyle name="40% - 강조색6 22 4" xfId="7388"/>
    <cellStyle name="40% - 강조색6 23" xfId="3327"/>
    <cellStyle name="40% - 강조색6 23 2" xfId="3328"/>
    <cellStyle name="40% - 강조색6 23 3" xfId="3329"/>
    <cellStyle name="40% - 강조색6 23 4" xfId="7389"/>
    <cellStyle name="40% - 강조색6 24" xfId="3330"/>
    <cellStyle name="40% - 강조색6 24 2" xfId="3331"/>
    <cellStyle name="40% - 강조색6 24 3" xfId="3332"/>
    <cellStyle name="40% - 강조색6 24 4" xfId="7390"/>
    <cellStyle name="40% - 강조색6 25" xfId="3333"/>
    <cellStyle name="40% - 강조색6 25 2" xfId="3334"/>
    <cellStyle name="40% - 강조색6 25 3" xfId="3335"/>
    <cellStyle name="40% - 강조색6 25 4" xfId="7391"/>
    <cellStyle name="40% - 강조색6 26" xfId="3336"/>
    <cellStyle name="40% - 강조색6 26 2" xfId="3337"/>
    <cellStyle name="40% - 강조색6 26 3" xfId="3338"/>
    <cellStyle name="40% - 강조색6 26 4" xfId="7392"/>
    <cellStyle name="40% - 강조색6 27" xfId="3339"/>
    <cellStyle name="40% - 강조색6 27 2" xfId="3340"/>
    <cellStyle name="40% - 강조색6 27 3" xfId="3341"/>
    <cellStyle name="40% - 강조색6 27 4" xfId="7393"/>
    <cellStyle name="40% - 강조색6 28" xfId="3342"/>
    <cellStyle name="40% - 강조색6 28 2" xfId="3343"/>
    <cellStyle name="40% - 강조색6 28 3" xfId="3344"/>
    <cellStyle name="40% - 강조색6 28 4" xfId="7394"/>
    <cellStyle name="40% - 강조색6 29" xfId="3345"/>
    <cellStyle name="40% - 강조색6 29 2" xfId="3346"/>
    <cellStyle name="40% - 강조색6 29 3" xfId="3347"/>
    <cellStyle name="40% - 강조색6 29 4" xfId="7395"/>
    <cellStyle name="40% - 강조색6 3" xfId="3348"/>
    <cellStyle name="40% - 강조색6 3 10" xfId="7396"/>
    <cellStyle name="40% - 강조색6 3 11" xfId="7397"/>
    <cellStyle name="40% - 강조색6 3 12" xfId="7398"/>
    <cellStyle name="40% - 강조색6 3 13" xfId="7399"/>
    <cellStyle name="40% - 강조색6 3 14" xfId="7400"/>
    <cellStyle name="40% - 강조색6 3 2" xfId="3349"/>
    <cellStyle name="40% - 강조색6 3 2 2" xfId="3350"/>
    <cellStyle name="40% - 강조색6 3 2 2 2" xfId="3351"/>
    <cellStyle name="40% - 강조색6 3 2 2 3" xfId="3352"/>
    <cellStyle name="40% - 강조색6 3 2 2 4" xfId="7401"/>
    <cellStyle name="40% - 강조색6 3 2 3" xfId="3353"/>
    <cellStyle name="40% - 강조색6 3 2 3 2" xfId="3354"/>
    <cellStyle name="40% - 강조색6 3 2 3 3" xfId="3355"/>
    <cellStyle name="40% - 강조색6 3 2 4" xfId="3356"/>
    <cellStyle name="40% - 강조색6 3 2 5" xfId="3357"/>
    <cellStyle name="40% - 강조색6 3 2 6" xfId="7402"/>
    <cellStyle name="40% - 강조색6 3 3" xfId="3358"/>
    <cellStyle name="40% - 강조색6 3 3 2" xfId="3359"/>
    <cellStyle name="40% - 강조색6 3 3 2 2" xfId="3360"/>
    <cellStyle name="40% - 강조색6 3 3 2 3" xfId="3361"/>
    <cellStyle name="40% - 강조색6 3 3 3" xfId="3362"/>
    <cellStyle name="40% - 강조색6 3 3 3 2" xfId="3363"/>
    <cellStyle name="40% - 강조색6 3 3 3 3" xfId="3364"/>
    <cellStyle name="40% - 강조색6 3 3 4" xfId="3365"/>
    <cellStyle name="40% - 강조색6 3 3 5" xfId="3366"/>
    <cellStyle name="40% - 강조색6 3 3 6" xfId="7403"/>
    <cellStyle name="40% - 강조색6 3 4" xfId="3367"/>
    <cellStyle name="40% - 강조색6 3 4 2" xfId="3368"/>
    <cellStyle name="40% - 강조색6 3 4 3" xfId="3369"/>
    <cellStyle name="40% - 강조색6 3 4 4" xfId="7404"/>
    <cellStyle name="40% - 강조색6 3 5" xfId="3370"/>
    <cellStyle name="40% - 강조색6 3 5 2" xfId="3371"/>
    <cellStyle name="40% - 강조색6 3 5 3" xfId="3372"/>
    <cellStyle name="40% - 강조색6 3 5 4" xfId="7405"/>
    <cellStyle name="40% - 강조색6 3 6" xfId="3373"/>
    <cellStyle name="40% - 강조색6 3 6 2" xfId="7406"/>
    <cellStyle name="40% - 강조색6 3 7" xfId="3374"/>
    <cellStyle name="40% - 강조색6 3 7 2" xfId="7407"/>
    <cellStyle name="40% - 강조색6 3 8" xfId="7408"/>
    <cellStyle name="40% - 강조색6 3 9" xfId="7409"/>
    <cellStyle name="40% - 강조색6 30" xfId="3375"/>
    <cellStyle name="40% - 강조색6 30 2" xfId="3376"/>
    <cellStyle name="40% - 강조색6 30 3" xfId="7410"/>
    <cellStyle name="40% - 강조색6 31" xfId="3377"/>
    <cellStyle name="40% - 강조색6 31 2" xfId="7411"/>
    <cellStyle name="40% - 강조색6 32" xfId="3378"/>
    <cellStyle name="40% - 강조색6 32 2" xfId="7412"/>
    <cellStyle name="40% - 강조색6 33" xfId="3379"/>
    <cellStyle name="40% - 강조색6 34" xfId="3380"/>
    <cellStyle name="40% - 강조색6 35" xfId="3381"/>
    <cellStyle name="40% - 강조색6 36" xfId="3382"/>
    <cellStyle name="40% - 강조색6 37" xfId="3383"/>
    <cellStyle name="40% - 강조색6 38" xfId="3384"/>
    <cellStyle name="40% - 강조색6 4" xfId="3385"/>
    <cellStyle name="40% - 강조색6 4 10" xfId="7413"/>
    <cellStyle name="40% - 강조색6 4 11" xfId="7414"/>
    <cellStyle name="40% - 강조색6 4 12" xfId="7415"/>
    <cellStyle name="40% - 강조색6 4 13" xfId="7416"/>
    <cellStyle name="40% - 강조색6 4 14" xfId="7417"/>
    <cellStyle name="40% - 강조색6 4 2" xfId="3386"/>
    <cellStyle name="40% - 강조색6 4 2 2" xfId="3387"/>
    <cellStyle name="40% - 강조색6 4 2 2 2" xfId="3388"/>
    <cellStyle name="40% - 강조색6 4 2 2 3" xfId="3389"/>
    <cellStyle name="40% - 강조색6 4 2 2 4" xfId="7418"/>
    <cellStyle name="40% - 강조색6 4 2 3" xfId="3390"/>
    <cellStyle name="40% - 강조색6 4 2 3 2" xfId="3391"/>
    <cellStyle name="40% - 강조색6 4 2 3 3" xfId="3392"/>
    <cellStyle name="40% - 강조색6 4 2 4" xfId="3393"/>
    <cellStyle name="40% - 강조색6 4 2 5" xfId="3394"/>
    <cellStyle name="40% - 강조색6 4 2 6" xfId="7419"/>
    <cellStyle name="40% - 강조색6 4 3" xfId="3395"/>
    <cellStyle name="40% - 강조색6 4 3 2" xfId="3396"/>
    <cellStyle name="40% - 강조색6 4 3 2 2" xfId="3397"/>
    <cellStyle name="40% - 강조색6 4 3 2 3" xfId="3398"/>
    <cellStyle name="40% - 강조색6 4 3 3" xfId="3399"/>
    <cellStyle name="40% - 강조색6 4 3 3 2" xfId="3400"/>
    <cellStyle name="40% - 강조색6 4 3 3 3" xfId="3401"/>
    <cellStyle name="40% - 강조색6 4 3 4" xfId="3402"/>
    <cellStyle name="40% - 강조색6 4 3 5" xfId="3403"/>
    <cellStyle name="40% - 강조색6 4 3 6" xfId="7420"/>
    <cellStyle name="40% - 강조색6 4 4" xfId="3404"/>
    <cellStyle name="40% - 강조색6 4 4 2" xfId="3405"/>
    <cellStyle name="40% - 강조색6 4 4 3" xfId="3406"/>
    <cellStyle name="40% - 강조색6 4 4 4" xfId="7421"/>
    <cellStyle name="40% - 강조색6 4 5" xfId="3407"/>
    <cellStyle name="40% - 강조색6 4 5 2" xfId="3408"/>
    <cellStyle name="40% - 강조색6 4 5 3" xfId="3409"/>
    <cellStyle name="40% - 강조색6 4 5 4" xfId="7422"/>
    <cellStyle name="40% - 강조색6 4 6" xfId="3410"/>
    <cellStyle name="40% - 강조색6 4 6 2" xfId="7423"/>
    <cellStyle name="40% - 강조색6 4 7" xfId="3411"/>
    <cellStyle name="40% - 강조색6 4 7 2" xfId="7424"/>
    <cellStyle name="40% - 강조색6 4 8" xfId="7425"/>
    <cellStyle name="40% - 강조색6 4 9" xfId="7426"/>
    <cellStyle name="40% - 강조색6 5" xfId="3412"/>
    <cellStyle name="40% - 강조색6 5 10" xfId="7427"/>
    <cellStyle name="40% - 강조색6 5 11" xfId="7428"/>
    <cellStyle name="40% - 강조색6 5 12" xfId="7429"/>
    <cellStyle name="40% - 강조색6 5 13" xfId="7430"/>
    <cellStyle name="40% - 강조색6 5 14" xfId="7431"/>
    <cellStyle name="40% - 강조색6 5 2" xfId="3413"/>
    <cellStyle name="40% - 강조색6 5 2 2" xfId="3414"/>
    <cellStyle name="40% - 강조색6 5 2 2 2" xfId="3415"/>
    <cellStyle name="40% - 강조색6 5 2 2 3" xfId="3416"/>
    <cellStyle name="40% - 강조색6 5 2 2 4" xfId="7432"/>
    <cellStyle name="40% - 강조색6 5 2 3" xfId="3417"/>
    <cellStyle name="40% - 강조색6 5 2 3 2" xfId="3418"/>
    <cellStyle name="40% - 강조색6 5 2 3 3" xfId="3419"/>
    <cellStyle name="40% - 강조색6 5 2 4" xfId="3420"/>
    <cellStyle name="40% - 강조색6 5 2 5" xfId="3421"/>
    <cellStyle name="40% - 강조색6 5 2 6" xfId="7433"/>
    <cellStyle name="40% - 강조색6 5 3" xfId="3422"/>
    <cellStyle name="40% - 강조색6 5 3 2" xfId="3423"/>
    <cellStyle name="40% - 강조색6 5 3 2 2" xfId="3424"/>
    <cellStyle name="40% - 강조색6 5 3 2 3" xfId="3425"/>
    <cellStyle name="40% - 강조색6 5 3 3" xfId="3426"/>
    <cellStyle name="40% - 강조색6 5 3 3 2" xfId="3427"/>
    <cellStyle name="40% - 강조색6 5 3 3 3" xfId="3428"/>
    <cellStyle name="40% - 강조색6 5 3 4" xfId="3429"/>
    <cellStyle name="40% - 강조색6 5 3 5" xfId="3430"/>
    <cellStyle name="40% - 강조색6 5 3 6" xfId="7434"/>
    <cellStyle name="40% - 강조색6 5 4" xfId="3431"/>
    <cellStyle name="40% - 강조색6 5 4 2" xfId="3432"/>
    <cellStyle name="40% - 강조색6 5 4 3" xfId="3433"/>
    <cellStyle name="40% - 강조색6 5 4 4" xfId="7435"/>
    <cellStyle name="40% - 강조색6 5 5" xfId="3434"/>
    <cellStyle name="40% - 강조색6 5 5 2" xfId="3435"/>
    <cellStyle name="40% - 강조색6 5 5 3" xfId="3436"/>
    <cellStyle name="40% - 강조색6 5 5 4" xfId="7436"/>
    <cellStyle name="40% - 강조색6 5 6" xfId="3437"/>
    <cellStyle name="40% - 강조색6 5 6 2" xfId="7437"/>
    <cellStyle name="40% - 강조색6 5 7" xfId="3438"/>
    <cellStyle name="40% - 강조색6 5 7 2" xfId="7438"/>
    <cellStyle name="40% - 강조색6 5 8" xfId="7439"/>
    <cellStyle name="40% - 강조색6 5 9" xfId="7440"/>
    <cellStyle name="40% - 강조색6 6" xfId="3439"/>
    <cellStyle name="40% - 강조색6 6 10" xfId="7441"/>
    <cellStyle name="40% - 강조색6 6 11" xfId="7442"/>
    <cellStyle name="40% - 강조색6 6 12" xfId="7443"/>
    <cellStyle name="40% - 강조색6 6 13" xfId="7444"/>
    <cellStyle name="40% - 강조색6 6 14" xfId="7445"/>
    <cellStyle name="40% - 강조색6 6 2" xfId="3440"/>
    <cellStyle name="40% - 강조색6 6 2 2" xfId="3441"/>
    <cellStyle name="40% - 강조색6 6 2 2 2" xfId="3442"/>
    <cellStyle name="40% - 강조색6 6 2 2 3" xfId="3443"/>
    <cellStyle name="40% - 강조색6 6 2 2 4" xfId="7446"/>
    <cellStyle name="40% - 강조색6 6 2 3" xfId="3444"/>
    <cellStyle name="40% - 강조색6 6 2 3 2" xfId="3445"/>
    <cellStyle name="40% - 강조색6 6 2 3 3" xfId="3446"/>
    <cellStyle name="40% - 강조색6 6 2 4" xfId="3447"/>
    <cellStyle name="40% - 강조색6 6 2 5" xfId="3448"/>
    <cellStyle name="40% - 강조색6 6 2 6" xfId="7447"/>
    <cellStyle name="40% - 강조색6 6 3" xfId="3449"/>
    <cellStyle name="40% - 강조색6 6 3 2" xfId="3450"/>
    <cellStyle name="40% - 강조색6 6 3 2 2" xfId="3451"/>
    <cellStyle name="40% - 강조색6 6 3 2 3" xfId="3452"/>
    <cellStyle name="40% - 강조색6 6 3 3" xfId="3453"/>
    <cellStyle name="40% - 강조색6 6 3 3 2" xfId="3454"/>
    <cellStyle name="40% - 강조색6 6 3 3 3" xfId="3455"/>
    <cellStyle name="40% - 강조색6 6 3 4" xfId="3456"/>
    <cellStyle name="40% - 강조색6 6 3 5" xfId="3457"/>
    <cellStyle name="40% - 강조색6 6 3 6" xfId="7448"/>
    <cellStyle name="40% - 강조색6 6 4" xfId="3458"/>
    <cellStyle name="40% - 강조색6 6 4 2" xfId="3459"/>
    <cellStyle name="40% - 강조색6 6 4 3" xfId="3460"/>
    <cellStyle name="40% - 강조색6 6 4 4" xfId="7449"/>
    <cellStyle name="40% - 강조색6 6 5" xfId="3461"/>
    <cellStyle name="40% - 강조색6 6 5 2" xfId="3462"/>
    <cellStyle name="40% - 강조색6 6 5 3" xfId="3463"/>
    <cellStyle name="40% - 강조색6 6 5 4" xfId="7450"/>
    <cellStyle name="40% - 강조색6 6 6" xfId="3464"/>
    <cellStyle name="40% - 강조색6 6 6 2" xfId="7451"/>
    <cellStyle name="40% - 강조색6 6 7" xfId="3465"/>
    <cellStyle name="40% - 강조색6 6 7 2" xfId="7452"/>
    <cellStyle name="40% - 강조색6 6 8" xfId="7453"/>
    <cellStyle name="40% - 강조색6 6 9" xfId="7454"/>
    <cellStyle name="40% - 강조색6 7" xfId="3466"/>
    <cellStyle name="40% - 강조색6 7 10" xfId="7455"/>
    <cellStyle name="40% - 강조색6 7 11" xfId="7456"/>
    <cellStyle name="40% - 강조색6 7 12" xfId="7457"/>
    <cellStyle name="40% - 강조색6 7 13" xfId="7458"/>
    <cellStyle name="40% - 강조색6 7 14" xfId="7459"/>
    <cellStyle name="40% - 강조색6 7 2" xfId="3467"/>
    <cellStyle name="40% - 강조색6 7 2 2" xfId="3468"/>
    <cellStyle name="40% - 강조색6 7 2 2 2" xfId="3469"/>
    <cellStyle name="40% - 강조색6 7 2 2 3" xfId="3470"/>
    <cellStyle name="40% - 강조색6 7 2 2 4" xfId="7460"/>
    <cellStyle name="40% - 강조색6 7 2 3" xfId="3471"/>
    <cellStyle name="40% - 강조색6 7 2 3 2" xfId="3472"/>
    <cellStyle name="40% - 강조색6 7 2 3 3" xfId="3473"/>
    <cellStyle name="40% - 강조색6 7 2 4" xfId="3474"/>
    <cellStyle name="40% - 강조색6 7 2 5" xfId="3475"/>
    <cellStyle name="40% - 강조색6 7 2 6" xfId="7461"/>
    <cellStyle name="40% - 강조색6 7 3" xfId="3476"/>
    <cellStyle name="40% - 강조색6 7 3 2" xfId="3477"/>
    <cellStyle name="40% - 강조색6 7 3 2 2" xfId="3478"/>
    <cellStyle name="40% - 강조색6 7 3 2 3" xfId="3479"/>
    <cellStyle name="40% - 강조색6 7 3 3" xfId="3480"/>
    <cellStyle name="40% - 강조색6 7 3 3 2" xfId="3481"/>
    <cellStyle name="40% - 강조색6 7 3 3 3" xfId="3482"/>
    <cellStyle name="40% - 강조색6 7 3 4" xfId="3483"/>
    <cellStyle name="40% - 강조색6 7 3 5" xfId="3484"/>
    <cellStyle name="40% - 강조색6 7 3 6" xfId="7462"/>
    <cellStyle name="40% - 강조색6 7 4" xfId="3485"/>
    <cellStyle name="40% - 강조색6 7 4 2" xfId="3486"/>
    <cellStyle name="40% - 강조색6 7 4 3" xfId="3487"/>
    <cellStyle name="40% - 강조색6 7 4 4" xfId="7463"/>
    <cellStyle name="40% - 강조색6 7 5" xfId="3488"/>
    <cellStyle name="40% - 강조색6 7 5 2" xfId="3489"/>
    <cellStyle name="40% - 강조색6 7 5 3" xfId="3490"/>
    <cellStyle name="40% - 강조색6 7 5 4" xfId="7464"/>
    <cellStyle name="40% - 강조색6 7 6" xfId="3491"/>
    <cellStyle name="40% - 강조색6 7 6 2" xfId="7465"/>
    <cellStyle name="40% - 강조색6 7 7" xfId="3492"/>
    <cellStyle name="40% - 강조색6 7 7 2" xfId="7466"/>
    <cellStyle name="40% - 강조색6 7 8" xfId="7467"/>
    <cellStyle name="40% - 강조색6 7 9" xfId="7468"/>
    <cellStyle name="40% - 강조색6 8" xfId="3493"/>
    <cellStyle name="40% - 강조색6 8 10" xfId="7469"/>
    <cellStyle name="40% - 강조색6 8 11" xfId="7470"/>
    <cellStyle name="40% - 강조색6 8 12" xfId="7471"/>
    <cellStyle name="40% - 강조색6 8 13" xfId="7472"/>
    <cellStyle name="40% - 강조색6 8 14" xfId="7473"/>
    <cellStyle name="40% - 강조색6 8 2" xfId="3494"/>
    <cellStyle name="40% - 강조색6 8 2 2" xfId="3495"/>
    <cellStyle name="40% - 강조색6 8 2 2 2" xfId="3496"/>
    <cellStyle name="40% - 강조색6 8 2 2 3" xfId="3497"/>
    <cellStyle name="40% - 강조색6 8 2 2 4" xfId="7474"/>
    <cellStyle name="40% - 강조색6 8 2 3" xfId="3498"/>
    <cellStyle name="40% - 강조색6 8 2 3 2" xfId="3499"/>
    <cellStyle name="40% - 강조색6 8 2 3 3" xfId="3500"/>
    <cellStyle name="40% - 강조색6 8 2 4" xfId="3501"/>
    <cellStyle name="40% - 강조색6 8 2 5" xfId="3502"/>
    <cellStyle name="40% - 강조색6 8 2 6" xfId="7475"/>
    <cellStyle name="40% - 강조색6 8 3" xfId="3503"/>
    <cellStyle name="40% - 강조색6 8 3 2" xfId="3504"/>
    <cellStyle name="40% - 강조색6 8 3 2 2" xfId="3505"/>
    <cellStyle name="40% - 강조색6 8 3 2 3" xfId="3506"/>
    <cellStyle name="40% - 강조색6 8 3 3" xfId="3507"/>
    <cellStyle name="40% - 강조색6 8 3 3 2" xfId="3508"/>
    <cellStyle name="40% - 강조색6 8 3 3 3" xfId="3509"/>
    <cellStyle name="40% - 강조색6 8 3 4" xfId="3510"/>
    <cellStyle name="40% - 강조색6 8 3 5" xfId="3511"/>
    <cellStyle name="40% - 강조색6 8 3 6" xfId="7476"/>
    <cellStyle name="40% - 강조색6 8 4" xfId="3512"/>
    <cellStyle name="40% - 강조색6 8 4 2" xfId="3513"/>
    <cellStyle name="40% - 강조색6 8 4 3" xfId="3514"/>
    <cellStyle name="40% - 강조색6 8 4 4" xfId="7477"/>
    <cellStyle name="40% - 강조색6 8 5" xfId="3515"/>
    <cellStyle name="40% - 강조색6 8 5 2" xfId="3516"/>
    <cellStyle name="40% - 강조색6 8 5 3" xfId="3517"/>
    <cellStyle name="40% - 강조색6 8 5 4" xfId="7478"/>
    <cellStyle name="40% - 강조색6 8 6" xfId="3518"/>
    <cellStyle name="40% - 강조색6 8 6 2" xfId="7479"/>
    <cellStyle name="40% - 강조색6 8 7" xfId="3519"/>
    <cellStyle name="40% - 강조색6 8 7 2" xfId="7480"/>
    <cellStyle name="40% - 강조색6 8 8" xfId="7481"/>
    <cellStyle name="40% - 강조색6 8 9" xfId="7482"/>
    <cellStyle name="40% - 강조색6 9" xfId="3520"/>
    <cellStyle name="40% - 강조색6 9 10" xfId="7483"/>
    <cellStyle name="40% - 강조색6 9 11" xfId="7484"/>
    <cellStyle name="40% - 강조색6 9 12" xfId="7485"/>
    <cellStyle name="40% - 강조색6 9 13" xfId="7486"/>
    <cellStyle name="40% - 강조색6 9 14" xfId="7487"/>
    <cellStyle name="40% - 강조색6 9 2" xfId="3521"/>
    <cellStyle name="40% - 강조색6 9 2 2" xfId="3522"/>
    <cellStyle name="40% - 강조색6 9 2 2 2" xfId="7488"/>
    <cellStyle name="40% - 강조색6 9 2 3" xfId="3523"/>
    <cellStyle name="40% - 강조색6 9 2 4" xfId="7489"/>
    <cellStyle name="40% - 강조색6 9 3" xfId="3524"/>
    <cellStyle name="40% - 강조색6 9 3 2" xfId="3525"/>
    <cellStyle name="40% - 강조색6 9 3 3" xfId="3526"/>
    <cellStyle name="40% - 강조색6 9 3 4" xfId="7490"/>
    <cellStyle name="40% - 강조색6 9 4" xfId="3527"/>
    <cellStyle name="40% - 강조색6 9 4 2" xfId="7491"/>
    <cellStyle name="40% - 강조색6 9 5" xfId="3528"/>
    <cellStyle name="40% - 강조색6 9 5 2" xfId="7492"/>
    <cellStyle name="40% - 강조색6 9 6" xfId="7493"/>
    <cellStyle name="40% - 강조색6 9 7" xfId="7494"/>
    <cellStyle name="40% - 강조색6 9 8" xfId="7495"/>
    <cellStyle name="40% - 강조색6 9 9" xfId="7496"/>
    <cellStyle name="60% - 강조색1" xfId="4316" builtinId="32" customBuiltin="1"/>
    <cellStyle name="60% - 강조색1 10" xfId="7497"/>
    <cellStyle name="60% - 강조색1 10 2" xfId="7498"/>
    <cellStyle name="60% - 강조색1 11" xfId="7499"/>
    <cellStyle name="60% - 강조색1 11 2" xfId="7500"/>
    <cellStyle name="60% - 강조색1 12" xfId="7501"/>
    <cellStyle name="60% - 강조색1 12 2" xfId="7502"/>
    <cellStyle name="60% - 강조색1 13" xfId="7503"/>
    <cellStyle name="60% - 강조색1 13 2" xfId="7504"/>
    <cellStyle name="60% - 강조색1 14" xfId="7505"/>
    <cellStyle name="60% - 강조색1 14 2" xfId="7506"/>
    <cellStyle name="60% - 강조색1 15" xfId="7507"/>
    <cellStyle name="60% - 강조색1 15 2" xfId="7508"/>
    <cellStyle name="60% - 강조색1 16" xfId="7509"/>
    <cellStyle name="60% - 강조색1 16 2" xfId="7510"/>
    <cellStyle name="60% - 강조색1 2" xfId="3529"/>
    <cellStyle name="60% - 강조색1 2 2" xfId="7511"/>
    <cellStyle name="60% - 강조색1 2 2 2" xfId="7512"/>
    <cellStyle name="60% - 강조색1 2 3" xfId="7513"/>
    <cellStyle name="60% - 강조색1 2 3 2" xfId="7514"/>
    <cellStyle name="60% - 강조색1 2 4" xfId="7515"/>
    <cellStyle name="60% - 강조색1 3" xfId="7516"/>
    <cellStyle name="60% - 강조색1 3 2" xfId="7517"/>
    <cellStyle name="60% - 강조색1 4" xfId="7518"/>
    <cellStyle name="60% - 강조색1 4 2" xfId="7519"/>
    <cellStyle name="60% - 강조색1 5" xfId="7520"/>
    <cellStyle name="60% - 강조색1 5 2" xfId="7521"/>
    <cellStyle name="60% - 강조색1 6" xfId="7522"/>
    <cellStyle name="60% - 강조색1 6 2" xfId="7523"/>
    <cellStyle name="60% - 강조색1 7" xfId="7524"/>
    <cellStyle name="60% - 강조색1 7 2" xfId="7525"/>
    <cellStyle name="60% - 강조색1 8" xfId="7526"/>
    <cellStyle name="60% - 강조색1 8 2" xfId="7527"/>
    <cellStyle name="60% - 강조색1 9" xfId="7528"/>
    <cellStyle name="60% - 강조색1 9 2" xfId="7529"/>
    <cellStyle name="60% - 강조색2" xfId="4320" builtinId="36" customBuiltin="1"/>
    <cellStyle name="60% - 강조색2 10" xfId="7530"/>
    <cellStyle name="60% - 강조색2 10 2" xfId="7531"/>
    <cellStyle name="60% - 강조색2 11" xfId="7532"/>
    <cellStyle name="60% - 강조색2 11 2" xfId="7533"/>
    <cellStyle name="60% - 강조색2 12" xfId="7534"/>
    <cellStyle name="60% - 강조색2 12 2" xfId="7535"/>
    <cellStyle name="60% - 강조색2 13" xfId="7536"/>
    <cellStyle name="60% - 강조색2 13 2" xfId="7537"/>
    <cellStyle name="60% - 강조색2 14" xfId="7538"/>
    <cellStyle name="60% - 강조색2 14 2" xfId="7539"/>
    <cellStyle name="60% - 강조색2 15" xfId="7540"/>
    <cellStyle name="60% - 강조색2 15 2" xfId="7541"/>
    <cellStyle name="60% - 강조색2 16" xfId="7542"/>
    <cellStyle name="60% - 강조색2 16 2" xfId="7543"/>
    <cellStyle name="60% - 강조색2 2" xfId="3530"/>
    <cellStyle name="60% - 강조색2 2 2" xfId="7544"/>
    <cellStyle name="60% - 강조색2 2 2 2" xfId="7545"/>
    <cellStyle name="60% - 강조색2 2 3" xfId="7546"/>
    <cellStyle name="60% - 강조색2 2 3 2" xfId="7547"/>
    <cellStyle name="60% - 강조색2 2 4" xfId="7548"/>
    <cellStyle name="60% - 강조색2 3" xfId="7549"/>
    <cellStyle name="60% - 강조색2 3 2" xfId="7550"/>
    <cellStyle name="60% - 강조색2 4" xfId="7551"/>
    <cellStyle name="60% - 강조색2 4 2" xfId="7552"/>
    <cellStyle name="60% - 강조색2 5" xfId="7553"/>
    <cellStyle name="60% - 강조색2 5 2" xfId="7554"/>
    <cellStyle name="60% - 강조색2 6" xfId="7555"/>
    <cellStyle name="60% - 강조색2 6 2" xfId="7556"/>
    <cellStyle name="60% - 강조색2 7" xfId="7557"/>
    <cellStyle name="60% - 강조색2 7 2" xfId="7558"/>
    <cellStyle name="60% - 강조색2 8" xfId="7559"/>
    <cellStyle name="60% - 강조색2 8 2" xfId="7560"/>
    <cellStyle name="60% - 강조색2 9" xfId="7561"/>
    <cellStyle name="60% - 강조색2 9 2" xfId="7562"/>
    <cellStyle name="60% - 강조색3" xfId="4324" builtinId="40" customBuiltin="1"/>
    <cellStyle name="60% - 강조색3 10" xfId="7563"/>
    <cellStyle name="60% - 강조색3 10 2" xfId="7564"/>
    <cellStyle name="60% - 강조색3 11" xfId="7565"/>
    <cellStyle name="60% - 강조색3 11 2" xfId="7566"/>
    <cellStyle name="60% - 강조색3 12" xfId="7567"/>
    <cellStyle name="60% - 강조색3 12 2" xfId="7568"/>
    <cellStyle name="60% - 강조색3 13" xfId="7569"/>
    <cellStyle name="60% - 강조색3 13 2" xfId="7570"/>
    <cellStyle name="60% - 강조색3 14" xfId="7571"/>
    <cellStyle name="60% - 강조색3 14 2" xfId="7572"/>
    <cellStyle name="60% - 강조색3 15" xfId="7573"/>
    <cellStyle name="60% - 강조색3 15 2" xfId="7574"/>
    <cellStyle name="60% - 강조색3 16" xfId="7575"/>
    <cellStyle name="60% - 강조색3 16 2" xfId="7576"/>
    <cellStyle name="60% - 강조색3 2" xfId="3531"/>
    <cellStyle name="60% - 강조색3 2 2" xfId="7577"/>
    <cellStyle name="60% - 강조색3 2 2 2" xfId="7578"/>
    <cellStyle name="60% - 강조색3 2 3" xfId="7579"/>
    <cellStyle name="60% - 강조색3 2 3 2" xfId="7580"/>
    <cellStyle name="60% - 강조색3 2 4" xfId="7581"/>
    <cellStyle name="60% - 강조색3 3" xfId="7582"/>
    <cellStyle name="60% - 강조색3 3 2" xfId="7583"/>
    <cellStyle name="60% - 강조색3 4" xfId="7584"/>
    <cellStyle name="60% - 강조색3 4 2" xfId="7585"/>
    <cellStyle name="60% - 강조색3 5" xfId="7586"/>
    <cellStyle name="60% - 강조색3 5 2" xfId="7587"/>
    <cellStyle name="60% - 강조색3 6" xfId="7588"/>
    <cellStyle name="60% - 강조색3 6 2" xfId="7589"/>
    <cellStyle name="60% - 강조색3 7" xfId="7590"/>
    <cellStyle name="60% - 강조색3 7 2" xfId="7591"/>
    <cellStyle name="60% - 강조색3 8" xfId="7592"/>
    <cellStyle name="60% - 강조색3 8 2" xfId="7593"/>
    <cellStyle name="60% - 강조색3 9" xfId="7594"/>
    <cellStyle name="60% - 강조색3 9 2" xfId="7595"/>
    <cellStyle name="60% - 강조색4" xfId="4328" builtinId="44" customBuiltin="1"/>
    <cellStyle name="60% - 강조색4 10" xfId="7596"/>
    <cellStyle name="60% - 강조색4 10 2" xfId="7597"/>
    <cellStyle name="60% - 강조색4 11" xfId="7598"/>
    <cellStyle name="60% - 강조색4 11 2" xfId="7599"/>
    <cellStyle name="60% - 강조색4 12" xfId="7600"/>
    <cellStyle name="60% - 강조색4 12 2" xfId="7601"/>
    <cellStyle name="60% - 강조색4 13" xfId="7602"/>
    <cellStyle name="60% - 강조색4 13 2" xfId="7603"/>
    <cellStyle name="60% - 강조색4 14" xfId="7604"/>
    <cellStyle name="60% - 강조색4 14 2" xfId="7605"/>
    <cellStyle name="60% - 강조색4 15" xfId="7606"/>
    <cellStyle name="60% - 강조색4 15 2" xfId="7607"/>
    <cellStyle name="60% - 강조색4 16" xfId="7608"/>
    <cellStyle name="60% - 강조색4 16 2" xfId="7609"/>
    <cellStyle name="60% - 강조색4 2" xfId="3532"/>
    <cellStyle name="60% - 강조색4 2 2" xfId="7610"/>
    <cellStyle name="60% - 강조색4 2 2 2" xfId="7611"/>
    <cellStyle name="60% - 강조색4 2 3" xfId="7612"/>
    <cellStyle name="60% - 강조색4 2 3 2" xfId="7613"/>
    <cellStyle name="60% - 강조색4 2 4" xfId="7614"/>
    <cellStyle name="60% - 강조색4 3" xfId="7615"/>
    <cellStyle name="60% - 강조색4 3 2" xfId="7616"/>
    <cellStyle name="60% - 강조색4 4" xfId="7617"/>
    <cellStyle name="60% - 강조색4 4 2" xfId="7618"/>
    <cellStyle name="60% - 강조색4 5" xfId="7619"/>
    <cellStyle name="60% - 강조색4 5 2" xfId="7620"/>
    <cellStyle name="60% - 강조색4 6" xfId="7621"/>
    <cellStyle name="60% - 강조색4 6 2" xfId="7622"/>
    <cellStyle name="60% - 강조색4 7" xfId="7623"/>
    <cellStyle name="60% - 강조색4 7 2" xfId="7624"/>
    <cellStyle name="60% - 강조색4 8" xfId="7625"/>
    <cellStyle name="60% - 강조색4 8 2" xfId="7626"/>
    <cellStyle name="60% - 강조색4 9" xfId="7627"/>
    <cellStyle name="60% - 강조색4 9 2" xfId="7628"/>
    <cellStyle name="60% - 강조색5" xfId="4332" builtinId="48" customBuiltin="1"/>
    <cellStyle name="60% - 강조색5 10" xfId="7629"/>
    <cellStyle name="60% - 강조색5 10 2" xfId="7630"/>
    <cellStyle name="60% - 강조색5 11" xfId="7631"/>
    <cellStyle name="60% - 강조색5 11 2" xfId="7632"/>
    <cellStyle name="60% - 강조색5 12" xfId="7633"/>
    <cellStyle name="60% - 강조색5 12 2" xfId="7634"/>
    <cellStyle name="60% - 강조색5 13" xfId="7635"/>
    <cellStyle name="60% - 강조색5 13 2" xfId="7636"/>
    <cellStyle name="60% - 강조색5 14" xfId="7637"/>
    <cellStyle name="60% - 강조색5 14 2" xfId="7638"/>
    <cellStyle name="60% - 강조색5 15" xfId="7639"/>
    <cellStyle name="60% - 강조색5 15 2" xfId="7640"/>
    <cellStyle name="60% - 강조색5 16" xfId="7641"/>
    <cellStyle name="60% - 강조색5 16 2" xfId="7642"/>
    <cellStyle name="60% - 강조색5 2" xfId="3533"/>
    <cellStyle name="60% - 강조색5 2 2" xfId="7643"/>
    <cellStyle name="60% - 강조색5 2 2 2" xfId="7644"/>
    <cellStyle name="60% - 강조색5 2 3" xfId="7645"/>
    <cellStyle name="60% - 강조색5 2 3 2" xfId="7646"/>
    <cellStyle name="60% - 강조색5 2 4" xfId="7647"/>
    <cellStyle name="60% - 강조색5 3" xfId="7648"/>
    <cellStyle name="60% - 강조색5 3 2" xfId="7649"/>
    <cellStyle name="60% - 강조색5 4" xfId="7650"/>
    <cellStyle name="60% - 강조색5 4 2" xfId="7651"/>
    <cellStyle name="60% - 강조색5 5" xfId="7652"/>
    <cellStyle name="60% - 강조색5 5 2" xfId="7653"/>
    <cellStyle name="60% - 강조색5 6" xfId="7654"/>
    <cellStyle name="60% - 강조색5 6 2" xfId="7655"/>
    <cellStyle name="60% - 강조색5 7" xfId="7656"/>
    <cellStyle name="60% - 강조색5 7 2" xfId="7657"/>
    <cellStyle name="60% - 강조색5 8" xfId="7658"/>
    <cellStyle name="60% - 강조색5 8 2" xfId="7659"/>
    <cellStyle name="60% - 강조색5 9" xfId="7660"/>
    <cellStyle name="60% - 강조색5 9 2" xfId="7661"/>
    <cellStyle name="60% - 강조색6" xfId="4336" builtinId="52" customBuiltin="1"/>
    <cellStyle name="60% - 강조색6 10" xfId="7662"/>
    <cellStyle name="60% - 강조색6 10 2" xfId="7663"/>
    <cellStyle name="60% - 강조색6 11" xfId="7664"/>
    <cellStyle name="60% - 강조색6 11 2" xfId="7665"/>
    <cellStyle name="60% - 강조색6 12" xfId="7666"/>
    <cellStyle name="60% - 강조색6 12 2" xfId="7667"/>
    <cellStyle name="60% - 강조색6 13" xfId="7668"/>
    <cellStyle name="60% - 강조색6 13 2" xfId="7669"/>
    <cellStyle name="60% - 강조색6 14" xfId="7670"/>
    <cellStyle name="60% - 강조색6 14 2" xfId="7671"/>
    <cellStyle name="60% - 강조색6 15" xfId="7672"/>
    <cellStyle name="60% - 강조색6 15 2" xfId="7673"/>
    <cellStyle name="60% - 강조색6 16" xfId="7674"/>
    <cellStyle name="60% - 강조색6 16 2" xfId="7675"/>
    <cellStyle name="60% - 강조색6 2" xfId="3534"/>
    <cellStyle name="60% - 강조색6 2 2" xfId="7676"/>
    <cellStyle name="60% - 강조색6 2 2 2" xfId="7677"/>
    <cellStyle name="60% - 강조색6 2 3" xfId="7678"/>
    <cellStyle name="60% - 강조색6 2 3 2" xfId="7679"/>
    <cellStyle name="60% - 강조색6 2 4" xfId="7680"/>
    <cellStyle name="60% - 강조색6 3" xfId="7681"/>
    <cellStyle name="60% - 강조색6 3 2" xfId="7682"/>
    <cellStyle name="60% - 강조색6 4" xfId="7683"/>
    <cellStyle name="60% - 강조색6 4 2" xfId="7684"/>
    <cellStyle name="60% - 강조색6 5" xfId="7685"/>
    <cellStyle name="60% - 강조색6 5 2" xfId="7686"/>
    <cellStyle name="60% - 강조색6 6" xfId="7687"/>
    <cellStyle name="60% - 강조색6 6 2" xfId="7688"/>
    <cellStyle name="60% - 강조색6 7" xfId="7689"/>
    <cellStyle name="60% - 강조색6 7 2" xfId="7690"/>
    <cellStyle name="60% - 강조색6 8" xfId="7691"/>
    <cellStyle name="60% - 강조색6 8 2" xfId="7692"/>
    <cellStyle name="60% - 강조색6 9" xfId="7693"/>
    <cellStyle name="60% - 강조색6 9 2" xfId="7694"/>
    <cellStyle name="AeE­ [0]_M105CDT " xfId="7695"/>
    <cellStyle name="AeE­_M105CDT " xfId="7696"/>
    <cellStyle name="AÞ¸¶ [0]_M105CDT " xfId="7697"/>
    <cellStyle name="AÞ¸¶_M105CDT " xfId="7698"/>
    <cellStyle name="AutoFormat-Optionen" xfId="7699"/>
    <cellStyle name="C￥AØ_AI¿øCoE² " xfId="7700"/>
    <cellStyle name="category" xfId="7701"/>
    <cellStyle name="Comma [0]_ SG&amp;A Bridge " xfId="7702"/>
    <cellStyle name="Comma_ SG&amp;A Bridge " xfId="7703"/>
    <cellStyle name="Currency [0]_ SG&amp;A Bridge " xfId="7704"/>
    <cellStyle name="Currency_ SG&amp;A Bridge " xfId="7705"/>
    <cellStyle name="Grey" xfId="7706"/>
    <cellStyle name="HEADER" xfId="7707"/>
    <cellStyle name="Header1" xfId="7708"/>
    <cellStyle name="Header2" xfId="7709"/>
    <cellStyle name="Header2 10" xfId="17000"/>
    <cellStyle name="Header2 10 2" xfId="28817"/>
    <cellStyle name="Header2 10 2 2" xfId="38816"/>
    <cellStyle name="Header2 10 3" xfId="24575"/>
    <cellStyle name="Header2 10 4" xfId="33665"/>
    <cellStyle name="Header2 11" xfId="17031"/>
    <cellStyle name="Header2 11 2" xfId="28848"/>
    <cellStyle name="Header2 11 2 2" xfId="38847"/>
    <cellStyle name="Header2 11 3" xfId="24606"/>
    <cellStyle name="Header2 11 4" xfId="33696"/>
    <cellStyle name="Header2 12" xfId="17334"/>
    <cellStyle name="Header2 12 2" xfId="29151"/>
    <cellStyle name="Header2 12 2 2" xfId="39150"/>
    <cellStyle name="Header2 12 3" xfId="24909"/>
    <cellStyle name="Header2 12 4" xfId="33999"/>
    <cellStyle name="Header2 13" xfId="18601"/>
    <cellStyle name="Header2 13 2" xfId="30418"/>
    <cellStyle name="Header2 13 2 2" xfId="40417"/>
    <cellStyle name="Header2 13 3" xfId="26076"/>
    <cellStyle name="Header2 13 4" xfId="35266"/>
    <cellStyle name="Header2 14" xfId="18848"/>
    <cellStyle name="Header2 14 2" xfId="30665"/>
    <cellStyle name="Header2 14 2 2" xfId="40664"/>
    <cellStyle name="Header2 14 3" xfId="26323"/>
    <cellStyle name="Header2 14 4" xfId="35513"/>
    <cellStyle name="Header2 15" xfId="20358"/>
    <cellStyle name="Header2 15 2" xfId="32175"/>
    <cellStyle name="Header2 15 2 2" xfId="42174"/>
    <cellStyle name="Header2 15 3" xfId="37023"/>
    <cellStyle name="Header2 16" xfId="23393"/>
    <cellStyle name="Header2 16 2" xfId="21102"/>
    <cellStyle name="Header2 17" xfId="22787"/>
    <cellStyle name="Header2 2" xfId="7710"/>
    <cellStyle name="Header2 2 10" xfId="17335"/>
    <cellStyle name="Header2 2 10 2" xfId="29152"/>
    <cellStyle name="Header2 2 10 2 2" xfId="39151"/>
    <cellStyle name="Header2 2 10 3" xfId="24910"/>
    <cellStyle name="Header2 2 10 4" xfId="34000"/>
    <cellStyle name="Header2 2 11" xfId="18600"/>
    <cellStyle name="Header2 2 11 2" xfId="30417"/>
    <cellStyle name="Header2 2 11 2 2" xfId="40416"/>
    <cellStyle name="Header2 2 11 3" xfId="26075"/>
    <cellStyle name="Header2 2 11 4" xfId="35265"/>
    <cellStyle name="Header2 2 12" xfId="18947"/>
    <cellStyle name="Header2 2 12 2" xfId="30764"/>
    <cellStyle name="Header2 2 12 2 2" xfId="40763"/>
    <cellStyle name="Header2 2 12 3" xfId="26422"/>
    <cellStyle name="Header2 2 12 4" xfId="35612"/>
    <cellStyle name="Header2 2 13" xfId="18199"/>
    <cellStyle name="Header2 2 13 2" xfId="30016"/>
    <cellStyle name="Header2 2 13 2 2" xfId="40015"/>
    <cellStyle name="Header2 2 13 3" xfId="34864"/>
    <cellStyle name="Header2 2 14" xfId="23392"/>
    <cellStyle name="Header2 2 14 2" xfId="21103"/>
    <cellStyle name="Header2 2 15" xfId="22786"/>
    <cellStyle name="Header2 2 2" xfId="7711"/>
    <cellStyle name="Header2 2 2 10" xfId="7712"/>
    <cellStyle name="Header2 2 2 10 10" xfId="17034"/>
    <cellStyle name="Header2 2 2 10 10 2" xfId="28851"/>
    <cellStyle name="Header2 2 2 10 10 2 2" xfId="38850"/>
    <cellStyle name="Header2 2 2 10 10 3" xfId="24609"/>
    <cellStyle name="Header2 2 2 10 10 4" xfId="33699"/>
    <cellStyle name="Header2 2 2 10 11" xfId="17337"/>
    <cellStyle name="Header2 2 2 10 11 2" xfId="29154"/>
    <cellStyle name="Header2 2 2 10 11 2 2" xfId="39153"/>
    <cellStyle name="Header2 2 2 10 11 3" xfId="24912"/>
    <cellStyle name="Header2 2 2 10 11 4" xfId="34002"/>
    <cellStyle name="Header2 2 2 10 12" xfId="18598"/>
    <cellStyle name="Header2 2 2 10 12 2" xfId="30415"/>
    <cellStyle name="Header2 2 2 10 12 2 2" xfId="40414"/>
    <cellStyle name="Header2 2 2 10 12 3" xfId="26073"/>
    <cellStyle name="Header2 2 2 10 12 4" xfId="35263"/>
    <cellStyle name="Header2 2 2 10 13" xfId="18945"/>
    <cellStyle name="Header2 2 2 10 13 2" xfId="30762"/>
    <cellStyle name="Header2 2 2 10 13 2 2" xfId="40761"/>
    <cellStyle name="Header2 2 2 10 13 3" xfId="26420"/>
    <cellStyle name="Header2 2 2 10 13 4" xfId="35610"/>
    <cellStyle name="Header2 2 2 10 14" xfId="18201"/>
    <cellStyle name="Header2 2 2 10 14 2" xfId="30018"/>
    <cellStyle name="Header2 2 2 10 14 2 2" xfId="40017"/>
    <cellStyle name="Header2 2 2 10 14 3" xfId="34866"/>
    <cellStyle name="Header2 2 2 10 15" xfId="23390"/>
    <cellStyle name="Header2 2 2 10 15 2" xfId="21104"/>
    <cellStyle name="Header2 2 2 10 16" xfId="22784"/>
    <cellStyle name="Header2 2 2 10 2" xfId="7713"/>
    <cellStyle name="Header2 2 2 10 2 10" xfId="18847"/>
    <cellStyle name="Header2 2 2 10 2 10 2" xfId="30664"/>
    <cellStyle name="Header2 2 2 10 2 10 2 2" xfId="40663"/>
    <cellStyle name="Header2 2 2 10 2 10 3" xfId="26322"/>
    <cellStyle name="Header2 2 2 10 2 10 4" xfId="35512"/>
    <cellStyle name="Header2 2 2 10 2 11" xfId="20258"/>
    <cellStyle name="Header2 2 2 10 2 11 2" xfId="32075"/>
    <cellStyle name="Header2 2 2 10 2 11 2 2" xfId="42074"/>
    <cellStyle name="Header2 2 2 10 2 11 3" xfId="36923"/>
    <cellStyle name="Header2 2 2 10 2 12" xfId="23389"/>
    <cellStyle name="Header2 2 2 10 2 12 2" xfId="21105"/>
    <cellStyle name="Header2 2 2 10 2 13" xfId="22783"/>
    <cellStyle name="Header2 2 2 10 2 2" xfId="15520"/>
    <cellStyle name="Header2 2 2 10 2 2 2" xfId="19273"/>
    <cellStyle name="Header2 2 2 10 2 2 2 2" xfId="31090"/>
    <cellStyle name="Header2 2 2 10 2 2 2 2 2" xfId="41089"/>
    <cellStyle name="Header2 2 2 10 2 2 2 3" xfId="26748"/>
    <cellStyle name="Header2 2 2 10 2 2 2 4" xfId="35938"/>
    <cellStyle name="Header2 2 2 10 2 2 3" xfId="19879"/>
    <cellStyle name="Header2 2 2 10 2 2 3 2" xfId="31696"/>
    <cellStyle name="Header2 2 2 10 2 2 3 2 2" xfId="41695"/>
    <cellStyle name="Header2 2 2 10 2 2 3 3" xfId="27354"/>
    <cellStyle name="Header2 2 2 10 2 2 3 4" xfId="36544"/>
    <cellStyle name="Header2 2 2 10 2 2 4" xfId="17669"/>
    <cellStyle name="Header2 2 2 10 2 2 4 2" xfId="29486"/>
    <cellStyle name="Header2 2 2 10 2 2 4 2 2" xfId="39485"/>
    <cellStyle name="Header2 2 2 10 2 2 4 3" xfId="25244"/>
    <cellStyle name="Header2 2 2 10 2 2 4 4" xfId="34334"/>
    <cellStyle name="Header2 2 2 10 2 2 5" xfId="20688"/>
    <cellStyle name="Header2 2 2 10 2 2 5 2" xfId="32505"/>
    <cellStyle name="Header2 2 2 10 2 2 5 2 2" xfId="42504"/>
    <cellStyle name="Header2 2 2 10 2 2 5 3" xfId="37353"/>
    <cellStyle name="Header2 2 2 10 2 2 6" xfId="23398"/>
    <cellStyle name="Header2 2 2 10 2 2 6 2" xfId="21098"/>
    <cellStyle name="Header2 2 2 10 2 2 7" xfId="22916"/>
    <cellStyle name="Header2 2 2 10 2 2 7 2" xfId="22160"/>
    <cellStyle name="Header2 2 2 10 2 2 8" xfId="21584"/>
    <cellStyle name="Header2 2 2 10 2 3" xfId="16101"/>
    <cellStyle name="Header2 2 2 10 2 3 2" xfId="19523"/>
    <cellStyle name="Header2 2 2 10 2 3 2 2" xfId="31340"/>
    <cellStyle name="Header2 2 2 10 2 3 2 2 2" xfId="41339"/>
    <cellStyle name="Header2 2 2 10 2 3 2 3" xfId="26998"/>
    <cellStyle name="Header2 2 2 10 2 3 2 4" xfId="36188"/>
    <cellStyle name="Header2 2 2 10 2 3 3" xfId="20129"/>
    <cellStyle name="Header2 2 2 10 2 3 3 2" xfId="31946"/>
    <cellStyle name="Header2 2 2 10 2 3 3 2 2" xfId="41945"/>
    <cellStyle name="Header2 2 2 10 2 3 3 3" xfId="27604"/>
    <cellStyle name="Header2 2 2 10 2 3 3 4" xfId="36794"/>
    <cellStyle name="Header2 2 2 10 2 3 4" xfId="17641"/>
    <cellStyle name="Header2 2 2 10 2 3 4 2" xfId="29458"/>
    <cellStyle name="Header2 2 2 10 2 3 4 2 2" xfId="39457"/>
    <cellStyle name="Header2 2 2 10 2 3 4 3" xfId="25216"/>
    <cellStyle name="Header2 2 2 10 2 3 4 4" xfId="34306"/>
    <cellStyle name="Header2 2 2 10 2 3 5" xfId="20938"/>
    <cellStyle name="Header2 2 2 10 2 3 5 2" xfId="32755"/>
    <cellStyle name="Header2 2 2 10 2 3 5 2 2" xfId="42754"/>
    <cellStyle name="Header2 2 2 10 2 3 5 3" xfId="37603"/>
    <cellStyle name="Header2 2 2 10 2 3 6" xfId="27918"/>
    <cellStyle name="Header2 2 2 10 2 3 6 2" xfId="37917"/>
    <cellStyle name="Header2 2 2 10 2 3 7" xfId="21446"/>
    <cellStyle name="Header2 2 2 10 2 4" xfId="15871"/>
    <cellStyle name="Header2 2 2 10 2 4 2" xfId="27688"/>
    <cellStyle name="Header2 2 2 10 2 4 2 2" xfId="37687"/>
    <cellStyle name="Header2 2 2 10 2 4 3" xfId="23749"/>
    <cellStyle name="Header2 2 2 10 2 4 4" xfId="32839"/>
    <cellStyle name="Header2 2 2 10 2 5" xfId="16749"/>
    <cellStyle name="Header2 2 2 10 2 5 2" xfId="28566"/>
    <cellStyle name="Header2 2 2 10 2 5 2 2" xfId="38565"/>
    <cellStyle name="Header2 2 2 10 2 5 3" xfId="24324"/>
    <cellStyle name="Header2 2 2 10 2 5 4" xfId="33414"/>
    <cellStyle name="Header2 2 2 10 2 6" xfId="16999"/>
    <cellStyle name="Header2 2 2 10 2 6 2" xfId="28816"/>
    <cellStyle name="Header2 2 2 10 2 6 2 2" xfId="38815"/>
    <cellStyle name="Header2 2 2 10 2 6 3" xfId="24574"/>
    <cellStyle name="Header2 2 2 10 2 6 4" xfId="33664"/>
    <cellStyle name="Header2 2 2 10 2 7" xfId="17035"/>
    <cellStyle name="Header2 2 2 10 2 7 2" xfId="28852"/>
    <cellStyle name="Header2 2 2 10 2 7 2 2" xfId="38851"/>
    <cellStyle name="Header2 2 2 10 2 7 3" xfId="24610"/>
    <cellStyle name="Header2 2 2 10 2 7 4" xfId="33700"/>
    <cellStyle name="Header2 2 2 10 2 8" xfId="17338"/>
    <cellStyle name="Header2 2 2 10 2 8 2" xfId="29155"/>
    <cellStyle name="Header2 2 2 10 2 8 2 2" xfId="39154"/>
    <cellStyle name="Header2 2 2 10 2 8 3" xfId="24913"/>
    <cellStyle name="Header2 2 2 10 2 8 4" xfId="34003"/>
    <cellStyle name="Header2 2 2 10 2 9" xfId="18597"/>
    <cellStyle name="Header2 2 2 10 2 9 2" xfId="30414"/>
    <cellStyle name="Header2 2 2 10 2 9 2 2" xfId="40413"/>
    <cellStyle name="Header2 2 2 10 2 9 3" xfId="26072"/>
    <cellStyle name="Header2 2 2 10 2 9 4" xfId="35262"/>
    <cellStyle name="Header2 2 2 10 3" xfId="7714"/>
    <cellStyle name="Header2 2 2 10 3 10" xfId="18944"/>
    <cellStyle name="Header2 2 2 10 3 10 2" xfId="30761"/>
    <cellStyle name="Header2 2 2 10 3 10 2 2" xfId="40760"/>
    <cellStyle name="Header2 2 2 10 3 10 3" xfId="26419"/>
    <cellStyle name="Header2 2 2 10 3 10 4" xfId="35609"/>
    <cellStyle name="Header2 2 2 10 3 11" xfId="20355"/>
    <cellStyle name="Header2 2 2 10 3 11 2" xfId="32172"/>
    <cellStyle name="Header2 2 2 10 3 11 2 2" xfId="42171"/>
    <cellStyle name="Header2 2 2 10 3 11 3" xfId="37020"/>
    <cellStyle name="Header2 2 2 10 3 12" xfId="23388"/>
    <cellStyle name="Header2 2 2 10 3 12 2" xfId="21106"/>
    <cellStyle name="Header2 2 2 10 3 13" xfId="22782"/>
    <cellStyle name="Header2 2 2 10 3 2" xfId="15521"/>
    <cellStyle name="Header2 2 2 10 3 2 2" xfId="19272"/>
    <cellStyle name="Header2 2 2 10 3 2 2 2" xfId="31089"/>
    <cellStyle name="Header2 2 2 10 3 2 2 2 2" xfId="41088"/>
    <cellStyle name="Header2 2 2 10 3 2 2 3" xfId="26747"/>
    <cellStyle name="Header2 2 2 10 3 2 2 4" xfId="35937"/>
    <cellStyle name="Header2 2 2 10 3 2 3" xfId="19878"/>
    <cellStyle name="Header2 2 2 10 3 2 3 2" xfId="31695"/>
    <cellStyle name="Header2 2 2 10 3 2 3 2 2" xfId="41694"/>
    <cellStyle name="Header2 2 2 10 3 2 3 3" xfId="27353"/>
    <cellStyle name="Header2 2 2 10 3 2 3 4" xfId="36543"/>
    <cellStyle name="Header2 2 2 10 3 2 4" xfId="17670"/>
    <cellStyle name="Header2 2 2 10 3 2 4 2" xfId="29487"/>
    <cellStyle name="Header2 2 2 10 3 2 4 2 2" xfId="39486"/>
    <cellStyle name="Header2 2 2 10 3 2 4 3" xfId="25245"/>
    <cellStyle name="Header2 2 2 10 3 2 4 4" xfId="34335"/>
    <cellStyle name="Header2 2 2 10 3 2 5" xfId="20687"/>
    <cellStyle name="Header2 2 2 10 3 2 5 2" xfId="32504"/>
    <cellStyle name="Header2 2 2 10 3 2 5 2 2" xfId="42503"/>
    <cellStyle name="Header2 2 2 10 3 2 5 3" xfId="37352"/>
    <cellStyle name="Header2 2 2 10 3 2 6" xfId="23399"/>
    <cellStyle name="Header2 2 2 10 3 2 6 2" xfId="21097"/>
    <cellStyle name="Header2 2 2 10 3 2 7" xfId="22915"/>
    <cellStyle name="Header2 2 2 10 3 2 7 2" xfId="22161"/>
    <cellStyle name="Header2 2 2 10 3 2 8" xfId="21585"/>
    <cellStyle name="Header2 2 2 10 3 3" xfId="16102"/>
    <cellStyle name="Header2 2 2 10 3 3 2" xfId="19551"/>
    <cellStyle name="Header2 2 2 10 3 3 2 2" xfId="31368"/>
    <cellStyle name="Header2 2 2 10 3 3 2 2 2" xfId="41367"/>
    <cellStyle name="Header2 2 2 10 3 3 2 3" xfId="27026"/>
    <cellStyle name="Header2 2 2 10 3 3 2 4" xfId="36216"/>
    <cellStyle name="Header2 2 2 10 3 3 3" xfId="20157"/>
    <cellStyle name="Header2 2 2 10 3 3 3 2" xfId="31974"/>
    <cellStyle name="Header2 2 2 10 3 3 3 2 2" xfId="41973"/>
    <cellStyle name="Header2 2 2 10 3 3 3 3" xfId="27632"/>
    <cellStyle name="Header2 2 2 10 3 3 3 4" xfId="36822"/>
    <cellStyle name="Header2 2 2 10 3 3 4" xfId="18032"/>
    <cellStyle name="Header2 2 2 10 3 3 4 2" xfId="29849"/>
    <cellStyle name="Header2 2 2 10 3 3 4 2 2" xfId="39848"/>
    <cellStyle name="Header2 2 2 10 3 3 4 3" xfId="25607"/>
    <cellStyle name="Header2 2 2 10 3 3 4 4" xfId="34697"/>
    <cellStyle name="Header2 2 2 10 3 3 5" xfId="20966"/>
    <cellStyle name="Header2 2 2 10 3 3 5 2" xfId="32783"/>
    <cellStyle name="Header2 2 2 10 3 3 5 2 2" xfId="42782"/>
    <cellStyle name="Header2 2 2 10 3 3 5 3" xfId="37631"/>
    <cellStyle name="Header2 2 2 10 3 3 6" xfId="27919"/>
    <cellStyle name="Header2 2 2 10 3 3 6 2" xfId="37918"/>
    <cellStyle name="Header2 2 2 10 3 3 7" xfId="22206"/>
    <cellStyle name="Header2 2 2 10 3 4" xfId="15821"/>
    <cellStyle name="Header2 2 2 10 3 4 2" xfId="27638"/>
    <cellStyle name="Header2 2 2 10 3 4 2 2" xfId="37637"/>
    <cellStyle name="Header2 2 2 10 3 4 3" xfId="23699"/>
    <cellStyle name="Header2 2 2 10 3 4 4" xfId="32789"/>
    <cellStyle name="Header2 2 2 10 3 5" xfId="16748"/>
    <cellStyle name="Header2 2 2 10 3 5 2" xfId="28565"/>
    <cellStyle name="Header2 2 2 10 3 5 2 2" xfId="38564"/>
    <cellStyle name="Header2 2 2 10 3 5 3" xfId="24323"/>
    <cellStyle name="Header2 2 2 10 3 5 4" xfId="33413"/>
    <cellStyle name="Header2 2 2 10 3 6" xfId="16449"/>
    <cellStyle name="Header2 2 2 10 3 6 2" xfId="28266"/>
    <cellStyle name="Header2 2 2 10 3 6 2 2" xfId="38265"/>
    <cellStyle name="Header2 2 2 10 3 6 3" xfId="24024"/>
    <cellStyle name="Header2 2 2 10 3 6 4" xfId="33114"/>
    <cellStyle name="Header2 2 2 10 3 7" xfId="17036"/>
    <cellStyle name="Header2 2 2 10 3 7 2" xfId="28853"/>
    <cellStyle name="Header2 2 2 10 3 7 2 2" xfId="38852"/>
    <cellStyle name="Header2 2 2 10 3 7 3" xfId="24611"/>
    <cellStyle name="Header2 2 2 10 3 7 4" xfId="33701"/>
    <cellStyle name="Header2 2 2 10 3 8" xfId="17339"/>
    <cellStyle name="Header2 2 2 10 3 8 2" xfId="29156"/>
    <cellStyle name="Header2 2 2 10 3 8 2 2" xfId="39155"/>
    <cellStyle name="Header2 2 2 10 3 8 3" xfId="24914"/>
    <cellStyle name="Header2 2 2 10 3 8 4" xfId="34004"/>
    <cellStyle name="Header2 2 2 10 3 9" xfId="18596"/>
    <cellStyle name="Header2 2 2 10 3 9 2" xfId="30413"/>
    <cellStyle name="Header2 2 2 10 3 9 2 2" xfId="40412"/>
    <cellStyle name="Header2 2 2 10 3 9 3" xfId="26071"/>
    <cellStyle name="Header2 2 2 10 3 9 4" xfId="35261"/>
    <cellStyle name="Header2 2 2 10 4" xfId="7715"/>
    <cellStyle name="Header2 2 2 10 4 10" xfId="18943"/>
    <cellStyle name="Header2 2 2 10 4 10 2" xfId="30760"/>
    <cellStyle name="Header2 2 2 10 4 10 2 2" xfId="40759"/>
    <cellStyle name="Header2 2 2 10 4 10 3" xfId="26418"/>
    <cellStyle name="Header2 2 2 10 4 10 4" xfId="35608"/>
    <cellStyle name="Header2 2 2 10 4 11" xfId="18202"/>
    <cellStyle name="Header2 2 2 10 4 11 2" xfId="30019"/>
    <cellStyle name="Header2 2 2 10 4 11 2 2" xfId="40018"/>
    <cellStyle name="Header2 2 2 10 4 11 3" xfId="34867"/>
    <cellStyle name="Header2 2 2 10 4 12" xfId="23387"/>
    <cellStyle name="Header2 2 2 10 4 12 2" xfId="21928"/>
    <cellStyle name="Header2 2 2 10 4 13" xfId="22781"/>
    <cellStyle name="Header2 2 2 10 4 2" xfId="15522"/>
    <cellStyle name="Header2 2 2 10 4 2 2" xfId="19271"/>
    <cellStyle name="Header2 2 2 10 4 2 2 2" xfId="31088"/>
    <cellStyle name="Header2 2 2 10 4 2 2 2 2" xfId="41087"/>
    <cellStyle name="Header2 2 2 10 4 2 2 3" xfId="26746"/>
    <cellStyle name="Header2 2 2 10 4 2 2 4" xfId="35936"/>
    <cellStyle name="Header2 2 2 10 4 2 3" xfId="19877"/>
    <cellStyle name="Header2 2 2 10 4 2 3 2" xfId="31694"/>
    <cellStyle name="Header2 2 2 10 4 2 3 2 2" xfId="41693"/>
    <cellStyle name="Header2 2 2 10 4 2 3 3" xfId="27352"/>
    <cellStyle name="Header2 2 2 10 4 2 3 4" xfId="36542"/>
    <cellStyle name="Header2 2 2 10 4 2 4" xfId="17931"/>
    <cellStyle name="Header2 2 2 10 4 2 4 2" xfId="29748"/>
    <cellStyle name="Header2 2 2 10 4 2 4 2 2" xfId="39747"/>
    <cellStyle name="Header2 2 2 10 4 2 4 3" xfId="25506"/>
    <cellStyle name="Header2 2 2 10 4 2 4 4" xfId="34596"/>
    <cellStyle name="Header2 2 2 10 4 2 5" xfId="20686"/>
    <cellStyle name="Header2 2 2 10 4 2 5 2" xfId="32503"/>
    <cellStyle name="Header2 2 2 10 4 2 5 2 2" xfId="42502"/>
    <cellStyle name="Header2 2 2 10 4 2 5 3" xfId="37351"/>
    <cellStyle name="Header2 2 2 10 4 2 6" xfId="23400"/>
    <cellStyle name="Header2 2 2 10 4 2 6 2" xfId="21096"/>
    <cellStyle name="Header2 2 2 10 4 2 7" xfId="22914"/>
    <cellStyle name="Header2 2 2 10 4 2 7 2" xfId="22162"/>
    <cellStyle name="Header2 2 2 10 4 2 8" xfId="22330"/>
    <cellStyle name="Header2 2 2 10 4 3" xfId="16103"/>
    <cellStyle name="Header2 2 2 10 4 3 2" xfId="19550"/>
    <cellStyle name="Header2 2 2 10 4 3 2 2" xfId="31367"/>
    <cellStyle name="Header2 2 2 10 4 3 2 2 2" xfId="41366"/>
    <cellStyle name="Header2 2 2 10 4 3 2 3" xfId="27025"/>
    <cellStyle name="Header2 2 2 10 4 3 2 4" xfId="36215"/>
    <cellStyle name="Header2 2 2 10 4 3 3" xfId="20156"/>
    <cellStyle name="Header2 2 2 10 4 3 3 2" xfId="31973"/>
    <cellStyle name="Header2 2 2 10 4 3 3 2 2" xfId="41972"/>
    <cellStyle name="Header2 2 2 10 4 3 3 3" xfId="27631"/>
    <cellStyle name="Header2 2 2 10 4 3 3 4" xfId="36821"/>
    <cellStyle name="Header2 2 2 10 4 3 4" xfId="17743"/>
    <cellStyle name="Header2 2 2 10 4 3 4 2" xfId="29560"/>
    <cellStyle name="Header2 2 2 10 4 3 4 2 2" xfId="39559"/>
    <cellStyle name="Header2 2 2 10 4 3 4 3" xfId="25318"/>
    <cellStyle name="Header2 2 2 10 4 3 4 4" xfId="34408"/>
    <cellStyle name="Header2 2 2 10 4 3 5" xfId="20965"/>
    <cellStyle name="Header2 2 2 10 4 3 5 2" xfId="32782"/>
    <cellStyle name="Header2 2 2 10 4 3 5 2 2" xfId="42781"/>
    <cellStyle name="Header2 2 2 10 4 3 5 3" xfId="37630"/>
    <cellStyle name="Header2 2 2 10 4 3 6" xfId="27920"/>
    <cellStyle name="Header2 2 2 10 4 3 6 2" xfId="37919"/>
    <cellStyle name="Header2 2 2 10 4 3 7" xfId="21431"/>
    <cellStyle name="Header2 2 2 10 4 4" xfId="15822"/>
    <cellStyle name="Header2 2 2 10 4 4 2" xfId="27639"/>
    <cellStyle name="Header2 2 2 10 4 4 2 2" xfId="37638"/>
    <cellStyle name="Header2 2 2 10 4 4 3" xfId="23700"/>
    <cellStyle name="Header2 2 2 10 4 4 4" xfId="32790"/>
    <cellStyle name="Header2 2 2 10 4 5" xfId="16747"/>
    <cellStyle name="Header2 2 2 10 4 5 2" xfId="28564"/>
    <cellStyle name="Header2 2 2 10 4 5 2 2" xfId="38563"/>
    <cellStyle name="Header2 2 2 10 4 5 3" xfId="24322"/>
    <cellStyle name="Header2 2 2 10 4 5 4" xfId="33412"/>
    <cellStyle name="Header2 2 2 10 4 6" xfId="17028"/>
    <cellStyle name="Header2 2 2 10 4 6 2" xfId="28845"/>
    <cellStyle name="Header2 2 2 10 4 6 2 2" xfId="38844"/>
    <cellStyle name="Header2 2 2 10 4 6 3" xfId="24603"/>
    <cellStyle name="Header2 2 2 10 4 6 4" xfId="33693"/>
    <cellStyle name="Header2 2 2 10 4 7" xfId="17037"/>
    <cellStyle name="Header2 2 2 10 4 7 2" xfId="28854"/>
    <cellStyle name="Header2 2 2 10 4 7 2 2" xfId="38853"/>
    <cellStyle name="Header2 2 2 10 4 7 3" xfId="24612"/>
    <cellStyle name="Header2 2 2 10 4 7 4" xfId="33702"/>
    <cellStyle name="Header2 2 2 10 4 8" xfId="17340"/>
    <cellStyle name="Header2 2 2 10 4 8 2" xfId="29157"/>
    <cellStyle name="Header2 2 2 10 4 8 2 2" xfId="39156"/>
    <cellStyle name="Header2 2 2 10 4 8 3" xfId="24915"/>
    <cellStyle name="Header2 2 2 10 4 8 4" xfId="34005"/>
    <cellStyle name="Header2 2 2 10 4 9" xfId="18595"/>
    <cellStyle name="Header2 2 2 10 4 9 2" xfId="30412"/>
    <cellStyle name="Header2 2 2 10 4 9 2 2" xfId="40411"/>
    <cellStyle name="Header2 2 2 10 4 9 3" xfId="26070"/>
    <cellStyle name="Header2 2 2 10 4 9 4" xfId="35260"/>
    <cellStyle name="Header2 2 2 10 5" xfId="15519"/>
    <cellStyle name="Header2 2 2 10 5 2" xfId="19274"/>
    <cellStyle name="Header2 2 2 10 5 2 2" xfId="31091"/>
    <cellStyle name="Header2 2 2 10 5 2 2 2" xfId="41090"/>
    <cellStyle name="Header2 2 2 10 5 2 3" xfId="26749"/>
    <cellStyle name="Header2 2 2 10 5 2 4" xfId="35939"/>
    <cellStyle name="Header2 2 2 10 5 3" xfId="19880"/>
    <cellStyle name="Header2 2 2 10 5 3 2" xfId="31697"/>
    <cellStyle name="Header2 2 2 10 5 3 2 2" xfId="41696"/>
    <cellStyle name="Header2 2 2 10 5 3 3" xfId="27355"/>
    <cellStyle name="Header2 2 2 10 5 3 4" xfId="36545"/>
    <cellStyle name="Header2 2 2 10 5 4" xfId="18126"/>
    <cellStyle name="Header2 2 2 10 5 4 2" xfId="29943"/>
    <cellStyle name="Header2 2 2 10 5 4 2 2" xfId="39942"/>
    <cellStyle name="Header2 2 2 10 5 4 3" xfId="25701"/>
    <cellStyle name="Header2 2 2 10 5 4 4" xfId="34791"/>
    <cellStyle name="Header2 2 2 10 5 5" xfId="20689"/>
    <cellStyle name="Header2 2 2 10 5 5 2" xfId="32506"/>
    <cellStyle name="Header2 2 2 10 5 5 2 2" xfId="42505"/>
    <cellStyle name="Header2 2 2 10 5 5 3" xfId="37354"/>
    <cellStyle name="Header2 2 2 10 5 6" xfId="23397"/>
    <cellStyle name="Header2 2 2 10 5 6 2" xfId="21099"/>
    <cellStyle name="Header2 2 2 10 5 7" xfId="22917"/>
    <cellStyle name="Header2 2 2 10 5 7 2" xfId="22159"/>
    <cellStyle name="Header2 2 2 10 5 8" xfId="22329"/>
    <cellStyle name="Header2 2 2 10 6" xfId="16100"/>
    <cellStyle name="Header2 2 2 10 6 2" xfId="19552"/>
    <cellStyle name="Header2 2 2 10 6 2 2" xfId="31369"/>
    <cellStyle name="Header2 2 2 10 6 2 2 2" xfId="41368"/>
    <cellStyle name="Header2 2 2 10 6 2 3" xfId="27027"/>
    <cellStyle name="Header2 2 2 10 6 2 4" xfId="36217"/>
    <cellStyle name="Header2 2 2 10 6 3" xfId="20158"/>
    <cellStyle name="Header2 2 2 10 6 3 2" xfId="31975"/>
    <cellStyle name="Header2 2 2 10 6 3 2 2" xfId="41974"/>
    <cellStyle name="Header2 2 2 10 6 3 3" xfId="27633"/>
    <cellStyle name="Header2 2 2 10 6 3 4" xfId="36823"/>
    <cellStyle name="Header2 2 2 10 6 4" xfId="18031"/>
    <cellStyle name="Header2 2 2 10 6 4 2" xfId="29848"/>
    <cellStyle name="Header2 2 2 10 6 4 2 2" xfId="39847"/>
    <cellStyle name="Header2 2 2 10 6 4 3" xfId="25606"/>
    <cellStyle name="Header2 2 2 10 6 4 4" xfId="34696"/>
    <cellStyle name="Header2 2 2 10 6 5" xfId="20967"/>
    <cellStyle name="Header2 2 2 10 6 5 2" xfId="32784"/>
    <cellStyle name="Header2 2 2 10 6 5 2 2" xfId="42783"/>
    <cellStyle name="Header2 2 2 10 6 5 3" xfId="37632"/>
    <cellStyle name="Header2 2 2 10 6 6" xfId="27917"/>
    <cellStyle name="Header2 2 2 10 6 6 2" xfId="37916"/>
    <cellStyle name="Header2 2 2 10 6 7" xfId="21430"/>
    <cellStyle name="Header2 2 2 10 7" xfId="15820"/>
    <cellStyle name="Header2 2 2 10 7 2" xfId="27637"/>
    <cellStyle name="Header2 2 2 10 7 2 2" xfId="37636"/>
    <cellStyle name="Header2 2 2 10 7 3" xfId="23698"/>
    <cellStyle name="Header2 2 2 10 7 4" xfId="32788"/>
    <cellStyle name="Header2 2 2 10 8" xfId="16750"/>
    <cellStyle name="Header2 2 2 10 8 2" xfId="28567"/>
    <cellStyle name="Header2 2 2 10 8 2 2" xfId="38566"/>
    <cellStyle name="Header2 2 2 10 8 3" xfId="24325"/>
    <cellStyle name="Header2 2 2 10 8 4" xfId="33415"/>
    <cellStyle name="Header2 2 2 10 9" xfId="16450"/>
    <cellStyle name="Header2 2 2 10 9 2" xfId="28267"/>
    <cellStyle name="Header2 2 2 10 9 2 2" xfId="38266"/>
    <cellStyle name="Header2 2 2 10 9 3" xfId="24025"/>
    <cellStyle name="Header2 2 2 10 9 4" xfId="33115"/>
    <cellStyle name="Header2 2 2 11" xfId="7716"/>
    <cellStyle name="Header2 2 2 11 10" xfId="17038"/>
    <cellStyle name="Header2 2 2 11 10 2" xfId="28855"/>
    <cellStyle name="Header2 2 2 11 10 2 2" xfId="38854"/>
    <cellStyle name="Header2 2 2 11 10 3" xfId="24613"/>
    <cellStyle name="Header2 2 2 11 10 4" xfId="33703"/>
    <cellStyle name="Header2 2 2 11 11" xfId="17341"/>
    <cellStyle name="Header2 2 2 11 11 2" xfId="29158"/>
    <cellStyle name="Header2 2 2 11 11 2 2" xfId="39157"/>
    <cellStyle name="Header2 2 2 11 11 3" xfId="24916"/>
    <cellStyle name="Header2 2 2 11 11 4" xfId="34006"/>
    <cellStyle name="Header2 2 2 11 12" xfId="18594"/>
    <cellStyle name="Header2 2 2 11 12 2" xfId="30411"/>
    <cellStyle name="Header2 2 2 11 12 2 2" xfId="40410"/>
    <cellStyle name="Header2 2 2 11 12 3" xfId="26069"/>
    <cellStyle name="Header2 2 2 11 12 4" xfId="35259"/>
    <cellStyle name="Header2 2 2 11 13" xfId="18942"/>
    <cellStyle name="Header2 2 2 11 13 2" xfId="30759"/>
    <cellStyle name="Header2 2 2 11 13 2 2" xfId="40758"/>
    <cellStyle name="Header2 2 2 11 13 3" xfId="26417"/>
    <cellStyle name="Header2 2 2 11 13 4" xfId="35607"/>
    <cellStyle name="Header2 2 2 11 14" xfId="20257"/>
    <cellStyle name="Header2 2 2 11 14 2" xfId="32074"/>
    <cellStyle name="Header2 2 2 11 14 2 2" xfId="42073"/>
    <cellStyle name="Header2 2 2 11 14 3" xfId="36922"/>
    <cellStyle name="Header2 2 2 11 15" xfId="23386"/>
    <cellStyle name="Header2 2 2 11 15 2" xfId="21107"/>
    <cellStyle name="Header2 2 2 11 16" xfId="22780"/>
    <cellStyle name="Header2 2 2 11 2" xfId="7717"/>
    <cellStyle name="Header2 2 2 11 2 10" xfId="18846"/>
    <cellStyle name="Header2 2 2 11 2 10 2" xfId="30663"/>
    <cellStyle name="Header2 2 2 11 2 10 2 2" xfId="40662"/>
    <cellStyle name="Header2 2 2 11 2 10 3" xfId="26321"/>
    <cellStyle name="Header2 2 2 11 2 10 4" xfId="35511"/>
    <cellStyle name="Header2 2 2 11 2 11" xfId="20354"/>
    <cellStyle name="Header2 2 2 11 2 11 2" xfId="32171"/>
    <cellStyle name="Header2 2 2 11 2 11 2 2" xfId="42170"/>
    <cellStyle name="Header2 2 2 11 2 11 3" xfId="37019"/>
    <cellStyle name="Header2 2 2 11 2 12" xfId="23385"/>
    <cellStyle name="Header2 2 2 11 2 12 2" xfId="21929"/>
    <cellStyle name="Header2 2 2 11 2 13" xfId="22779"/>
    <cellStyle name="Header2 2 2 11 2 2" xfId="15524"/>
    <cellStyle name="Header2 2 2 11 2 2 2" xfId="19269"/>
    <cellStyle name="Header2 2 2 11 2 2 2 2" xfId="31086"/>
    <cellStyle name="Header2 2 2 11 2 2 2 2 2" xfId="41085"/>
    <cellStyle name="Header2 2 2 11 2 2 2 3" xfId="26744"/>
    <cellStyle name="Header2 2 2 11 2 2 2 4" xfId="35934"/>
    <cellStyle name="Header2 2 2 11 2 2 3" xfId="19875"/>
    <cellStyle name="Header2 2 2 11 2 2 3 2" xfId="31692"/>
    <cellStyle name="Header2 2 2 11 2 2 3 2 2" xfId="41691"/>
    <cellStyle name="Header2 2 2 11 2 2 3 3" xfId="27350"/>
    <cellStyle name="Header2 2 2 11 2 2 3 4" xfId="36540"/>
    <cellStyle name="Header2 2 2 11 2 2 4" xfId="18127"/>
    <cellStyle name="Header2 2 2 11 2 2 4 2" xfId="29944"/>
    <cellStyle name="Header2 2 2 11 2 2 4 2 2" xfId="39943"/>
    <cellStyle name="Header2 2 2 11 2 2 4 3" xfId="25702"/>
    <cellStyle name="Header2 2 2 11 2 2 4 4" xfId="34792"/>
    <cellStyle name="Header2 2 2 11 2 2 5" xfId="20684"/>
    <cellStyle name="Header2 2 2 11 2 2 5 2" xfId="32501"/>
    <cellStyle name="Header2 2 2 11 2 2 5 2 2" xfId="42500"/>
    <cellStyle name="Header2 2 2 11 2 2 5 3" xfId="37349"/>
    <cellStyle name="Header2 2 2 11 2 2 6" xfId="23402"/>
    <cellStyle name="Header2 2 2 11 2 2 6 2" xfId="21094"/>
    <cellStyle name="Header2 2 2 11 2 2 7" xfId="22912"/>
    <cellStyle name="Header2 2 2 11 2 2 7 2" xfId="22164"/>
    <cellStyle name="Header2 2 2 11 2 2 8" xfId="22331"/>
    <cellStyle name="Header2 2 2 11 2 3" xfId="16105"/>
    <cellStyle name="Header2 2 2 11 2 3 2" xfId="19522"/>
    <cellStyle name="Header2 2 2 11 2 3 2 2" xfId="31339"/>
    <cellStyle name="Header2 2 2 11 2 3 2 2 2" xfId="41338"/>
    <cellStyle name="Header2 2 2 11 2 3 2 3" xfId="26997"/>
    <cellStyle name="Header2 2 2 11 2 3 2 4" xfId="36187"/>
    <cellStyle name="Header2 2 2 11 2 3 3" xfId="20128"/>
    <cellStyle name="Header2 2 2 11 2 3 3 2" xfId="31945"/>
    <cellStyle name="Header2 2 2 11 2 3 3 2 2" xfId="41944"/>
    <cellStyle name="Header2 2 2 11 2 3 3 3" xfId="27603"/>
    <cellStyle name="Header2 2 2 11 2 3 3 4" xfId="36793"/>
    <cellStyle name="Header2 2 2 11 2 3 4" xfId="17876"/>
    <cellStyle name="Header2 2 2 11 2 3 4 2" xfId="29693"/>
    <cellStyle name="Header2 2 2 11 2 3 4 2 2" xfId="39692"/>
    <cellStyle name="Header2 2 2 11 2 3 4 3" xfId="25451"/>
    <cellStyle name="Header2 2 2 11 2 3 4 4" xfId="34541"/>
    <cellStyle name="Header2 2 2 11 2 3 5" xfId="20937"/>
    <cellStyle name="Header2 2 2 11 2 3 5 2" xfId="32754"/>
    <cellStyle name="Header2 2 2 11 2 3 5 2 2" xfId="42753"/>
    <cellStyle name="Header2 2 2 11 2 3 5 3" xfId="37602"/>
    <cellStyle name="Header2 2 2 11 2 3 6" xfId="27922"/>
    <cellStyle name="Header2 2 2 11 2 3 6 2" xfId="37921"/>
    <cellStyle name="Header2 2 2 11 2 3 7" xfId="21447"/>
    <cellStyle name="Header2 2 2 11 2 4" xfId="15872"/>
    <cellStyle name="Header2 2 2 11 2 4 2" xfId="27689"/>
    <cellStyle name="Header2 2 2 11 2 4 2 2" xfId="37688"/>
    <cellStyle name="Header2 2 2 11 2 4 3" xfId="23750"/>
    <cellStyle name="Header2 2 2 11 2 4 4" xfId="32840"/>
    <cellStyle name="Header2 2 2 11 2 5" xfId="16745"/>
    <cellStyle name="Header2 2 2 11 2 5 2" xfId="28562"/>
    <cellStyle name="Header2 2 2 11 2 5 2 2" xfId="38561"/>
    <cellStyle name="Header2 2 2 11 2 5 3" xfId="24320"/>
    <cellStyle name="Header2 2 2 11 2 5 4" xfId="33410"/>
    <cellStyle name="Header2 2 2 11 2 6" xfId="16998"/>
    <cellStyle name="Header2 2 2 11 2 6 2" xfId="28815"/>
    <cellStyle name="Header2 2 2 11 2 6 2 2" xfId="38814"/>
    <cellStyle name="Header2 2 2 11 2 6 3" xfId="24573"/>
    <cellStyle name="Header2 2 2 11 2 6 4" xfId="33663"/>
    <cellStyle name="Header2 2 2 11 2 7" xfId="17039"/>
    <cellStyle name="Header2 2 2 11 2 7 2" xfId="28856"/>
    <cellStyle name="Header2 2 2 11 2 7 2 2" xfId="38855"/>
    <cellStyle name="Header2 2 2 11 2 7 3" xfId="24614"/>
    <cellStyle name="Header2 2 2 11 2 7 4" xfId="33704"/>
    <cellStyle name="Header2 2 2 11 2 8" xfId="17342"/>
    <cellStyle name="Header2 2 2 11 2 8 2" xfId="29159"/>
    <cellStyle name="Header2 2 2 11 2 8 2 2" xfId="39158"/>
    <cellStyle name="Header2 2 2 11 2 8 3" xfId="24917"/>
    <cellStyle name="Header2 2 2 11 2 8 4" xfId="34007"/>
    <cellStyle name="Header2 2 2 11 2 9" xfId="18593"/>
    <cellStyle name="Header2 2 2 11 2 9 2" xfId="30410"/>
    <cellStyle name="Header2 2 2 11 2 9 2 2" xfId="40409"/>
    <cellStyle name="Header2 2 2 11 2 9 3" xfId="26068"/>
    <cellStyle name="Header2 2 2 11 2 9 4" xfId="35258"/>
    <cellStyle name="Header2 2 2 11 3" xfId="7718"/>
    <cellStyle name="Header2 2 2 11 3 10" xfId="18941"/>
    <cellStyle name="Header2 2 2 11 3 10 2" xfId="30758"/>
    <cellStyle name="Header2 2 2 11 3 10 2 2" xfId="40757"/>
    <cellStyle name="Header2 2 2 11 3 10 3" xfId="26416"/>
    <cellStyle name="Header2 2 2 11 3 10 4" xfId="35606"/>
    <cellStyle name="Header2 2 2 11 3 11" xfId="18203"/>
    <cellStyle name="Header2 2 2 11 3 11 2" xfId="30020"/>
    <cellStyle name="Header2 2 2 11 3 11 2 2" xfId="40019"/>
    <cellStyle name="Header2 2 2 11 3 11 3" xfId="34868"/>
    <cellStyle name="Header2 2 2 11 3 12" xfId="23384"/>
    <cellStyle name="Header2 2 2 11 3 12 2" xfId="21108"/>
    <cellStyle name="Header2 2 2 11 3 13" xfId="22778"/>
    <cellStyle name="Header2 2 2 11 3 2" xfId="15525"/>
    <cellStyle name="Header2 2 2 11 3 2 2" xfId="19268"/>
    <cellStyle name="Header2 2 2 11 3 2 2 2" xfId="31085"/>
    <cellStyle name="Header2 2 2 11 3 2 2 2 2" xfId="41084"/>
    <cellStyle name="Header2 2 2 11 3 2 2 3" xfId="26743"/>
    <cellStyle name="Header2 2 2 11 3 2 2 4" xfId="35933"/>
    <cellStyle name="Header2 2 2 11 3 2 3" xfId="19874"/>
    <cellStyle name="Header2 2 2 11 3 2 3 2" xfId="31691"/>
    <cellStyle name="Header2 2 2 11 3 2 3 2 2" xfId="41690"/>
    <cellStyle name="Header2 2 2 11 3 2 3 3" xfId="27349"/>
    <cellStyle name="Header2 2 2 11 3 2 3 4" xfId="36539"/>
    <cellStyle name="Header2 2 2 11 3 2 4" xfId="17932"/>
    <cellStyle name="Header2 2 2 11 3 2 4 2" xfId="29749"/>
    <cellStyle name="Header2 2 2 11 3 2 4 2 2" xfId="39748"/>
    <cellStyle name="Header2 2 2 11 3 2 4 3" xfId="25507"/>
    <cellStyle name="Header2 2 2 11 3 2 4 4" xfId="34597"/>
    <cellStyle name="Header2 2 2 11 3 2 5" xfId="20683"/>
    <cellStyle name="Header2 2 2 11 3 2 5 2" xfId="32500"/>
    <cellStyle name="Header2 2 2 11 3 2 5 2 2" xfId="42499"/>
    <cellStyle name="Header2 2 2 11 3 2 5 3" xfId="37348"/>
    <cellStyle name="Header2 2 2 11 3 2 6" xfId="23403"/>
    <cellStyle name="Header2 2 2 11 3 2 6 2" xfId="21093"/>
    <cellStyle name="Header2 2 2 11 3 2 7" xfId="22911"/>
    <cellStyle name="Header2 2 2 11 3 2 7 2" xfId="22165"/>
    <cellStyle name="Header2 2 2 11 3 2 8" xfId="21587"/>
    <cellStyle name="Header2 2 2 11 3 3" xfId="16106"/>
    <cellStyle name="Header2 2 2 11 3 3 2" xfId="19548"/>
    <cellStyle name="Header2 2 2 11 3 3 2 2" xfId="31365"/>
    <cellStyle name="Header2 2 2 11 3 3 2 2 2" xfId="41364"/>
    <cellStyle name="Header2 2 2 11 3 3 2 3" xfId="27023"/>
    <cellStyle name="Header2 2 2 11 3 3 2 4" xfId="36213"/>
    <cellStyle name="Header2 2 2 11 3 3 3" xfId="20154"/>
    <cellStyle name="Header2 2 2 11 3 3 3 2" xfId="31971"/>
    <cellStyle name="Header2 2 2 11 3 3 3 2 2" xfId="41970"/>
    <cellStyle name="Header2 2 2 11 3 3 3 3" xfId="27629"/>
    <cellStyle name="Header2 2 2 11 3 3 3 4" xfId="36819"/>
    <cellStyle name="Header2 2 2 11 3 3 4" xfId="18033"/>
    <cellStyle name="Header2 2 2 11 3 3 4 2" xfId="29850"/>
    <cellStyle name="Header2 2 2 11 3 3 4 2 2" xfId="39849"/>
    <cellStyle name="Header2 2 2 11 3 3 4 3" xfId="25608"/>
    <cellStyle name="Header2 2 2 11 3 3 4 4" xfId="34698"/>
    <cellStyle name="Header2 2 2 11 3 3 5" xfId="20963"/>
    <cellStyle name="Header2 2 2 11 3 3 5 2" xfId="32780"/>
    <cellStyle name="Header2 2 2 11 3 3 5 2 2" xfId="42779"/>
    <cellStyle name="Header2 2 2 11 3 3 5 3" xfId="37628"/>
    <cellStyle name="Header2 2 2 11 3 3 6" xfId="27923"/>
    <cellStyle name="Header2 2 2 11 3 3 6 2" xfId="37922"/>
    <cellStyle name="Header2 2 2 11 3 3 7" xfId="21433"/>
    <cellStyle name="Header2 2 2 11 3 4" xfId="15823"/>
    <cellStyle name="Header2 2 2 11 3 4 2" xfId="27640"/>
    <cellStyle name="Header2 2 2 11 3 4 2 2" xfId="37639"/>
    <cellStyle name="Header2 2 2 11 3 4 3" xfId="23701"/>
    <cellStyle name="Header2 2 2 11 3 4 4" xfId="32791"/>
    <cellStyle name="Header2 2 2 11 3 5" xfId="16744"/>
    <cellStyle name="Header2 2 2 11 3 5 2" xfId="28561"/>
    <cellStyle name="Header2 2 2 11 3 5 2 2" xfId="38560"/>
    <cellStyle name="Header2 2 2 11 3 5 3" xfId="24319"/>
    <cellStyle name="Header2 2 2 11 3 5 4" xfId="33409"/>
    <cellStyle name="Header2 2 2 11 3 6" xfId="17027"/>
    <cellStyle name="Header2 2 2 11 3 6 2" xfId="28844"/>
    <cellStyle name="Header2 2 2 11 3 6 2 2" xfId="38843"/>
    <cellStyle name="Header2 2 2 11 3 6 3" xfId="24602"/>
    <cellStyle name="Header2 2 2 11 3 6 4" xfId="33692"/>
    <cellStyle name="Header2 2 2 11 3 7" xfId="17040"/>
    <cellStyle name="Header2 2 2 11 3 7 2" xfId="28857"/>
    <cellStyle name="Header2 2 2 11 3 7 2 2" xfId="38856"/>
    <cellStyle name="Header2 2 2 11 3 7 3" xfId="24615"/>
    <cellStyle name="Header2 2 2 11 3 7 4" xfId="33705"/>
    <cellStyle name="Header2 2 2 11 3 8" xfId="17343"/>
    <cellStyle name="Header2 2 2 11 3 8 2" xfId="29160"/>
    <cellStyle name="Header2 2 2 11 3 8 2 2" xfId="39159"/>
    <cellStyle name="Header2 2 2 11 3 8 3" xfId="24918"/>
    <cellStyle name="Header2 2 2 11 3 8 4" xfId="34008"/>
    <cellStyle name="Header2 2 2 11 3 9" xfId="18592"/>
    <cellStyle name="Header2 2 2 11 3 9 2" xfId="30409"/>
    <cellStyle name="Header2 2 2 11 3 9 2 2" xfId="40408"/>
    <cellStyle name="Header2 2 2 11 3 9 3" xfId="26067"/>
    <cellStyle name="Header2 2 2 11 3 9 4" xfId="35257"/>
    <cellStyle name="Header2 2 2 11 4" xfId="7719"/>
    <cellStyle name="Header2 2 2 11 4 10" xfId="18845"/>
    <cellStyle name="Header2 2 2 11 4 10 2" xfId="30662"/>
    <cellStyle name="Header2 2 2 11 4 10 2 2" xfId="40661"/>
    <cellStyle name="Header2 2 2 11 4 10 3" xfId="26320"/>
    <cellStyle name="Header2 2 2 11 4 10 4" xfId="35510"/>
    <cellStyle name="Header2 2 2 11 4 11" xfId="20256"/>
    <cellStyle name="Header2 2 2 11 4 11 2" xfId="32073"/>
    <cellStyle name="Header2 2 2 11 4 11 2 2" xfId="42072"/>
    <cellStyle name="Header2 2 2 11 4 11 3" xfId="36921"/>
    <cellStyle name="Header2 2 2 11 4 12" xfId="23383"/>
    <cellStyle name="Header2 2 2 11 4 12 2" xfId="21930"/>
    <cellStyle name="Header2 2 2 11 4 13" xfId="22777"/>
    <cellStyle name="Header2 2 2 11 4 2" xfId="15526"/>
    <cellStyle name="Header2 2 2 11 4 2 2" xfId="19267"/>
    <cellStyle name="Header2 2 2 11 4 2 2 2" xfId="31084"/>
    <cellStyle name="Header2 2 2 11 4 2 2 2 2" xfId="41083"/>
    <cellStyle name="Header2 2 2 11 4 2 2 3" xfId="26742"/>
    <cellStyle name="Header2 2 2 11 4 2 2 4" xfId="35932"/>
    <cellStyle name="Header2 2 2 11 4 2 3" xfId="19873"/>
    <cellStyle name="Header2 2 2 11 4 2 3 2" xfId="31690"/>
    <cellStyle name="Header2 2 2 11 4 2 3 2 2" xfId="41689"/>
    <cellStyle name="Header2 2 2 11 4 2 3 3" xfId="27348"/>
    <cellStyle name="Header2 2 2 11 4 2 3 4" xfId="36538"/>
    <cellStyle name="Header2 2 2 11 4 2 4" xfId="17672"/>
    <cellStyle name="Header2 2 2 11 4 2 4 2" xfId="29489"/>
    <cellStyle name="Header2 2 2 11 4 2 4 2 2" xfId="39488"/>
    <cellStyle name="Header2 2 2 11 4 2 4 3" xfId="25247"/>
    <cellStyle name="Header2 2 2 11 4 2 4 4" xfId="34337"/>
    <cellStyle name="Header2 2 2 11 4 2 5" xfId="20682"/>
    <cellStyle name="Header2 2 2 11 4 2 5 2" xfId="32499"/>
    <cellStyle name="Header2 2 2 11 4 2 5 2 2" xfId="42498"/>
    <cellStyle name="Header2 2 2 11 4 2 5 3" xfId="37347"/>
    <cellStyle name="Header2 2 2 11 4 2 6" xfId="23404"/>
    <cellStyle name="Header2 2 2 11 4 2 6 2" xfId="21092"/>
    <cellStyle name="Header2 2 2 11 4 2 7" xfId="22910"/>
    <cellStyle name="Header2 2 2 11 4 2 7 2" xfId="22166"/>
    <cellStyle name="Header2 2 2 11 4 2 8" xfId="21588"/>
    <cellStyle name="Header2 2 2 11 4 3" xfId="16107"/>
    <cellStyle name="Header2 2 2 11 4 3 2" xfId="19521"/>
    <cellStyle name="Header2 2 2 11 4 3 2 2" xfId="31338"/>
    <cellStyle name="Header2 2 2 11 4 3 2 2 2" xfId="41337"/>
    <cellStyle name="Header2 2 2 11 4 3 2 3" xfId="26996"/>
    <cellStyle name="Header2 2 2 11 4 3 2 4" xfId="36186"/>
    <cellStyle name="Header2 2 2 11 4 3 3" xfId="20127"/>
    <cellStyle name="Header2 2 2 11 4 3 3 2" xfId="31944"/>
    <cellStyle name="Header2 2 2 11 4 3 3 2 2" xfId="41943"/>
    <cellStyle name="Header2 2 2 11 4 3 3 3" xfId="27602"/>
    <cellStyle name="Header2 2 2 11 4 3 3 4" xfId="36792"/>
    <cellStyle name="Header2 2 2 11 4 3 4" xfId="17884"/>
    <cellStyle name="Header2 2 2 11 4 3 4 2" xfId="29701"/>
    <cellStyle name="Header2 2 2 11 4 3 4 2 2" xfId="39700"/>
    <cellStyle name="Header2 2 2 11 4 3 4 3" xfId="25459"/>
    <cellStyle name="Header2 2 2 11 4 3 4 4" xfId="34549"/>
    <cellStyle name="Header2 2 2 11 4 3 5" xfId="20936"/>
    <cellStyle name="Header2 2 2 11 4 3 5 2" xfId="32753"/>
    <cellStyle name="Header2 2 2 11 4 3 5 2 2" xfId="42752"/>
    <cellStyle name="Header2 2 2 11 4 3 5 3" xfId="37601"/>
    <cellStyle name="Header2 2 2 11 4 3 6" xfId="27924"/>
    <cellStyle name="Header2 2 2 11 4 3 6 2" xfId="37923"/>
    <cellStyle name="Header2 2 2 11 4 3 7" xfId="21448"/>
    <cellStyle name="Header2 2 2 11 4 4" xfId="15873"/>
    <cellStyle name="Header2 2 2 11 4 4 2" xfId="27690"/>
    <cellStyle name="Header2 2 2 11 4 4 2 2" xfId="37689"/>
    <cellStyle name="Header2 2 2 11 4 4 3" xfId="23751"/>
    <cellStyle name="Header2 2 2 11 4 4 4" xfId="32841"/>
    <cellStyle name="Header2 2 2 11 4 5" xfId="16743"/>
    <cellStyle name="Header2 2 2 11 4 5 2" xfId="28560"/>
    <cellStyle name="Header2 2 2 11 4 5 2 2" xfId="38559"/>
    <cellStyle name="Header2 2 2 11 4 5 3" xfId="24318"/>
    <cellStyle name="Header2 2 2 11 4 5 4" xfId="33408"/>
    <cellStyle name="Header2 2 2 11 4 6" xfId="16997"/>
    <cellStyle name="Header2 2 2 11 4 6 2" xfId="28814"/>
    <cellStyle name="Header2 2 2 11 4 6 2 2" xfId="38813"/>
    <cellStyle name="Header2 2 2 11 4 6 3" xfId="24572"/>
    <cellStyle name="Header2 2 2 11 4 6 4" xfId="33662"/>
    <cellStyle name="Header2 2 2 11 4 7" xfId="17041"/>
    <cellStyle name="Header2 2 2 11 4 7 2" xfId="28858"/>
    <cellStyle name="Header2 2 2 11 4 7 2 2" xfId="38857"/>
    <cellStyle name="Header2 2 2 11 4 7 3" xfId="24616"/>
    <cellStyle name="Header2 2 2 11 4 7 4" xfId="33706"/>
    <cellStyle name="Header2 2 2 11 4 8" xfId="17344"/>
    <cellStyle name="Header2 2 2 11 4 8 2" xfId="29161"/>
    <cellStyle name="Header2 2 2 11 4 8 2 2" xfId="39160"/>
    <cellStyle name="Header2 2 2 11 4 8 3" xfId="24919"/>
    <cellStyle name="Header2 2 2 11 4 8 4" xfId="34009"/>
    <cellStyle name="Header2 2 2 11 4 9" xfId="18591"/>
    <cellStyle name="Header2 2 2 11 4 9 2" xfId="30408"/>
    <cellStyle name="Header2 2 2 11 4 9 2 2" xfId="40407"/>
    <cellStyle name="Header2 2 2 11 4 9 3" xfId="26066"/>
    <cellStyle name="Header2 2 2 11 4 9 4" xfId="35256"/>
    <cellStyle name="Header2 2 2 11 5" xfId="15523"/>
    <cellStyle name="Header2 2 2 11 5 2" xfId="19270"/>
    <cellStyle name="Header2 2 2 11 5 2 2" xfId="31087"/>
    <cellStyle name="Header2 2 2 11 5 2 2 2" xfId="41086"/>
    <cellStyle name="Header2 2 2 11 5 2 3" xfId="26745"/>
    <cellStyle name="Header2 2 2 11 5 2 4" xfId="35935"/>
    <cellStyle name="Header2 2 2 11 5 3" xfId="19876"/>
    <cellStyle name="Header2 2 2 11 5 3 2" xfId="31693"/>
    <cellStyle name="Header2 2 2 11 5 3 2 2" xfId="41692"/>
    <cellStyle name="Header2 2 2 11 5 3 3" xfId="27351"/>
    <cellStyle name="Header2 2 2 11 5 3 4" xfId="36541"/>
    <cellStyle name="Header2 2 2 11 5 4" xfId="17671"/>
    <cellStyle name="Header2 2 2 11 5 4 2" xfId="29488"/>
    <cellStyle name="Header2 2 2 11 5 4 2 2" xfId="39487"/>
    <cellStyle name="Header2 2 2 11 5 4 3" xfId="25246"/>
    <cellStyle name="Header2 2 2 11 5 4 4" xfId="34336"/>
    <cellStyle name="Header2 2 2 11 5 5" xfId="20685"/>
    <cellStyle name="Header2 2 2 11 5 5 2" xfId="32502"/>
    <cellStyle name="Header2 2 2 11 5 5 2 2" xfId="42501"/>
    <cellStyle name="Header2 2 2 11 5 5 3" xfId="37350"/>
    <cellStyle name="Header2 2 2 11 5 6" xfId="23401"/>
    <cellStyle name="Header2 2 2 11 5 6 2" xfId="21095"/>
    <cellStyle name="Header2 2 2 11 5 7" xfId="22913"/>
    <cellStyle name="Header2 2 2 11 5 7 2" xfId="22163"/>
    <cellStyle name="Header2 2 2 11 5 8" xfId="21586"/>
    <cellStyle name="Header2 2 2 11 6" xfId="16104"/>
    <cellStyle name="Header2 2 2 11 6 2" xfId="19549"/>
    <cellStyle name="Header2 2 2 11 6 2 2" xfId="31366"/>
    <cellStyle name="Header2 2 2 11 6 2 2 2" xfId="41365"/>
    <cellStyle name="Header2 2 2 11 6 2 3" xfId="27024"/>
    <cellStyle name="Header2 2 2 11 6 2 4" xfId="36214"/>
    <cellStyle name="Header2 2 2 11 6 3" xfId="20155"/>
    <cellStyle name="Header2 2 2 11 6 3 2" xfId="31972"/>
    <cellStyle name="Header2 2 2 11 6 3 2 2" xfId="41971"/>
    <cellStyle name="Header2 2 2 11 6 3 3" xfId="27630"/>
    <cellStyle name="Header2 2 2 11 6 3 4" xfId="36820"/>
    <cellStyle name="Header2 2 2 11 6 4" xfId="17744"/>
    <cellStyle name="Header2 2 2 11 6 4 2" xfId="29561"/>
    <cellStyle name="Header2 2 2 11 6 4 2 2" xfId="39560"/>
    <cellStyle name="Header2 2 2 11 6 4 3" xfId="25319"/>
    <cellStyle name="Header2 2 2 11 6 4 4" xfId="34409"/>
    <cellStyle name="Header2 2 2 11 6 5" xfId="20964"/>
    <cellStyle name="Header2 2 2 11 6 5 2" xfId="32781"/>
    <cellStyle name="Header2 2 2 11 6 5 2 2" xfId="42780"/>
    <cellStyle name="Header2 2 2 11 6 5 3" xfId="37629"/>
    <cellStyle name="Header2 2 2 11 6 6" xfId="27921"/>
    <cellStyle name="Header2 2 2 11 6 6 2" xfId="37920"/>
    <cellStyle name="Header2 2 2 11 6 7" xfId="21432"/>
    <cellStyle name="Header2 2 2 11 7" xfId="15859"/>
    <cellStyle name="Header2 2 2 11 7 2" xfId="27676"/>
    <cellStyle name="Header2 2 2 11 7 2 2" xfId="37675"/>
    <cellStyle name="Header2 2 2 11 7 3" xfId="23737"/>
    <cellStyle name="Header2 2 2 11 7 4" xfId="32827"/>
    <cellStyle name="Header2 2 2 11 8" xfId="16746"/>
    <cellStyle name="Header2 2 2 11 8 2" xfId="28563"/>
    <cellStyle name="Header2 2 2 11 8 2 2" xfId="38562"/>
    <cellStyle name="Header2 2 2 11 8 3" xfId="24321"/>
    <cellStyle name="Header2 2 2 11 8 4" xfId="33411"/>
    <cellStyle name="Header2 2 2 11 9" xfId="16448"/>
    <cellStyle name="Header2 2 2 11 9 2" xfId="28265"/>
    <cellStyle name="Header2 2 2 11 9 2 2" xfId="38264"/>
    <cellStyle name="Header2 2 2 11 9 3" xfId="24023"/>
    <cellStyle name="Header2 2 2 11 9 4" xfId="33113"/>
    <cellStyle name="Header2 2 2 12" xfId="7720"/>
    <cellStyle name="Header2 2 2 12 10" xfId="17875"/>
    <cellStyle name="Header2 2 2 12 10 2" xfId="29692"/>
    <cellStyle name="Header2 2 2 12 10 2 2" xfId="39691"/>
    <cellStyle name="Header2 2 2 12 10 3" xfId="25450"/>
    <cellStyle name="Header2 2 2 12 10 4" xfId="34540"/>
    <cellStyle name="Header2 2 2 12 11" xfId="20353"/>
    <cellStyle name="Header2 2 2 12 11 2" xfId="32170"/>
    <cellStyle name="Header2 2 2 12 11 2 2" xfId="42169"/>
    <cellStyle name="Header2 2 2 12 11 3" xfId="37018"/>
    <cellStyle name="Header2 2 2 12 12" xfId="23382"/>
    <cellStyle name="Header2 2 2 12 12 2" xfId="21931"/>
    <cellStyle name="Header2 2 2 12 13" xfId="22776"/>
    <cellStyle name="Header2 2 2 12 2" xfId="15527"/>
    <cellStyle name="Header2 2 2 12 2 2" xfId="19266"/>
    <cellStyle name="Header2 2 2 12 2 2 2" xfId="31083"/>
    <cellStyle name="Header2 2 2 12 2 2 2 2" xfId="41082"/>
    <cellStyle name="Header2 2 2 12 2 2 3" xfId="26741"/>
    <cellStyle name="Header2 2 2 12 2 2 4" xfId="35931"/>
    <cellStyle name="Header2 2 2 12 2 3" xfId="19872"/>
    <cellStyle name="Header2 2 2 12 2 3 2" xfId="31689"/>
    <cellStyle name="Header2 2 2 12 2 3 2 2" xfId="41688"/>
    <cellStyle name="Header2 2 2 12 2 3 3" xfId="27347"/>
    <cellStyle name="Header2 2 2 12 2 3 4" xfId="36537"/>
    <cellStyle name="Header2 2 2 12 2 4" xfId="17673"/>
    <cellStyle name="Header2 2 2 12 2 4 2" xfId="29490"/>
    <cellStyle name="Header2 2 2 12 2 4 2 2" xfId="39489"/>
    <cellStyle name="Header2 2 2 12 2 4 3" xfId="25248"/>
    <cellStyle name="Header2 2 2 12 2 4 4" xfId="34338"/>
    <cellStyle name="Header2 2 2 12 2 5" xfId="20681"/>
    <cellStyle name="Header2 2 2 12 2 5 2" xfId="32498"/>
    <cellStyle name="Header2 2 2 12 2 5 2 2" xfId="42497"/>
    <cellStyle name="Header2 2 2 12 2 5 3" xfId="37346"/>
    <cellStyle name="Header2 2 2 12 2 6" xfId="23405"/>
    <cellStyle name="Header2 2 2 12 2 6 2" xfId="21925"/>
    <cellStyle name="Header2 2 2 12 2 7" xfId="23089"/>
    <cellStyle name="Header2 2 2 12 2 7 2" xfId="22050"/>
    <cellStyle name="Header2 2 2 12 2 8" xfId="21589"/>
    <cellStyle name="Header2 2 2 12 3" xfId="16108"/>
    <cellStyle name="Header2 2 2 12 3 2" xfId="18974"/>
    <cellStyle name="Header2 2 2 12 3 2 2" xfId="30791"/>
    <cellStyle name="Header2 2 2 12 3 2 2 2" xfId="40790"/>
    <cellStyle name="Header2 2 2 12 3 2 3" xfId="26449"/>
    <cellStyle name="Header2 2 2 12 3 2 4" xfId="35639"/>
    <cellStyle name="Header2 2 2 12 3 3" xfId="19580"/>
    <cellStyle name="Header2 2 2 12 3 3 2" xfId="31397"/>
    <cellStyle name="Header2 2 2 12 3 3 2 2" xfId="41396"/>
    <cellStyle name="Header2 2 2 12 3 3 3" xfId="27055"/>
    <cellStyle name="Header2 2 2 12 3 3 4" xfId="36245"/>
    <cellStyle name="Header2 2 2 12 3 4" xfId="17837"/>
    <cellStyle name="Header2 2 2 12 3 4 2" xfId="29654"/>
    <cellStyle name="Header2 2 2 12 3 4 2 2" xfId="39653"/>
    <cellStyle name="Header2 2 2 12 3 4 3" xfId="25412"/>
    <cellStyle name="Header2 2 2 12 3 4 4" xfId="34502"/>
    <cellStyle name="Header2 2 2 12 3 5" xfId="20389"/>
    <cellStyle name="Header2 2 2 12 3 5 2" xfId="32206"/>
    <cellStyle name="Header2 2 2 12 3 5 2 2" xfId="42205"/>
    <cellStyle name="Header2 2 2 12 3 5 3" xfId="37054"/>
    <cellStyle name="Header2 2 2 12 3 6" xfId="27925"/>
    <cellStyle name="Header2 2 2 12 3 6 2" xfId="37924"/>
    <cellStyle name="Header2 2 2 12 3 7" xfId="22480"/>
    <cellStyle name="Header2 2 2 12 4" xfId="16400"/>
    <cellStyle name="Header2 2 2 12 4 2" xfId="28217"/>
    <cellStyle name="Header2 2 2 12 4 2 2" xfId="38216"/>
    <cellStyle name="Header2 2 2 12 4 3" xfId="23975"/>
    <cellStyle name="Header2 2 2 12 4 4" xfId="33065"/>
    <cellStyle name="Header2 2 2 12 5" xfId="16742"/>
    <cellStyle name="Header2 2 2 12 5 2" xfId="28559"/>
    <cellStyle name="Header2 2 2 12 5 2 2" xfId="38558"/>
    <cellStyle name="Header2 2 2 12 5 3" xfId="24317"/>
    <cellStyle name="Header2 2 2 12 5 4" xfId="33407"/>
    <cellStyle name="Header2 2 2 12 6" xfId="16447"/>
    <cellStyle name="Header2 2 2 12 6 2" xfId="28264"/>
    <cellStyle name="Header2 2 2 12 6 2 2" xfId="38263"/>
    <cellStyle name="Header2 2 2 12 6 3" xfId="24022"/>
    <cellStyle name="Header2 2 2 12 6 4" xfId="33112"/>
    <cellStyle name="Header2 2 2 12 7" xfId="17042"/>
    <cellStyle name="Header2 2 2 12 7 2" xfId="28859"/>
    <cellStyle name="Header2 2 2 12 7 2 2" xfId="38858"/>
    <cellStyle name="Header2 2 2 12 7 3" xfId="24617"/>
    <cellStyle name="Header2 2 2 12 7 4" xfId="33707"/>
    <cellStyle name="Header2 2 2 12 8" xfId="17345"/>
    <cellStyle name="Header2 2 2 12 8 2" xfId="29162"/>
    <cellStyle name="Header2 2 2 12 8 2 2" xfId="39161"/>
    <cellStyle name="Header2 2 2 12 8 3" xfId="24920"/>
    <cellStyle name="Header2 2 2 12 8 4" xfId="34010"/>
    <cellStyle name="Header2 2 2 12 9" xfId="18590"/>
    <cellStyle name="Header2 2 2 12 9 2" xfId="30407"/>
    <cellStyle name="Header2 2 2 12 9 2 2" xfId="40406"/>
    <cellStyle name="Header2 2 2 12 9 3" xfId="26065"/>
    <cellStyle name="Header2 2 2 12 9 4" xfId="35255"/>
    <cellStyle name="Header2 2 2 13" xfId="15518"/>
    <cellStyle name="Header2 2 2 13 2" xfId="19275"/>
    <cellStyle name="Header2 2 2 13 2 2" xfId="31092"/>
    <cellStyle name="Header2 2 2 13 2 2 2" xfId="41091"/>
    <cellStyle name="Header2 2 2 13 2 3" xfId="26750"/>
    <cellStyle name="Header2 2 2 13 2 4" xfId="35940"/>
    <cellStyle name="Header2 2 2 13 3" xfId="19881"/>
    <cellStyle name="Header2 2 2 13 3 2" xfId="31698"/>
    <cellStyle name="Header2 2 2 13 3 2 2" xfId="41697"/>
    <cellStyle name="Header2 2 2 13 3 3" xfId="27356"/>
    <cellStyle name="Header2 2 2 13 3 4" xfId="36546"/>
    <cellStyle name="Header2 2 2 13 4" xfId="17805"/>
    <cellStyle name="Header2 2 2 13 4 2" xfId="29622"/>
    <cellStyle name="Header2 2 2 13 4 2 2" xfId="39621"/>
    <cellStyle name="Header2 2 2 13 4 3" xfId="25380"/>
    <cellStyle name="Header2 2 2 13 4 4" xfId="34470"/>
    <cellStyle name="Header2 2 2 13 5" xfId="20690"/>
    <cellStyle name="Header2 2 2 13 5 2" xfId="32507"/>
    <cellStyle name="Header2 2 2 13 5 2 2" xfId="42506"/>
    <cellStyle name="Header2 2 2 13 5 3" xfId="37355"/>
    <cellStyle name="Header2 2 2 13 6" xfId="23396"/>
    <cellStyle name="Header2 2 2 13 6 2" xfId="21100"/>
    <cellStyle name="Header2 2 2 13 7" xfId="22918"/>
    <cellStyle name="Header2 2 2 13 7 2" xfId="22158"/>
    <cellStyle name="Header2 2 2 13 8" xfId="22328"/>
    <cellStyle name="Header2 2 2 14" xfId="16099"/>
    <cellStyle name="Header2 2 2 14 2" xfId="19553"/>
    <cellStyle name="Header2 2 2 14 2 2" xfId="31370"/>
    <cellStyle name="Header2 2 2 14 2 2 2" xfId="41369"/>
    <cellStyle name="Header2 2 2 14 2 3" xfId="27028"/>
    <cellStyle name="Header2 2 2 14 2 4" xfId="36218"/>
    <cellStyle name="Header2 2 2 14 3" xfId="20159"/>
    <cellStyle name="Header2 2 2 14 3 2" xfId="31976"/>
    <cellStyle name="Header2 2 2 14 3 2 2" xfId="41975"/>
    <cellStyle name="Header2 2 2 14 3 3" xfId="27634"/>
    <cellStyle name="Header2 2 2 14 3 4" xfId="36824"/>
    <cellStyle name="Header2 2 2 14 4" xfId="17637"/>
    <cellStyle name="Header2 2 2 14 4 2" xfId="29454"/>
    <cellStyle name="Header2 2 2 14 4 2 2" xfId="39453"/>
    <cellStyle name="Header2 2 2 14 4 3" xfId="25212"/>
    <cellStyle name="Header2 2 2 14 4 4" xfId="34302"/>
    <cellStyle name="Header2 2 2 14 5" xfId="20968"/>
    <cellStyle name="Header2 2 2 14 5 2" xfId="32785"/>
    <cellStyle name="Header2 2 2 14 5 2 2" xfId="42784"/>
    <cellStyle name="Header2 2 2 14 5 3" xfId="37633"/>
    <cellStyle name="Header2 2 2 14 6" xfId="27916"/>
    <cellStyle name="Header2 2 2 14 6 2" xfId="37915"/>
    <cellStyle name="Header2 2 2 14 7" xfId="21429"/>
    <cellStyle name="Header2 2 2 15" xfId="15858"/>
    <cellStyle name="Header2 2 2 15 2" xfId="27675"/>
    <cellStyle name="Header2 2 2 15 2 2" xfId="37674"/>
    <cellStyle name="Header2 2 2 15 3" xfId="23736"/>
    <cellStyle name="Header2 2 2 15 4" xfId="32826"/>
    <cellStyle name="Header2 2 2 16" xfId="16751"/>
    <cellStyle name="Header2 2 2 16 2" xfId="28568"/>
    <cellStyle name="Header2 2 2 16 2 2" xfId="38567"/>
    <cellStyle name="Header2 2 2 16 3" xfId="24326"/>
    <cellStyle name="Header2 2 2 16 4" xfId="33416"/>
    <cellStyle name="Header2 2 2 17" xfId="17029"/>
    <cellStyle name="Header2 2 2 17 2" xfId="28846"/>
    <cellStyle name="Header2 2 2 17 2 2" xfId="38845"/>
    <cellStyle name="Header2 2 2 17 3" xfId="24604"/>
    <cellStyle name="Header2 2 2 17 4" xfId="33694"/>
    <cellStyle name="Header2 2 2 18" xfId="17033"/>
    <cellStyle name="Header2 2 2 18 2" xfId="28850"/>
    <cellStyle name="Header2 2 2 18 2 2" xfId="38849"/>
    <cellStyle name="Header2 2 2 18 3" xfId="24608"/>
    <cellStyle name="Header2 2 2 18 4" xfId="33698"/>
    <cellStyle name="Header2 2 2 19" xfId="17336"/>
    <cellStyle name="Header2 2 2 19 2" xfId="29153"/>
    <cellStyle name="Header2 2 2 19 2 2" xfId="39152"/>
    <cellStyle name="Header2 2 2 19 3" xfId="24911"/>
    <cellStyle name="Header2 2 2 19 4" xfId="34001"/>
    <cellStyle name="Header2 2 2 2" xfId="7721"/>
    <cellStyle name="Header2 2 2 2 10" xfId="16996"/>
    <cellStyle name="Header2 2 2 2 10 2" xfId="28813"/>
    <cellStyle name="Header2 2 2 2 10 2 2" xfId="38812"/>
    <cellStyle name="Header2 2 2 2 10 3" xfId="24571"/>
    <cellStyle name="Header2 2 2 2 10 4" xfId="33661"/>
    <cellStyle name="Header2 2 2 2 11" xfId="17043"/>
    <cellStyle name="Header2 2 2 2 11 2" xfId="28860"/>
    <cellStyle name="Header2 2 2 2 11 2 2" xfId="38859"/>
    <cellStyle name="Header2 2 2 2 11 3" xfId="24618"/>
    <cellStyle name="Header2 2 2 2 11 4" xfId="33708"/>
    <cellStyle name="Header2 2 2 2 12" xfId="17346"/>
    <cellStyle name="Header2 2 2 2 12 2" xfId="29163"/>
    <cellStyle name="Header2 2 2 2 12 2 2" xfId="39162"/>
    <cellStyle name="Header2 2 2 2 12 3" xfId="24921"/>
    <cellStyle name="Header2 2 2 2 12 4" xfId="34011"/>
    <cellStyle name="Header2 2 2 2 13" xfId="18589"/>
    <cellStyle name="Header2 2 2 2 13 2" xfId="30406"/>
    <cellStyle name="Header2 2 2 2 13 2 2" xfId="40405"/>
    <cellStyle name="Header2 2 2 2 13 3" xfId="26064"/>
    <cellStyle name="Header2 2 2 2 13 4" xfId="35254"/>
    <cellStyle name="Header2 2 2 2 14" xfId="18844"/>
    <cellStyle name="Header2 2 2 2 14 2" xfId="30661"/>
    <cellStyle name="Header2 2 2 2 14 2 2" xfId="40660"/>
    <cellStyle name="Header2 2 2 2 14 3" xfId="26319"/>
    <cellStyle name="Header2 2 2 2 14 4" xfId="35509"/>
    <cellStyle name="Header2 2 2 2 15" xfId="20259"/>
    <cellStyle name="Header2 2 2 2 15 2" xfId="32076"/>
    <cellStyle name="Header2 2 2 2 15 2 2" xfId="42075"/>
    <cellStyle name="Header2 2 2 2 15 3" xfId="36924"/>
    <cellStyle name="Header2 2 2 2 16" xfId="23381"/>
    <cellStyle name="Header2 2 2 2 16 2" xfId="21932"/>
    <cellStyle name="Header2 2 2 2 17" xfId="22775"/>
    <cellStyle name="Header2 2 2 2 2" xfId="7722"/>
    <cellStyle name="Header2 2 2 2 2 10" xfId="17044"/>
    <cellStyle name="Header2 2 2 2 2 10 2" xfId="28861"/>
    <cellStyle name="Header2 2 2 2 2 10 2 2" xfId="38860"/>
    <cellStyle name="Header2 2 2 2 2 10 3" xfId="24619"/>
    <cellStyle name="Header2 2 2 2 2 10 4" xfId="33709"/>
    <cellStyle name="Header2 2 2 2 2 11" xfId="17347"/>
    <cellStyle name="Header2 2 2 2 2 11 2" xfId="29164"/>
    <cellStyle name="Header2 2 2 2 2 11 2 2" xfId="39163"/>
    <cellStyle name="Header2 2 2 2 2 11 3" xfId="24922"/>
    <cellStyle name="Header2 2 2 2 2 11 4" xfId="34012"/>
    <cellStyle name="Header2 2 2 2 2 12" xfId="18588"/>
    <cellStyle name="Header2 2 2 2 2 12 2" xfId="30405"/>
    <cellStyle name="Header2 2 2 2 2 12 2 2" xfId="40404"/>
    <cellStyle name="Header2 2 2 2 2 12 3" xfId="26063"/>
    <cellStyle name="Header2 2 2 2 2 12 4" xfId="35253"/>
    <cellStyle name="Header2 2 2 2 2 13" xfId="18843"/>
    <cellStyle name="Header2 2 2 2 2 13 2" xfId="30660"/>
    <cellStyle name="Header2 2 2 2 2 13 2 2" xfId="40659"/>
    <cellStyle name="Header2 2 2 2 2 13 3" xfId="26318"/>
    <cellStyle name="Header2 2 2 2 2 13 4" xfId="35508"/>
    <cellStyle name="Header2 2 2 2 2 14" xfId="20356"/>
    <cellStyle name="Header2 2 2 2 2 14 2" xfId="32173"/>
    <cellStyle name="Header2 2 2 2 2 14 2 2" xfId="42172"/>
    <cellStyle name="Header2 2 2 2 2 14 3" xfId="37021"/>
    <cellStyle name="Header2 2 2 2 2 15" xfId="23380"/>
    <cellStyle name="Header2 2 2 2 2 15 2" xfId="21109"/>
    <cellStyle name="Header2 2 2 2 2 16" xfId="22774"/>
    <cellStyle name="Header2 2 2 2 2 2" xfId="7723"/>
    <cellStyle name="Header2 2 2 2 2 2 10" xfId="17045"/>
    <cellStyle name="Header2 2 2 2 2 2 10 2" xfId="28862"/>
    <cellStyle name="Header2 2 2 2 2 2 10 2 2" xfId="38861"/>
    <cellStyle name="Header2 2 2 2 2 2 10 3" xfId="24620"/>
    <cellStyle name="Header2 2 2 2 2 2 10 4" xfId="33710"/>
    <cellStyle name="Header2 2 2 2 2 2 11" xfId="17348"/>
    <cellStyle name="Header2 2 2 2 2 2 11 2" xfId="29165"/>
    <cellStyle name="Header2 2 2 2 2 2 11 2 2" xfId="39164"/>
    <cellStyle name="Header2 2 2 2 2 2 11 3" xfId="24923"/>
    <cellStyle name="Header2 2 2 2 2 2 11 4" xfId="34013"/>
    <cellStyle name="Header2 2 2 2 2 2 12" xfId="18587"/>
    <cellStyle name="Header2 2 2 2 2 2 12 2" xfId="30404"/>
    <cellStyle name="Header2 2 2 2 2 2 12 2 2" xfId="40403"/>
    <cellStyle name="Header2 2 2 2 2 2 12 3" xfId="26062"/>
    <cellStyle name="Header2 2 2 2 2 2 12 4" xfId="35252"/>
    <cellStyle name="Header2 2 2 2 2 2 13" xfId="18842"/>
    <cellStyle name="Header2 2 2 2 2 2 13 2" xfId="30659"/>
    <cellStyle name="Header2 2 2 2 2 2 13 2 2" xfId="40658"/>
    <cellStyle name="Header2 2 2 2 2 2 13 3" xfId="26317"/>
    <cellStyle name="Header2 2 2 2 2 2 13 4" xfId="35507"/>
    <cellStyle name="Header2 2 2 2 2 2 14" xfId="18204"/>
    <cellStyle name="Header2 2 2 2 2 2 14 2" xfId="30021"/>
    <cellStyle name="Header2 2 2 2 2 2 14 2 2" xfId="40020"/>
    <cellStyle name="Header2 2 2 2 2 2 14 3" xfId="34869"/>
    <cellStyle name="Header2 2 2 2 2 2 15" xfId="23379"/>
    <cellStyle name="Header2 2 2 2 2 2 15 2" xfId="21110"/>
    <cellStyle name="Header2 2 2 2 2 2 16" xfId="22773"/>
    <cellStyle name="Header2 2 2 2 2 2 2" xfId="7724"/>
    <cellStyle name="Header2 2 2 2 2 2 2 10" xfId="17874"/>
    <cellStyle name="Header2 2 2 2 2 2 2 10 2" xfId="29691"/>
    <cellStyle name="Header2 2 2 2 2 2 2 10 2 2" xfId="39690"/>
    <cellStyle name="Header2 2 2 2 2 2 2 10 3" xfId="25449"/>
    <cellStyle name="Header2 2 2 2 2 2 2 10 4" xfId="34539"/>
    <cellStyle name="Header2 2 2 2 2 2 2 11" xfId="18205"/>
    <cellStyle name="Header2 2 2 2 2 2 2 11 2" xfId="30022"/>
    <cellStyle name="Header2 2 2 2 2 2 2 11 2 2" xfId="40021"/>
    <cellStyle name="Header2 2 2 2 2 2 2 11 3" xfId="34870"/>
    <cellStyle name="Header2 2 2 2 2 2 2 12" xfId="23378"/>
    <cellStyle name="Header2 2 2 2 2 2 2 12 2" xfId="21933"/>
    <cellStyle name="Header2 2 2 2 2 2 2 13" xfId="22772"/>
    <cellStyle name="Header2 2 2 2 2 2 2 2" xfId="15531"/>
    <cellStyle name="Header2 2 2 2 2 2 2 2 2" xfId="19262"/>
    <cellStyle name="Header2 2 2 2 2 2 2 2 2 2" xfId="31079"/>
    <cellStyle name="Header2 2 2 2 2 2 2 2 2 2 2" xfId="41078"/>
    <cellStyle name="Header2 2 2 2 2 2 2 2 2 3" xfId="26737"/>
    <cellStyle name="Header2 2 2 2 2 2 2 2 2 4" xfId="35927"/>
    <cellStyle name="Header2 2 2 2 2 2 2 2 3" xfId="19868"/>
    <cellStyle name="Header2 2 2 2 2 2 2 2 3 2" xfId="31685"/>
    <cellStyle name="Header2 2 2 2 2 2 2 2 3 2 2" xfId="41684"/>
    <cellStyle name="Header2 2 2 2 2 2 2 2 3 3" xfId="27343"/>
    <cellStyle name="Header2 2 2 2 2 2 2 2 3 4" xfId="36533"/>
    <cellStyle name="Header2 2 2 2 2 2 2 2 4" xfId="17675"/>
    <cellStyle name="Header2 2 2 2 2 2 2 2 4 2" xfId="29492"/>
    <cellStyle name="Header2 2 2 2 2 2 2 2 4 2 2" xfId="39491"/>
    <cellStyle name="Header2 2 2 2 2 2 2 2 4 3" xfId="25250"/>
    <cellStyle name="Header2 2 2 2 2 2 2 2 4 4" xfId="34340"/>
    <cellStyle name="Header2 2 2 2 2 2 2 2 5" xfId="20677"/>
    <cellStyle name="Header2 2 2 2 2 2 2 2 5 2" xfId="32494"/>
    <cellStyle name="Header2 2 2 2 2 2 2 2 5 2 2" xfId="42493"/>
    <cellStyle name="Header2 2 2 2 2 2 2 2 5 3" xfId="37342"/>
    <cellStyle name="Header2 2 2 2 2 2 2 2 6" xfId="23409"/>
    <cellStyle name="Header2 2 2 2 2 2 2 2 6 2" xfId="21088"/>
    <cellStyle name="Header2 2 2 2 2 2 2 2 7" xfId="22906"/>
    <cellStyle name="Header2 2 2 2 2 2 2 2 7 2" xfId="22170"/>
    <cellStyle name="Header2 2 2 2 2 2 2 2 8" xfId="21591"/>
    <cellStyle name="Header2 2 2 2 2 2 2 3" xfId="16112"/>
    <cellStyle name="Header2 2 2 2 2 2 2 3 2" xfId="18973"/>
    <cellStyle name="Header2 2 2 2 2 2 2 3 2 2" xfId="30790"/>
    <cellStyle name="Header2 2 2 2 2 2 2 3 2 2 2" xfId="40789"/>
    <cellStyle name="Header2 2 2 2 2 2 2 3 2 3" xfId="26448"/>
    <cellStyle name="Header2 2 2 2 2 2 2 3 2 4" xfId="35638"/>
    <cellStyle name="Header2 2 2 2 2 2 2 3 3" xfId="19579"/>
    <cellStyle name="Header2 2 2 2 2 2 2 3 3 2" xfId="31396"/>
    <cellStyle name="Header2 2 2 2 2 2 2 3 3 2 2" xfId="41395"/>
    <cellStyle name="Header2 2 2 2 2 2 2 3 3 3" xfId="27054"/>
    <cellStyle name="Header2 2 2 2 2 2 2 3 3 4" xfId="36244"/>
    <cellStyle name="Header2 2 2 2 2 2 2 3 4" xfId="17734"/>
    <cellStyle name="Header2 2 2 2 2 2 2 3 4 2" xfId="29551"/>
    <cellStyle name="Header2 2 2 2 2 2 2 3 4 2 2" xfId="39550"/>
    <cellStyle name="Header2 2 2 2 2 2 2 3 4 3" xfId="25309"/>
    <cellStyle name="Header2 2 2 2 2 2 2 3 4 4" xfId="34399"/>
    <cellStyle name="Header2 2 2 2 2 2 2 3 5" xfId="20388"/>
    <cellStyle name="Header2 2 2 2 2 2 2 3 5 2" xfId="32205"/>
    <cellStyle name="Header2 2 2 2 2 2 2 3 5 2 2" xfId="42204"/>
    <cellStyle name="Header2 2 2 2 2 2 2 3 5 3" xfId="37053"/>
    <cellStyle name="Header2 2 2 2 2 2 2 3 6" xfId="27929"/>
    <cellStyle name="Header2 2 2 2 2 2 2 3 6 2" xfId="37928"/>
    <cellStyle name="Header2 2 2 2 2 2 2 3 7" xfId="21733"/>
    <cellStyle name="Header2 2 2 2 2 2 2 4" xfId="16401"/>
    <cellStyle name="Header2 2 2 2 2 2 2 4 2" xfId="28218"/>
    <cellStyle name="Header2 2 2 2 2 2 2 4 2 2" xfId="38217"/>
    <cellStyle name="Header2 2 2 2 2 2 2 4 3" xfId="23976"/>
    <cellStyle name="Header2 2 2 2 2 2 2 4 4" xfId="33066"/>
    <cellStyle name="Header2 2 2 2 2 2 2 5" xfId="16738"/>
    <cellStyle name="Header2 2 2 2 2 2 2 5 2" xfId="28555"/>
    <cellStyle name="Header2 2 2 2 2 2 2 5 2 2" xfId="38554"/>
    <cellStyle name="Header2 2 2 2 2 2 2 5 3" xfId="24313"/>
    <cellStyle name="Header2 2 2 2 2 2 2 5 4" xfId="33403"/>
    <cellStyle name="Header2 2 2 2 2 2 2 6" xfId="16446"/>
    <cellStyle name="Header2 2 2 2 2 2 2 6 2" xfId="28263"/>
    <cellStyle name="Header2 2 2 2 2 2 2 6 2 2" xfId="38262"/>
    <cellStyle name="Header2 2 2 2 2 2 2 6 3" xfId="24021"/>
    <cellStyle name="Header2 2 2 2 2 2 2 6 4" xfId="33111"/>
    <cellStyle name="Header2 2 2 2 2 2 2 7" xfId="17046"/>
    <cellStyle name="Header2 2 2 2 2 2 2 7 2" xfId="28863"/>
    <cellStyle name="Header2 2 2 2 2 2 2 7 2 2" xfId="38862"/>
    <cellStyle name="Header2 2 2 2 2 2 2 7 3" xfId="24621"/>
    <cellStyle name="Header2 2 2 2 2 2 2 7 4" xfId="33711"/>
    <cellStyle name="Header2 2 2 2 2 2 2 8" xfId="17349"/>
    <cellStyle name="Header2 2 2 2 2 2 2 8 2" xfId="29166"/>
    <cellStyle name="Header2 2 2 2 2 2 2 8 2 2" xfId="39165"/>
    <cellStyle name="Header2 2 2 2 2 2 2 8 3" xfId="24924"/>
    <cellStyle name="Header2 2 2 2 2 2 2 8 4" xfId="34014"/>
    <cellStyle name="Header2 2 2 2 2 2 2 9" xfId="18586"/>
    <cellStyle name="Header2 2 2 2 2 2 2 9 2" xfId="30403"/>
    <cellStyle name="Header2 2 2 2 2 2 2 9 2 2" xfId="40402"/>
    <cellStyle name="Header2 2 2 2 2 2 2 9 3" xfId="26061"/>
    <cellStyle name="Header2 2 2 2 2 2 2 9 4" xfId="35251"/>
    <cellStyle name="Header2 2 2 2 2 2 3" xfId="7725"/>
    <cellStyle name="Header2 2 2 2 2 2 3 10" xfId="18841"/>
    <cellStyle name="Header2 2 2 2 2 2 3 10 2" xfId="30658"/>
    <cellStyle name="Header2 2 2 2 2 2 3 10 2 2" xfId="40657"/>
    <cellStyle name="Header2 2 2 2 2 2 3 10 3" xfId="26316"/>
    <cellStyle name="Header2 2 2 2 2 2 3 10 4" xfId="35506"/>
    <cellStyle name="Header2 2 2 2 2 2 3 11" xfId="20254"/>
    <cellStyle name="Header2 2 2 2 2 2 3 11 2" xfId="32071"/>
    <cellStyle name="Header2 2 2 2 2 2 3 11 2 2" xfId="42070"/>
    <cellStyle name="Header2 2 2 2 2 2 3 11 3" xfId="36919"/>
    <cellStyle name="Header2 2 2 2 2 2 3 12" xfId="23377"/>
    <cellStyle name="Header2 2 2 2 2 2 3 12 2" xfId="21111"/>
    <cellStyle name="Header2 2 2 2 2 2 3 13" xfId="22771"/>
    <cellStyle name="Header2 2 2 2 2 2 3 2" xfId="15532"/>
    <cellStyle name="Header2 2 2 2 2 2 3 2 2" xfId="19261"/>
    <cellStyle name="Header2 2 2 2 2 2 3 2 2 2" xfId="31078"/>
    <cellStyle name="Header2 2 2 2 2 2 3 2 2 2 2" xfId="41077"/>
    <cellStyle name="Header2 2 2 2 2 2 3 2 2 3" xfId="26736"/>
    <cellStyle name="Header2 2 2 2 2 2 3 2 2 4" xfId="35926"/>
    <cellStyle name="Header2 2 2 2 2 2 3 2 3" xfId="19867"/>
    <cellStyle name="Header2 2 2 2 2 2 3 2 3 2" xfId="31684"/>
    <cellStyle name="Header2 2 2 2 2 2 3 2 3 2 2" xfId="41683"/>
    <cellStyle name="Header2 2 2 2 2 2 3 2 3 3" xfId="27342"/>
    <cellStyle name="Header2 2 2 2 2 2 3 2 3 4" xfId="36532"/>
    <cellStyle name="Header2 2 2 2 2 2 3 2 4" xfId="17934"/>
    <cellStyle name="Header2 2 2 2 2 2 3 2 4 2" xfId="29751"/>
    <cellStyle name="Header2 2 2 2 2 2 3 2 4 2 2" xfId="39750"/>
    <cellStyle name="Header2 2 2 2 2 2 3 2 4 3" xfId="25509"/>
    <cellStyle name="Header2 2 2 2 2 2 3 2 4 4" xfId="34599"/>
    <cellStyle name="Header2 2 2 2 2 2 3 2 5" xfId="20676"/>
    <cellStyle name="Header2 2 2 2 2 2 3 2 5 2" xfId="32493"/>
    <cellStyle name="Header2 2 2 2 2 2 3 2 5 2 2" xfId="42492"/>
    <cellStyle name="Header2 2 2 2 2 2 3 2 5 3" xfId="37341"/>
    <cellStyle name="Header2 2 2 2 2 2 3 2 6" xfId="23410"/>
    <cellStyle name="Header2 2 2 2 2 2 3 2 6 2" xfId="21087"/>
    <cellStyle name="Header2 2 2 2 2 2 3 2 7" xfId="22905"/>
    <cellStyle name="Header2 2 2 2 2 2 3 2 7 2" xfId="22171"/>
    <cellStyle name="Header2 2 2 2 2 2 3 2 8" xfId="22334"/>
    <cellStyle name="Header2 2 2 2 2 2 3 3" xfId="16113"/>
    <cellStyle name="Header2 2 2 2 2 2 3 3 2" xfId="19517"/>
    <cellStyle name="Header2 2 2 2 2 2 3 3 2 2" xfId="31334"/>
    <cellStyle name="Header2 2 2 2 2 2 3 3 2 2 2" xfId="41333"/>
    <cellStyle name="Header2 2 2 2 2 2 3 3 2 3" xfId="26992"/>
    <cellStyle name="Header2 2 2 2 2 2 3 3 2 4" xfId="36182"/>
    <cellStyle name="Header2 2 2 2 2 2 3 3 3" xfId="20123"/>
    <cellStyle name="Header2 2 2 2 2 2 3 3 3 2" xfId="31940"/>
    <cellStyle name="Header2 2 2 2 2 2 3 3 3 2 2" xfId="41939"/>
    <cellStyle name="Header2 2 2 2 2 2 3 3 3 3" xfId="27598"/>
    <cellStyle name="Header2 2 2 2 2 2 3 3 3 4" xfId="36788"/>
    <cellStyle name="Header2 2 2 2 2 2 3 3 4" xfId="17887"/>
    <cellStyle name="Header2 2 2 2 2 2 3 3 4 2" xfId="29704"/>
    <cellStyle name="Header2 2 2 2 2 2 3 3 4 2 2" xfId="39703"/>
    <cellStyle name="Header2 2 2 2 2 2 3 3 4 3" xfId="25462"/>
    <cellStyle name="Header2 2 2 2 2 2 3 3 4 4" xfId="34552"/>
    <cellStyle name="Header2 2 2 2 2 2 3 3 5" xfId="20932"/>
    <cellStyle name="Header2 2 2 2 2 2 3 3 5 2" xfId="32749"/>
    <cellStyle name="Header2 2 2 2 2 2 3 3 5 2 2" xfId="42748"/>
    <cellStyle name="Header2 2 2 2 2 2 3 3 5 3" xfId="37597"/>
    <cellStyle name="Header2 2 2 2 2 2 3 3 6" xfId="27930"/>
    <cellStyle name="Header2 2 2 2 2 2 3 3 6 2" xfId="37929"/>
    <cellStyle name="Header2 2 2 2 2 2 3 3 7" xfId="21451"/>
    <cellStyle name="Header2 2 2 2 2 2 3 4" xfId="15838"/>
    <cellStyle name="Header2 2 2 2 2 2 3 4 2" xfId="27655"/>
    <cellStyle name="Header2 2 2 2 2 2 3 4 2 2" xfId="37654"/>
    <cellStyle name="Header2 2 2 2 2 2 3 4 3" xfId="23716"/>
    <cellStyle name="Header2 2 2 2 2 2 3 4 4" xfId="32806"/>
    <cellStyle name="Header2 2 2 2 2 2 3 5" xfId="16737"/>
    <cellStyle name="Header2 2 2 2 2 2 3 5 2" xfId="28554"/>
    <cellStyle name="Header2 2 2 2 2 2 3 5 2 2" xfId="38553"/>
    <cellStyle name="Header2 2 2 2 2 2 3 5 3" xfId="24312"/>
    <cellStyle name="Header2 2 2 2 2 2 3 5 4" xfId="33402"/>
    <cellStyle name="Header2 2 2 2 2 2 3 6" xfId="16993"/>
    <cellStyle name="Header2 2 2 2 2 2 3 6 2" xfId="28810"/>
    <cellStyle name="Header2 2 2 2 2 2 3 6 2 2" xfId="38809"/>
    <cellStyle name="Header2 2 2 2 2 2 3 6 3" xfId="24568"/>
    <cellStyle name="Header2 2 2 2 2 2 3 6 4" xfId="33658"/>
    <cellStyle name="Header2 2 2 2 2 2 3 7" xfId="17047"/>
    <cellStyle name="Header2 2 2 2 2 2 3 7 2" xfId="28864"/>
    <cellStyle name="Header2 2 2 2 2 2 3 7 2 2" xfId="38863"/>
    <cellStyle name="Header2 2 2 2 2 2 3 7 3" xfId="24622"/>
    <cellStyle name="Header2 2 2 2 2 2 3 7 4" xfId="33712"/>
    <cellStyle name="Header2 2 2 2 2 2 3 8" xfId="17350"/>
    <cellStyle name="Header2 2 2 2 2 2 3 8 2" xfId="29167"/>
    <cellStyle name="Header2 2 2 2 2 2 3 8 2 2" xfId="39166"/>
    <cellStyle name="Header2 2 2 2 2 2 3 8 3" xfId="24925"/>
    <cellStyle name="Header2 2 2 2 2 2 3 8 4" xfId="34015"/>
    <cellStyle name="Header2 2 2 2 2 2 3 9" xfId="18585"/>
    <cellStyle name="Header2 2 2 2 2 2 3 9 2" xfId="30402"/>
    <cellStyle name="Header2 2 2 2 2 2 3 9 2 2" xfId="40401"/>
    <cellStyle name="Header2 2 2 2 2 2 3 9 3" xfId="26060"/>
    <cellStyle name="Header2 2 2 2 2 2 3 9 4" xfId="35250"/>
    <cellStyle name="Header2 2 2 2 2 2 4" xfId="7726"/>
    <cellStyle name="Header2 2 2 2 2 2 4 10" xfId="18840"/>
    <cellStyle name="Header2 2 2 2 2 2 4 10 2" xfId="30657"/>
    <cellStyle name="Header2 2 2 2 2 2 4 10 2 2" xfId="40656"/>
    <cellStyle name="Header2 2 2 2 2 2 4 10 3" xfId="26315"/>
    <cellStyle name="Header2 2 2 2 2 2 4 10 4" xfId="35505"/>
    <cellStyle name="Header2 2 2 2 2 2 4 11" xfId="20351"/>
    <cellStyle name="Header2 2 2 2 2 2 4 11 2" xfId="32168"/>
    <cellStyle name="Header2 2 2 2 2 2 4 11 2 2" xfId="42167"/>
    <cellStyle name="Header2 2 2 2 2 2 4 11 3" xfId="37016"/>
    <cellStyle name="Header2 2 2 2 2 2 4 12" xfId="23376"/>
    <cellStyle name="Header2 2 2 2 2 2 4 12 2" xfId="21934"/>
    <cellStyle name="Header2 2 2 2 2 2 4 13" xfId="22770"/>
    <cellStyle name="Header2 2 2 2 2 2 4 2" xfId="15533"/>
    <cellStyle name="Header2 2 2 2 2 2 4 2 2" xfId="19260"/>
    <cellStyle name="Header2 2 2 2 2 2 4 2 2 2" xfId="31077"/>
    <cellStyle name="Header2 2 2 2 2 2 4 2 2 2 2" xfId="41076"/>
    <cellStyle name="Header2 2 2 2 2 2 4 2 2 3" xfId="26735"/>
    <cellStyle name="Header2 2 2 2 2 2 4 2 2 4" xfId="35925"/>
    <cellStyle name="Header2 2 2 2 2 2 4 2 3" xfId="19866"/>
    <cellStyle name="Header2 2 2 2 2 2 4 2 3 2" xfId="31683"/>
    <cellStyle name="Header2 2 2 2 2 2 4 2 3 2 2" xfId="41682"/>
    <cellStyle name="Header2 2 2 2 2 2 4 2 3 3" xfId="27341"/>
    <cellStyle name="Header2 2 2 2 2 2 4 2 3 4" xfId="36531"/>
    <cellStyle name="Header2 2 2 2 2 2 4 2 4" xfId="17676"/>
    <cellStyle name="Header2 2 2 2 2 2 4 2 4 2" xfId="29493"/>
    <cellStyle name="Header2 2 2 2 2 2 4 2 4 2 2" xfId="39492"/>
    <cellStyle name="Header2 2 2 2 2 2 4 2 4 3" xfId="25251"/>
    <cellStyle name="Header2 2 2 2 2 2 4 2 4 4" xfId="34341"/>
    <cellStyle name="Header2 2 2 2 2 2 4 2 5" xfId="20675"/>
    <cellStyle name="Header2 2 2 2 2 2 4 2 5 2" xfId="32492"/>
    <cellStyle name="Header2 2 2 2 2 2 4 2 5 2 2" xfId="42491"/>
    <cellStyle name="Header2 2 2 2 2 2 4 2 5 3" xfId="37340"/>
    <cellStyle name="Header2 2 2 2 2 2 4 2 6" xfId="23411"/>
    <cellStyle name="Header2 2 2 2 2 2 4 2 6 2" xfId="21924"/>
    <cellStyle name="Header2 2 2 2 2 2 4 2 7" xfId="23088"/>
    <cellStyle name="Header2 2 2 2 2 2 4 2 7 2" xfId="22051"/>
    <cellStyle name="Header2 2 2 2 2 2 4 2 8" xfId="22335"/>
    <cellStyle name="Header2 2 2 2 2 2 4 3" xfId="16114"/>
    <cellStyle name="Header2 2 2 2 2 2 4 3 2" xfId="19516"/>
    <cellStyle name="Header2 2 2 2 2 2 4 3 2 2" xfId="31333"/>
    <cellStyle name="Header2 2 2 2 2 2 4 3 2 2 2" xfId="41332"/>
    <cellStyle name="Header2 2 2 2 2 2 4 3 2 3" xfId="26991"/>
    <cellStyle name="Header2 2 2 2 2 2 4 3 2 4" xfId="36181"/>
    <cellStyle name="Header2 2 2 2 2 2 4 3 3" xfId="20122"/>
    <cellStyle name="Header2 2 2 2 2 2 4 3 3 2" xfId="31939"/>
    <cellStyle name="Header2 2 2 2 2 2 4 3 3 2 2" xfId="41938"/>
    <cellStyle name="Header2 2 2 2 2 2 4 3 3 3" xfId="27597"/>
    <cellStyle name="Header2 2 2 2 2 2 4 3 3 4" xfId="36787"/>
    <cellStyle name="Header2 2 2 2 2 2 4 3 4" xfId="18042"/>
    <cellStyle name="Header2 2 2 2 2 2 4 3 4 2" xfId="29859"/>
    <cellStyle name="Header2 2 2 2 2 2 4 3 4 2 2" xfId="39858"/>
    <cellStyle name="Header2 2 2 2 2 2 4 3 4 3" xfId="25617"/>
    <cellStyle name="Header2 2 2 2 2 2 4 3 4 4" xfId="34707"/>
    <cellStyle name="Header2 2 2 2 2 2 4 3 5" xfId="20931"/>
    <cellStyle name="Header2 2 2 2 2 2 4 3 5 2" xfId="32748"/>
    <cellStyle name="Header2 2 2 2 2 2 4 3 5 2 2" xfId="42747"/>
    <cellStyle name="Header2 2 2 2 2 2 4 3 5 3" xfId="37596"/>
    <cellStyle name="Header2 2 2 2 2 2 4 3 6" xfId="27931"/>
    <cellStyle name="Header2 2 2 2 2 2 4 3 6 2" xfId="37930"/>
    <cellStyle name="Header2 2 2 2 2 2 4 3 7" xfId="21452"/>
    <cellStyle name="Header2 2 2 2 2 2 4 4" xfId="15876"/>
    <cellStyle name="Header2 2 2 2 2 2 4 4 2" xfId="27693"/>
    <cellStyle name="Header2 2 2 2 2 2 4 4 2 2" xfId="37692"/>
    <cellStyle name="Header2 2 2 2 2 2 4 4 3" xfId="23754"/>
    <cellStyle name="Header2 2 2 2 2 2 4 4 4" xfId="32844"/>
    <cellStyle name="Header2 2 2 2 2 2 4 5" xfId="16736"/>
    <cellStyle name="Header2 2 2 2 2 2 4 5 2" xfId="28553"/>
    <cellStyle name="Header2 2 2 2 2 2 4 5 2 2" xfId="38552"/>
    <cellStyle name="Header2 2 2 2 2 2 4 5 3" xfId="24311"/>
    <cellStyle name="Header2 2 2 2 2 2 4 5 4" xfId="33401"/>
    <cellStyle name="Header2 2 2 2 2 2 4 6" xfId="16992"/>
    <cellStyle name="Header2 2 2 2 2 2 4 6 2" xfId="28809"/>
    <cellStyle name="Header2 2 2 2 2 2 4 6 2 2" xfId="38808"/>
    <cellStyle name="Header2 2 2 2 2 2 4 6 3" xfId="24567"/>
    <cellStyle name="Header2 2 2 2 2 2 4 6 4" xfId="33657"/>
    <cellStyle name="Header2 2 2 2 2 2 4 7" xfId="17048"/>
    <cellStyle name="Header2 2 2 2 2 2 4 7 2" xfId="28865"/>
    <cellStyle name="Header2 2 2 2 2 2 4 7 2 2" xfId="38864"/>
    <cellStyle name="Header2 2 2 2 2 2 4 7 3" xfId="24623"/>
    <cellStyle name="Header2 2 2 2 2 2 4 7 4" xfId="33713"/>
    <cellStyle name="Header2 2 2 2 2 2 4 8" xfId="17351"/>
    <cellStyle name="Header2 2 2 2 2 2 4 8 2" xfId="29168"/>
    <cellStyle name="Header2 2 2 2 2 2 4 8 2 2" xfId="39167"/>
    <cellStyle name="Header2 2 2 2 2 2 4 8 3" xfId="24926"/>
    <cellStyle name="Header2 2 2 2 2 2 4 8 4" xfId="34016"/>
    <cellStyle name="Header2 2 2 2 2 2 4 9" xfId="18584"/>
    <cellStyle name="Header2 2 2 2 2 2 4 9 2" xfId="30401"/>
    <cellStyle name="Header2 2 2 2 2 2 4 9 2 2" xfId="40400"/>
    <cellStyle name="Header2 2 2 2 2 2 4 9 3" xfId="26059"/>
    <cellStyle name="Header2 2 2 2 2 2 4 9 4" xfId="35249"/>
    <cellStyle name="Header2 2 2 2 2 2 5" xfId="15530"/>
    <cellStyle name="Header2 2 2 2 2 2 5 2" xfId="19263"/>
    <cellStyle name="Header2 2 2 2 2 2 5 2 2" xfId="31080"/>
    <cellStyle name="Header2 2 2 2 2 2 5 2 2 2" xfId="41079"/>
    <cellStyle name="Header2 2 2 2 2 2 5 2 3" xfId="26738"/>
    <cellStyle name="Header2 2 2 2 2 2 5 2 4" xfId="35928"/>
    <cellStyle name="Header2 2 2 2 2 2 5 3" xfId="19869"/>
    <cellStyle name="Header2 2 2 2 2 2 5 3 2" xfId="31686"/>
    <cellStyle name="Header2 2 2 2 2 2 5 3 2 2" xfId="41685"/>
    <cellStyle name="Header2 2 2 2 2 2 5 3 3" xfId="27344"/>
    <cellStyle name="Header2 2 2 2 2 2 5 3 4" xfId="36534"/>
    <cellStyle name="Header2 2 2 2 2 2 5 4" xfId="18128"/>
    <cellStyle name="Header2 2 2 2 2 2 5 4 2" xfId="29945"/>
    <cellStyle name="Header2 2 2 2 2 2 5 4 2 2" xfId="39944"/>
    <cellStyle name="Header2 2 2 2 2 2 5 4 3" xfId="25703"/>
    <cellStyle name="Header2 2 2 2 2 2 5 4 4" xfId="34793"/>
    <cellStyle name="Header2 2 2 2 2 2 5 5" xfId="20678"/>
    <cellStyle name="Header2 2 2 2 2 2 5 5 2" xfId="32495"/>
    <cellStyle name="Header2 2 2 2 2 2 5 5 2 2" xfId="42494"/>
    <cellStyle name="Header2 2 2 2 2 2 5 5 3" xfId="37343"/>
    <cellStyle name="Header2 2 2 2 2 2 5 6" xfId="23408"/>
    <cellStyle name="Header2 2 2 2 2 2 5 6 2" xfId="21089"/>
    <cellStyle name="Header2 2 2 2 2 2 5 7" xfId="22907"/>
    <cellStyle name="Header2 2 2 2 2 2 5 7 2" xfId="22169"/>
    <cellStyle name="Header2 2 2 2 2 2 5 8" xfId="22333"/>
    <cellStyle name="Header2 2 2 2 2 2 6" xfId="16111"/>
    <cellStyle name="Header2 2 2 2 2 2 6 2" xfId="19518"/>
    <cellStyle name="Header2 2 2 2 2 2 6 2 2" xfId="31335"/>
    <cellStyle name="Header2 2 2 2 2 2 6 2 2 2" xfId="41334"/>
    <cellStyle name="Header2 2 2 2 2 2 6 2 3" xfId="26993"/>
    <cellStyle name="Header2 2 2 2 2 2 6 2 4" xfId="36183"/>
    <cellStyle name="Header2 2 2 2 2 2 6 3" xfId="20124"/>
    <cellStyle name="Header2 2 2 2 2 2 6 3 2" xfId="31941"/>
    <cellStyle name="Header2 2 2 2 2 2 6 3 2 2" xfId="41940"/>
    <cellStyle name="Header2 2 2 2 2 2 6 3 3" xfId="27599"/>
    <cellStyle name="Header2 2 2 2 2 2 6 3 4" xfId="36789"/>
    <cellStyle name="Header2 2 2 2 2 2 6 4" xfId="17886"/>
    <cellStyle name="Header2 2 2 2 2 2 6 4 2" xfId="29703"/>
    <cellStyle name="Header2 2 2 2 2 2 6 4 2 2" xfId="39702"/>
    <cellStyle name="Header2 2 2 2 2 2 6 4 3" xfId="25461"/>
    <cellStyle name="Header2 2 2 2 2 2 6 4 4" xfId="34551"/>
    <cellStyle name="Header2 2 2 2 2 2 6 5" xfId="20933"/>
    <cellStyle name="Header2 2 2 2 2 2 6 5 2" xfId="32750"/>
    <cellStyle name="Header2 2 2 2 2 2 6 5 2 2" xfId="42749"/>
    <cellStyle name="Header2 2 2 2 2 2 6 5 3" xfId="37598"/>
    <cellStyle name="Header2 2 2 2 2 2 6 6" xfId="27928"/>
    <cellStyle name="Header2 2 2 2 2 2 6 6 2" xfId="37927"/>
    <cellStyle name="Header2 2 2 2 2 2 6 7" xfId="21450"/>
    <cellStyle name="Header2 2 2 2 2 2 7" xfId="15837"/>
    <cellStyle name="Header2 2 2 2 2 2 7 2" xfId="27654"/>
    <cellStyle name="Header2 2 2 2 2 2 7 2 2" xfId="37653"/>
    <cellStyle name="Header2 2 2 2 2 2 7 3" xfId="23715"/>
    <cellStyle name="Header2 2 2 2 2 2 7 4" xfId="32805"/>
    <cellStyle name="Header2 2 2 2 2 2 8" xfId="16739"/>
    <cellStyle name="Header2 2 2 2 2 2 8 2" xfId="28556"/>
    <cellStyle name="Header2 2 2 2 2 2 8 2 2" xfId="38555"/>
    <cellStyle name="Header2 2 2 2 2 2 8 3" xfId="24314"/>
    <cellStyle name="Header2 2 2 2 2 2 8 4" xfId="33404"/>
    <cellStyle name="Header2 2 2 2 2 2 9" xfId="16994"/>
    <cellStyle name="Header2 2 2 2 2 2 9 2" xfId="28811"/>
    <cellStyle name="Header2 2 2 2 2 2 9 2 2" xfId="38810"/>
    <cellStyle name="Header2 2 2 2 2 2 9 3" xfId="24569"/>
    <cellStyle name="Header2 2 2 2 2 2 9 4" xfId="33659"/>
    <cellStyle name="Header2 2 2 2 2 3" xfId="7727"/>
    <cellStyle name="Header2 2 2 2 2 3 10" xfId="17049"/>
    <cellStyle name="Header2 2 2 2 2 3 10 2" xfId="28866"/>
    <cellStyle name="Header2 2 2 2 2 3 10 2 2" xfId="38865"/>
    <cellStyle name="Header2 2 2 2 2 3 10 3" xfId="24624"/>
    <cellStyle name="Header2 2 2 2 2 3 10 4" xfId="33714"/>
    <cellStyle name="Header2 2 2 2 2 3 11" xfId="17352"/>
    <cellStyle name="Header2 2 2 2 2 3 11 2" xfId="29169"/>
    <cellStyle name="Header2 2 2 2 2 3 11 2 2" xfId="39168"/>
    <cellStyle name="Header2 2 2 2 2 3 11 3" xfId="24927"/>
    <cellStyle name="Header2 2 2 2 2 3 11 4" xfId="34017"/>
    <cellStyle name="Header2 2 2 2 2 3 12" xfId="18583"/>
    <cellStyle name="Header2 2 2 2 2 3 12 2" xfId="30400"/>
    <cellStyle name="Header2 2 2 2 2 3 12 2 2" xfId="40399"/>
    <cellStyle name="Header2 2 2 2 2 3 12 3" xfId="26058"/>
    <cellStyle name="Header2 2 2 2 2 3 12 4" xfId="35248"/>
    <cellStyle name="Header2 2 2 2 2 3 13" xfId="18839"/>
    <cellStyle name="Header2 2 2 2 2 3 13 2" xfId="30656"/>
    <cellStyle name="Header2 2 2 2 2 3 13 2 2" xfId="40655"/>
    <cellStyle name="Header2 2 2 2 2 3 13 3" xfId="26314"/>
    <cellStyle name="Header2 2 2 2 2 3 13 4" xfId="35504"/>
    <cellStyle name="Header2 2 2 2 2 3 14" xfId="18206"/>
    <cellStyle name="Header2 2 2 2 2 3 14 2" xfId="30023"/>
    <cellStyle name="Header2 2 2 2 2 3 14 2 2" xfId="40022"/>
    <cellStyle name="Header2 2 2 2 2 3 14 3" xfId="34871"/>
    <cellStyle name="Header2 2 2 2 2 3 15" xfId="23375"/>
    <cellStyle name="Header2 2 2 2 2 3 15 2" xfId="21112"/>
    <cellStyle name="Header2 2 2 2 2 3 16" xfId="22769"/>
    <cellStyle name="Header2 2 2 2 2 3 2" xfId="7728"/>
    <cellStyle name="Header2 2 2 2 2 3 2 10" xfId="18838"/>
    <cellStyle name="Header2 2 2 2 2 3 2 10 2" xfId="30655"/>
    <cellStyle name="Header2 2 2 2 2 3 2 10 2 2" xfId="40654"/>
    <cellStyle name="Header2 2 2 2 2 3 2 10 3" xfId="26313"/>
    <cellStyle name="Header2 2 2 2 2 3 2 10 4" xfId="35503"/>
    <cellStyle name="Header2 2 2 2 2 3 2 11" xfId="20253"/>
    <cellStyle name="Header2 2 2 2 2 3 2 11 2" xfId="32070"/>
    <cellStyle name="Header2 2 2 2 2 3 2 11 2 2" xfId="42069"/>
    <cellStyle name="Header2 2 2 2 2 3 2 11 3" xfId="36918"/>
    <cellStyle name="Header2 2 2 2 2 3 2 12" xfId="23374"/>
    <cellStyle name="Header2 2 2 2 2 3 2 12 2" xfId="21935"/>
    <cellStyle name="Header2 2 2 2 2 3 2 13" xfId="22768"/>
    <cellStyle name="Header2 2 2 2 2 3 2 2" xfId="15535"/>
    <cellStyle name="Header2 2 2 2 2 3 2 2 2" xfId="19258"/>
    <cellStyle name="Header2 2 2 2 2 3 2 2 2 2" xfId="31075"/>
    <cellStyle name="Header2 2 2 2 2 3 2 2 2 2 2" xfId="41074"/>
    <cellStyle name="Header2 2 2 2 2 3 2 2 2 3" xfId="26733"/>
    <cellStyle name="Header2 2 2 2 2 3 2 2 2 4" xfId="35923"/>
    <cellStyle name="Header2 2 2 2 2 3 2 2 3" xfId="19864"/>
    <cellStyle name="Header2 2 2 2 2 3 2 2 3 2" xfId="31681"/>
    <cellStyle name="Header2 2 2 2 2 3 2 2 3 2 2" xfId="41680"/>
    <cellStyle name="Header2 2 2 2 2 3 2 2 3 3" xfId="27339"/>
    <cellStyle name="Header2 2 2 2 2 3 2 2 3 4" xfId="36529"/>
    <cellStyle name="Header2 2 2 2 2 3 2 2 4" xfId="17936"/>
    <cellStyle name="Header2 2 2 2 2 3 2 2 4 2" xfId="29753"/>
    <cellStyle name="Header2 2 2 2 2 3 2 2 4 2 2" xfId="39752"/>
    <cellStyle name="Header2 2 2 2 2 3 2 2 4 3" xfId="25511"/>
    <cellStyle name="Header2 2 2 2 2 3 2 2 4 4" xfId="34601"/>
    <cellStyle name="Header2 2 2 2 2 3 2 2 5" xfId="20673"/>
    <cellStyle name="Header2 2 2 2 2 3 2 2 5 2" xfId="32490"/>
    <cellStyle name="Header2 2 2 2 2 3 2 2 5 2 2" xfId="42489"/>
    <cellStyle name="Header2 2 2 2 2 3 2 2 5 3" xfId="37338"/>
    <cellStyle name="Header2 2 2 2 2 3 2 2 6" xfId="23413"/>
    <cellStyle name="Header2 2 2 2 2 3 2 2 6 2" xfId="21085"/>
    <cellStyle name="Header2 2 2 2 2 3 2 2 7" xfId="22903"/>
    <cellStyle name="Header2 2 2 2 2 3 2 2 7 2" xfId="21346"/>
    <cellStyle name="Header2 2 2 2 2 3 2 2 8" xfId="22337"/>
    <cellStyle name="Header2 2 2 2 2 3 2 3" xfId="16116"/>
    <cellStyle name="Header2 2 2 2 2 3 2 3 2" xfId="19514"/>
    <cellStyle name="Header2 2 2 2 2 3 2 3 2 2" xfId="31331"/>
    <cellStyle name="Header2 2 2 2 2 3 2 3 2 2 2" xfId="41330"/>
    <cellStyle name="Header2 2 2 2 2 3 2 3 2 3" xfId="26989"/>
    <cellStyle name="Header2 2 2 2 2 3 2 3 2 4" xfId="36179"/>
    <cellStyle name="Header2 2 2 2 2 3 2 3 3" xfId="20120"/>
    <cellStyle name="Header2 2 2 2 2 3 2 3 3 2" xfId="31937"/>
    <cellStyle name="Header2 2 2 2 2 3 2 3 3 2 2" xfId="41936"/>
    <cellStyle name="Header2 2 2 2 2 3 2 3 3 3" xfId="27595"/>
    <cellStyle name="Header2 2 2 2 2 3 2 3 3 4" xfId="36785"/>
    <cellStyle name="Header2 2 2 2 2 3 2 3 4" xfId="18043"/>
    <cellStyle name="Header2 2 2 2 2 3 2 3 4 2" xfId="29860"/>
    <cellStyle name="Header2 2 2 2 2 3 2 3 4 2 2" xfId="39859"/>
    <cellStyle name="Header2 2 2 2 2 3 2 3 4 3" xfId="25618"/>
    <cellStyle name="Header2 2 2 2 2 3 2 3 4 4" xfId="34708"/>
    <cellStyle name="Header2 2 2 2 2 3 2 3 5" xfId="20929"/>
    <cellStyle name="Header2 2 2 2 2 3 2 3 5 2" xfId="32746"/>
    <cellStyle name="Header2 2 2 2 2 3 2 3 5 2 2" xfId="42745"/>
    <cellStyle name="Header2 2 2 2 2 3 2 3 5 3" xfId="37594"/>
    <cellStyle name="Header2 2 2 2 2 3 2 3 6" xfId="27933"/>
    <cellStyle name="Header2 2 2 2 2 3 2 3 6 2" xfId="37932"/>
    <cellStyle name="Header2 2 2 2 2 3 2 3 7" xfId="21454"/>
    <cellStyle name="Header2 2 2 2 2 3 2 4" xfId="15877"/>
    <cellStyle name="Header2 2 2 2 2 3 2 4 2" xfId="27694"/>
    <cellStyle name="Header2 2 2 2 2 3 2 4 2 2" xfId="37693"/>
    <cellStyle name="Header2 2 2 2 2 3 2 4 3" xfId="23755"/>
    <cellStyle name="Header2 2 2 2 2 3 2 4 4" xfId="32845"/>
    <cellStyle name="Header2 2 2 2 2 3 2 5" xfId="16734"/>
    <cellStyle name="Header2 2 2 2 2 3 2 5 2" xfId="28551"/>
    <cellStyle name="Header2 2 2 2 2 3 2 5 2 2" xfId="38550"/>
    <cellStyle name="Header2 2 2 2 2 3 2 5 3" xfId="24309"/>
    <cellStyle name="Header2 2 2 2 2 3 2 5 4" xfId="33399"/>
    <cellStyle name="Header2 2 2 2 2 3 2 6" xfId="16990"/>
    <cellStyle name="Header2 2 2 2 2 3 2 6 2" xfId="28807"/>
    <cellStyle name="Header2 2 2 2 2 3 2 6 2 2" xfId="38806"/>
    <cellStyle name="Header2 2 2 2 2 3 2 6 3" xfId="24565"/>
    <cellStyle name="Header2 2 2 2 2 3 2 6 4" xfId="33655"/>
    <cellStyle name="Header2 2 2 2 2 3 2 7" xfId="17050"/>
    <cellStyle name="Header2 2 2 2 2 3 2 7 2" xfId="28867"/>
    <cellStyle name="Header2 2 2 2 2 3 2 7 2 2" xfId="38866"/>
    <cellStyle name="Header2 2 2 2 2 3 2 7 3" xfId="24625"/>
    <cellStyle name="Header2 2 2 2 2 3 2 7 4" xfId="33715"/>
    <cellStyle name="Header2 2 2 2 2 3 2 8" xfId="17353"/>
    <cellStyle name="Header2 2 2 2 2 3 2 8 2" xfId="29170"/>
    <cellStyle name="Header2 2 2 2 2 3 2 8 2 2" xfId="39169"/>
    <cellStyle name="Header2 2 2 2 2 3 2 8 3" xfId="24928"/>
    <cellStyle name="Header2 2 2 2 2 3 2 8 4" xfId="34018"/>
    <cellStyle name="Header2 2 2 2 2 3 2 9" xfId="18582"/>
    <cellStyle name="Header2 2 2 2 2 3 2 9 2" xfId="30399"/>
    <cellStyle name="Header2 2 2 2 2 3 2 9 2 2" xfId="40398"/>
    <cellStyle name="Header2 2 2 2 2 3 2 9 3" xfId="26057"/>
    <cellStyle name="Header2 2 2 2 2 3 2 9 4" xfId="35247"/>
    <cellStyle name="Header2 2 2 2 2 3 3" xfId="7729"/>
    <cellStyle name="Header2 2 2 2 2 3 3 10" xfId="18837"/>
    <cellStyle name="Header2 2 2 2 2 3 3 10 2" xfId="30654"/>
    <cellStyle name="Header2 2 2 2 2 3 3 10 2 2" xfId="40653"/>
    <cellStyle name="Header2 2 2 2 2 3 3 10 3" xfId="26312"/>
    <cellStyle name="Header2 2 2 2 2 3 3 10 4" xfId="35502"/>
    <cellStyle name="Header2 2 2 2 2 3 3 11" xfId="20350"/>
    <cellStyle name="Header2 2 2 2 2 3 3 11 2" xfId="32167"/>
    <cellStyle name="Header2 2 2 2 2 3 3 11 2 2" xfId="42166"/>
    <cellStyle name="Header2 2 2 2 2 3 3 11 3" xfId="37015"/>
    <cellStyle name="Header2 2 2 2 2 3 3 12" xfId="23373"/>
    <cellStyle name="Header2 2 2 2 2 3 3 12 2" xfId="21113"/>
    <cellStyle name="Header2 2 2 2 2 3 3 13" xfId="22767"/>
    <cellStyle name="Header2 2 2 2 2 3 3 2" xfId="15536"/>
    <cellStyle name="Header2 2 2 2 2 3 3 2 2" xfId="19257"/>
    <cellStyle name="Header2 2 2 2 2 3 3 2 2 2" xfId="31074"/>
    <cellStyle name="Header2 2 2 2 2 3 3 2 2 2 2" xfId="41073"/>
    <cellStyle name="Header2 2 2 2 2 3 3 2 2 3" xfId="26732"/>
    <cellStyle name="Header2 2 2 2 2 3 3 2 2 4" xfId="35922"/>
    <cellStyle name="Header2 2 2 2 2 3 3 2 3" xfId="19863"/>
    <cellStyle name="Header2 2 2 2 2 3 3 2 3 2" xfId="31680"/>
    <cellStyle name="Header2 2 2 2 2 3 3 2 3 2 2" xfId="41679"/>
    <cellStyle name="Header2 2 2 2 2 3 3 2 3 3" xfId="27338"/>
    <cellStyle name="Header2 2 2 2 2 3 3 2 3 4" xfId="36528"/>
    <cellStyle name="Header2 2 2 2 2 3 3 2 4" xfId="17937"/>
    <cellStyle name="Header2 2 2 2 2 3 3 2 4 2" xfId="29754"/>
    <cellStyle name="Header2 2 2 2 2 3 3 2 4 2 2" xfId="39753"/>
    <cellStyle name="Header2 2 2 2 2 3 3 2 4 3" xfId="25512"/>
    <cellStyle name="Header2 2 2 2 2 3 3 2 4 4" xfId="34602"/>
    <cellStyle name="Header2 2 2 2 2 3 3 2 5" xfId="20672"/>
    <cellStyle name="Header2 2 2 2 2 3 3 2 5 2" xfId="32489"/>
    <cellStyle name="Header2 2 2 2 2 3 3 2 5 2 2" xfId="42488"/>
    <cellStyle name="Header2 2 2 2 2 3 3 2 5 3" xfId="37337"/>
    <cellStyle name="Header2 2 2 2 2 3 3 2 6" xfId="23414"/>
    <cellStyle name="Header2 2 2 2 2 3 3 2 6 2" xfId="21084"/>
    <cellStyle name="Header2 2 2 2 2 3 3 2 7" xfId="22902"/>
    <cellStyle name="Header2 2 2 2 2 3 3 2 7 2" xfId="21347"/>
    <cellStyle name="Header2 2 2 2 2 3 3 2 8" xfId="22338"/>
    <cellStyle name="Header2 2 2 2 2 3 3 3" xfId="16117"/>
    <cellStyle name="Header2 2 2 2 2 3 3 3 2" xfId="19513"/>
    <cellStyle name="Header2 2 2 2 2 3 3 3 2 2" xfId="31330"/>
    <cellStyle name="Header2 2 2 2 2 3 3 3 2 2 2" xfId="41329"/>
    <cellStyle name="Header2 2 2 2 2 3 3 3 2 3" xfId="26988"/>
    <cellStyle name="Header2 2 2 2 2 3 3 3 2 4" xfId="36178"/>
    <cellStyle name="Header2 2 2 2 2 3 3 3 3" xfId="20119"/>
    <cellStyle name="Header2 2 2 2 2 3 3 3 3 2" xfId="31936"/>
    <cellStyle name="Header2 2 2 2 2 3 3 3 3 2 2" xfId="41935"/>
    <cellStyle name="Header2 2 2 2 2 3 3 3 3 3" xfId="27594"/>
    <cellStyle name="Header2 2 2 2 2 3 3 3 3 4" xfId="36784"/>
    <cellStyle name="Header2 2 2 2 2 3 3 3 4" xfId="17642"/>
    <cellStyle name="Header2 2 2 2 2 3 3 3 4 2" xfId="29459"/>
    <cellStyle name="Header2 2 2 2 2 3 3 3 4 2 2" xfId="39458"/>
    <cellStyle name="Header2 2 2 2 2 3 3 3 4 3" xfId="25217"/>
    <cellStyle name="Header2 2 2 2 2 3 3 3 4 4" xfId="34307"/>
    <cellStyle name="Header2 2 2 2 2 3 3 3 5" xfId="20928"/>
    <cellStyle name="Header2 2 2 2 2 3 3 3 5 2" xfId="32745"/>
    <cellStyle name="Header2 2 2 2 2 3 3 3 5 2 2" xfId="42744"/>
    <cellStyle name="Header2 2 2 2 2 3 3 3 5 3" xfId="37593"/>
    <cellStyle name="Header2 2 2 2 2 3 3 3 6" xfId="27934"/>
    <cellStyle name="Header2 2 2 2 2 3 3 3 6 2" xfId="37933"/>
    <cellStyle name="Header2 2 2 2 2 3 3 3 7" xfId="21455"/>
    <cellStyle name="Header2 2 2 2 2 3 3 4" xfId="15840"/>
    <cellStyle name="Header2 2 2 2 2 3 3 4 2" xfId="27657"/>
    <cellStyle name="Header2 2 2 2 2 3 3 4 2 2" xfId="37656"/>
    <cellStyle name="Header2 2 2 2 2 3 3 4 3" xfId="23718"/>
    <cellStyle name="Header2 2 2 2 2 3 3 4 4" xfId="32808"/>
    <cellStyle name="Header2 2 2 2 2 3 3 5" xfId="16733"/>
    <cellStyle name="Header2 2 2 2 2 3 3 5 2" xfId="28550"/>
    <cellStyle name="Header2 2 2 2 2 3 3 5 2 2" xfId="38549"/>
    <cellStyle name="Header2 2 2 2 2 3 3 5 3" xfId="24308"/>
    <cellStyle name="Header2 2 2 2 2 3 3 5 4" xfId="33398"/>
    <cellStyle name="Header2 2 2 2 2 3 3 6" xfId="16989"/>
    <cellStyle name="Header2 2 2 2 2 3 3 6 2" xfId="28806"/>
    <cellStyle name="Header2 2 2 2 2 3 3 6 2 2" xfId="38805"/>
    <cellStyle name="Header2 2 2 2 2 3 3 6 3" xfId="24564"/>
    <cellStyle name="Header2 2 2 2 2 3 3 6 4" xfId="33654"/>
    <cellStyle name="Header2 2 2 2 2 3 3 7" xfId="17051"/>
    <cellStyle name="Header2 2 2 2 2 3 3 7 2" xfId="28868"/>
    <cellStyle name="Header2 2 2 2 2 3 3 7 2 2" xfId="38867"/>
    <cellStyle name="Header2 2 2 2 2 3 3 7 3" xfId="24626"/>
    <cellStyle name="Header2 2 2 2 2 3 3 7 4" xfId="33716"/>
    <cellStyle name="Header2 2 2 2 2 3 3 8" xfId="17354"/>
    <cellStyle name="Header2 2 2 2 2 3 3 8 2" xfId="29171"/>
    <cellStyle name="Header2 2 2 2 2 3 3 8 2 2" xfId="39170"/>
    <cellStyle name="Header2 2 2 2 2 3 3 8 3" xfId="24929"/>
    <cellStyle name="Header2 2 2 2 2 3 3 8 4" xfId="34019"/>
    <cellStyle name="Header2 2 2 2 2 3 3 9" xfId="18581"/>
    <cellStyle name="Header2 2 2 2 2 3 3 9 2" xfId="30398"/>
    <cellStyle name="Header2 2 2 2 2 3 3 9 2 2" xfId="40397"/>
    <cellStyle name="Header2 2 2 2 2 3 3 9 3" xfId="26056"/>
    <cellStyle name="Header2 2 2 2 2 3 3 9 4" xfId="35246"/>
    <cellStyle name="Header2 2 2 2 2 3 4" xfId="7730"/>
    <cellStyle name="Header2 2 2 2 2 3 4 10" xfId="18940"/>
    <cellStyle name="Header2 2 2 2 2 3 4 10 2" xfId="30757"/>
    <cellStyle name="Header2 2 2 2 2 3 4 10 2 2" xfId="40756"/>
    <cellStyle name="Header2 2 2 2 2 3 4 10 3" xfId="26415"/>
    <cellStyle name="Header2 2 2 2 2 3 4 10 4" xfId="35605"/>
    <cellStyle name="Header2 2 2 2 2 3 4 11" xfId="18207"/>
    <cellStyle name="Header2 2 2 2 2 3 4 11 2" xfId="30024"/>
    <cellStyle name="Header2 2 2 2 2 3 4 11 2 2" xfId="40023"/>
    <cellStyle name="Header2 2 2 2 2 3 4 11 3" xfId="34872"/>
    <cellStyle name="Header2 2 2 2 2 3 4 12" xfId="23372"/>
    <cellStyle name="Header2 2 2 2 2 3 4 12 2" xfId="21114"/>
    <cellStyle name="Header2 2 2 2 2 3 4 13" xfId="22766"/>
    <cellStyle name="Header2 2 2 2 2 3 4 2" xfId="15537"/>
    <cellStyle name="Header2 2 2 2 2 3 4 2 2" xfId="19256"/>
    <cellStyle name="Header2 2 2 2 2 3 4 2 2 2" xfId="31073"/>
    <cellStyle name="Header2 2 2 2 2 3 4 2 2 2 2" xfId="41072"/>
    <cellStyle name="Header2 2 2 2 2 3 4 2 2 3" xfId="26731"/>
    <cellStyle name="Header2 2 2 2 2 3 4 2 2 4" xfId="35921"/>
    <cellStyle name="Header2 2 2 2 2 3 4 2 3" xfId="19862"/>
    <cellStyle name="Header2 2 2 2 2 3 4 2 3 2" xfId="31679"/>
    <cellStyle name="Header2 2 2 2 2 3 4 2 3 2 2" xfId="41678"/>
    <cellStyle name="Header2 2 2 2 2 3 4 2 3 3" xfId="27337"/>
    <cellStyle name="Header2 2 2 2 2 3 4 2 3 4" xfId="36527"/>
    <cellStyle name="Header2 2 2 2 2 3 4 2 4" xfId="17938"/>
    <cellStyle name="Header2 2 2 2 2 3 4 2 4 2" xfId="29755"/>
    <cellStyle name="Header2 2 2 2 2 3 4 2 4 2 2" xfId="39754"/>
    <cellStyle name="Header2 2 2 2 2 3 4 2 4 3" xfId="25513"/>
    <cellStyle name="Header2 2 2 2 2 3 4 2 4 4" xfId="34603"/>
    <cellStyle name="Header2 2 2 2 2 3 4 2 5" xfId="20671"/>
    <cellStyle name="Header2 2 2 2 2 3 4 2 5 2" xfId="32488"/>
    <cellStyle name="Header2 2 2 2 2 3 4 2 5 2 2" xfId="42487"/>
    <cellStyle name="Header2 2 2 2 2 3 4 2 5 3" xfId="37336"/>
    <cellStyle name="Header2 2 2 2 2 3 4 2 6" xfId="23415"/>
    <cellStyle name="Header2 2 2 2 2 3 4 2 6 2" xfId="21083"/>
    <cellStyle name="Header2 2 2 2 2 3 4 2 7" xfId="22901"/>
    <cellStyle name="Header2 2 2 2 2 3 4 2 7 2" xfId="22172"/>
    <cellStyle name="Header2 2 2 2 2 3 4 2 8" xfId="21592"/>
    <cellStyle name="Header2 2 2 2 2 3 4 3" xfId="16118"/>
    <cellStyle name="Header2 2 2 2 2 3 4 3 2" xfId="19547"/>
    <cellStyle name="Header2 2 2 2 2 3 4 3 2 2" xfId="31364"/>
    <cellStyle name="Header2 2 2 2 2 3 4 3 2 2 2" xfId="41363"/>
    <cellStyle name="Header2 2 2 2 2 3 4 3 2 3" xfId="27022"/>
    <cellStyle name="Header2 2 2 2 2 3 4 3 2 4" xfId="36212"/>
    <cellStyle name="Header2 2 2 2 2 3 4 3 3" xfId="20153"/>
    <cellStyle name="Header2 2 2 2 2 3 4 3 3 2" xfId="31970"/>
    <cellStyle name="Header2 2 2 2 2 3 4 3 3 2 2" xfId="41969"/>
    <cellStyle name="Header2 2 2 2 2 3 4 3 3 3" xfId="27628"/>
    <cellStyle name="Header2 2 2 2 2 3 4 3 3 4" xfId="36818"/>
    <cellStyle name="Header2 2 2 2 2 3 4 3 4" xfId="17638"/>
    <cellStyle name="Header2 2 2 2 2 3 4 3 4 2" xfId="29455"/>
    <cellStyle name="Header2 2 2 2 2 3 4 3 4 2 2" xfId="39454"/>
    <cellStyle name="Header2 2 2 2 2 3 4 3 4 3" xfId="25213"/>
    <cellStyle name="Header2 2 2 2 2 3 4 3 4 4" xfId="34303"/>
    <cellStyle name="Header2 2 2 2 2 3 4 3 5" xfId="20962"/>
    <cellStyle name="Header2 2 2 2 2 3 4 3 5 2" xfId="32779"/>
    <cellStyle name="Header2 2 2 2 2 3 4 3 5 2 2" xfId="42778"/>
    <cellStyle name="Header2 2 2 2 2 3 4 3 5 3" xfId="37627"/>
    <cellStyle name="Header2 2 2 2 2 3 4 3 6" xfId="27935"/>
    <cellStyle name="Header2 2 2 2 2 3 4 3 6 2" xfId="37934"/>
    <cellStyle name="Header2 2 2 2 2 3 4 3 7" xfId="22207"/>
    <cellStyle name="Header2 2 2 2 2 3 4 4" xfId="15824"/>
    <cellStyle name="Header2 2 2 2 2 3 4 4 2" xfId="27641"/>
    <cellStyle name="Header2 2 2 2 2 3 4 4 2 2" xfId="37640"/>
    <cellStyle name="Header2 2 2 2 2 3 4 4 3" xfId="23702"/>
    <cellStyle name="Header2 2 2 2 2 3 4 4 4" xfId="32792"/>
    <cellStyle name="Header2 2 2 2 2 3 4 5" xfId="16732"/>
    <cellStyle name="Header2 2 2 2 2 3 4 5 2" xfId="28549"/>
    <cellStyle name="Header2 2 2 2 2 3 4 5 2 2" xfId="38548"/>
    <cellStyle name="Header2 2 2 2 2 3 4 5 3" xfId="24307"/>
    <cellStyle name="Header2 2 2 2 2 3 4 5 4" xfId="33397"/>
    <cellStyle name="Header2 2 2 2 2 3 4 6" xfId="17026"/>
    <cellStyle name="Header2 2 2 2 2 3 4 6 2" xfId="28843"/>
    <cellStyle name="Header2 2 2 2 2 3 4 6 2 2" xfId="38842"/>
    <cellStyle name="Header2 2 2 2 2 3 4 6 3" xfId="24601"/>
    <cellStyle name="Header2 2 2 2 2 3 4 6 4" xfId="33691"/>
    <cellStyle name="Header2 2 2 2 2 3 4 7" xfId="17052"/>
    <cellStyle name="Header2 2 2 2 2 3 4 7 2" xfId="28869"/>
    <cellStyle name="Header2 2 2 2 2 3 4 7 2 2" xfId="38868"/>
    <cellStyle name="Header2 2 2 2 2 3 4 7 3" xfId="24627"/>
    <cellStyle name="Header2 2 2 2 2 3 4 7 4" xfId="33717"/>
    <cellStyle name="Header2 2 2 2 2 3 4 8" xfId="17355"/>
    <cellStyle name="Header2 2 2 2 2 3 4 8 2" xfId="29172"/>
    <cellStyle name="Header2 2 2 2 2 3 4 8 2 2" xfId="39171"/>
    <cellStyle name="Header2 2 2 2 2 3 4 8 3" xfId="24930"/>
    <cellStyle name="Header2 2 2 2 2 3 4 8 4" xfId="34020"/>
    <cellStyle name="Header2 2 2 2 2 3 4 9" xfId="18580"/>
    <cellStyle name="Header2 2 2 2 2 3 4 9 2" xfId="30397"/>
    <cellStyle name="Header2 2 2 2 2 3 4 9 2 2" xfId="40396"/>
    <cellStyle name="Header2 2 2 2 2 3 4 9 3" xfId="26055"/>
    <cellStyle name="Header2 2 2 2 2 3 4 9 4" xfId="35245"/>
    <cellStyle name="Header2 2 2 2 2 3 5" xfId="15534"/>
    <cellStyle name="Header2 2 2 2 2 3 5 2" xfId="19259"/>
    <cellStyle name="Header2 2 2 2 2 3 5 2 2" xfId="31076"/>
    <cellStyle name="Header2 2 2 2 2 3 5 2 2 2" xfId="41075"/>
    <cellStyle name="Header2 2 2 2 2 3 5 2 3" xfId="26734"/>
    <cellStyle name="Header2 2 2 2 2 3 5 2 4" xfId="35924"/>
    <cellStyle name="Header2 2 2 2 2 3 5 3" xfId="19865"/>
    <cellStyle name="Header2 2 2 2 2 3 5 3 2" xfId="31682"/>
    <cellStyle name="Header2 2 2 2 2 3 5 3 2 2" xfId="41681"/>
    <cellStyle name="Header2 2 2 2 2 3 5 3 3" xfId="27340"/>
    <cellStyle name="Header2 2 2 2 2 3 5 3 4" xfId="36530"/>
    <cellStyle name="Header2 2 2 2 2 3 5 4" xfId="17935"/>
    <cellStyle name="Header2 2 2 2 2 3 5 4 2" xfId="29752"/>
    <cellStyle name="Header2 2 2 2 2 3 5 4 2 2" xfId="39751"/>
    <cellStyle name="Header2 2 2 2 2 3 5 4 3" xfId="25510"/>
    <cellStyle name="Header2 2 2 2 2 3 5 4 4" xfId="34600"/>
    <cellStyle name="Header2 2 2 2 2 3 5 5" xfId="20674"/>
    <cellStyle name="Header2 2 2 2 2 3 5 5 2" xfId="32491"/>
    <cellStyle name="Header2 2 2 2 2 3 5 5 2 2" xfId="42490"/>
    <cellStyle name="Header2 2 2 2 2 3 5 5 3" xfId="37339"/>
    <cellStyle name="Header2 2 2 2 2 3 5 6" xfId="23412"/>
    <cellStyle name="Header2 2 2 2 2 3 5 6 2" xfId="21086"/>
    <cellStyle name="Header2 2 2 2 2 3 5 7" xfId="22904"/>
    <cellStyle name="Header2 2 2 2 2 3 5 7 2" xfId="21345"/>
    <cellStyle name="Header2 2 2 2 2 3 5 8" xfId="22336"/>
    <cellStyle name="Header2 2 2 2 2 3 6" xfId="16115"/>
    <cellStyle name="Header2 2 2 2 2 3 6 2" xfId="19515"/>
    <cellStyle name="Header2 2 2 2 2 3 6 2 2" xfId="31332"/>
    <cellStyle name="Header2 2 2 2 2 3 6 2 2 2" xfId="41331"/>
    <cellStyle name="Header2 2 2 2 2 3 6 2 3" xfId="26990"/>
    <cellStyle name="Header2 2 2 2 2 3 6 2 4" xfId="36180"/>
    <cellStyle name="Header2 2 2 2 2 3 6 3" xfId="20121"/>
    <cellStyle name="Header2 2 2 2 2 3 6 3 2" xfId="31938"/>
    <cellStyle name="Header2 2 2 2 2 3 6 3 2 2" xfId="41937"/>
    <cellStyle name="Header2 2 2 2 2 3 6 3 3" xfId="27596"/>
    <cellStyle name="Header2 2 2 2 2 3 6 3 4" xfId="36786"/>
    <cellStyle name="Header2 2 2 2 2 3 6 4" xfId="17888"/>
    <cellStyle name="Header2 2 2 2 2 3 6 4 2" xfId="29705"/>
    <cellStyle name="Header2 2 2 2 2 3 6 4 2 2" xfId="39704"/>
    <cellStyle name="Header2 2 2 2 2 3 6 4 3" xfId="25463"/>
    <cellStyle name="Header2 2 2 2 2 3 6 4 4" xfId="34553"/>
    <cellStyle name="Header2 2 2 2 2 3 6 5" xfId="20930"/>
    <cellStyle name="Header2 2 2 2 2 3 6 5 2" xfId="32747"/>
    <cellStyle name="Header2 2 2 2 2 3 6 5 2 2" xfId="42746"/>
    <cellStyle name="Header2 2 2 2 2 3 6 5 3" xfId="37595"/>
    <cellStyle name="Header2 2 2 2 2 3 6 6" xfId="27932"/>
    <cellStyle name="Header2 2 2 2 2 3 6 6 2" xfId="37931"/>
    <cellStyle name="Header2 2 2 2 2 3 6 7" xfId="21453"/>
    <cellStyle name="Header2 2 2 2 2 3 7" xfId="15839"/>
    <cellStyle name="Header2 2 2 2 2 3 7 2" xfId="27656"/>
    <cellStyle name="Header2 2 2 2 2 3 7 2 2" xfId="37655"/>
    <cellStyle name="Header2 2 2 2 2 3 7 3" xfId="23717"/>
    <cellStyle name="Header2 2 2 2 2 3 7 4" xfId="32807"/>
    <cellStyle name="Header2 2 2 2 2 3 8" xfId="16735"/>
    <cellStyle name="Header2 2 2 2 2 3 8 2" xfId="28552"/>
    <cellStyle name="Header2 2 2 2 2 3 8 2 2" xfId="38551"/>
    <cellStyle name="Header2 2 2 2 2 3 8 3" xfId="24310"/>
    <cellStyle name="Header2 2 2 2 2 3 8 4" xfId="33400"/>
    <cellStyle name="Header2 2 2 2 2 3 9" xfId="16991"/>
    <cellStyle name="Header2 2 2 2 2 3 9 2" xfId="28808"/>
    <cellStyle name="Header2 2 2 2 2 3 9 2 2" xfId="38807"/>
    <cellStyle name="Header2 2 2 2 2 3 9 3" xfId="24566"/>
    <cellStyle name="Header2 2 2 2 2 3 9 4" xfId="33656"/>
    <cellStyle name="Header2 2 2 2 2 4" xfId="7731"/>
    <cellStyle name="Header2 2 2 2 2 4 10" xfId="17873"/>
    <cellStyle name="Header2 2 2 2 2 4 10 2" xfId="29690"/>
    <cellStyle name="Header2 2 2 2 2 4 10 2 2" xfId="39689"/>
    <cellStyle name="Header2 2 2 2 2 4 10 3" xfId="25448"/>
    <cellStyle name="Header2 2 2 2 2 4 10 4" xfId="34538"/>
    <cellStyle name="Header2 2 2 2 2 4 11" xfId="20252"/>
    <cellStyle name="Header2 2 2 2 2 4 11 2" xfId="32069"/>
    <cellStyle name="Header2 2 2 2 2 4 11 2 2" xfId="42068"/>
    <cellStyle name="Header2 2 2 2 2 4 11 3" xfId="36917"/>
    <cellStyle name="Header2 2 2 2 2 4 12" xfId="23371"/>
    <cellStyle name="Header2 2 2 2 2 4 12 2" xfId="21115"/>
    <cellStyle name="Header2 2 2 2 2 4 13" xfId="22765"/>
    <cellStyle name="Header2 2 2 2 2 4 2" xfId="15538"/>
    <cellStyle name="Header2 2 2 2 2 4 2 2" xfId="19255"/>
    <cellStyle name="Header2 2 2 2 2 4 2 2 2" xfId="31072"/>
    <cellStyle name="Header2 2 2 2 2 4 2 2 2 2" xfId="41071"/>
    <cellStyle name="Header2 2 2 2 2 4 2 2 3" xfId="26730"/>
    <cellStyle name="Header2 2 2 2 2 4 2 2 4" xfId="35920"/>
    <cellStyle name="Header2 2 2 2 2 4 2 3" xfId="19861"/>
    <cellStyle name="Header2 2 2 2 2 4 2 3 2" xfId="31678"/>
    <cellStyle name="Header2 2 2 2 2 4 2 3 2 2" xfId="41677"/>
    <cellStyle name="Header2 2 2 2 2 4 2 3 3" xfId="27336"/>
    <cellStyle name="Header2 2 2 2 2 4 2 3 4" xfId="36526"/>
    <cellStyle name="Header2 2 2 2 2 4 2 4" xfId="17939"/>
    <cellStyle name="Header2 2 2 2 2 4 2 4 2" xfId="29756"/>
    <cellStyle name="Header2 2 2 2 2 4 2 4 2 2" xfId="39755"/>
    <cellStyle name="Header2 2 2 2 2 4 2 4 3" xfId="25514"/>
    <cellStyle name="Header2 2 2 2 2 4 2 4 4" xfId="34604"/>
    <cellStyle name="Header2 2 2 2 2 4 2 5" xfId="20670"/>
    <cellStyle name="Header2 2 2 2 2 4 2 5 2" xfId="32487"/>
    <cellStyle name="Header2 2 2 2 2 4 2 5 2 2" xfId="42486"/>
    <cellStyle name="Header2 2 2 2 2 4 2 5 3" xfId="37335"/>
    <cellStyle name="Header2 2 2 2 2 4 2 6" xfId="23416"/>
    <cellStyle name="Header2 2 2 2 2 4 2 6 2" xfId="21923"/>
    <cellStyle name="Header2 2 2 2 2 4 2 7" xfId="23087"/>
    <cellStyle name="Header2 2 2 2 2 4 2 7 2" xfId="22052"/>
    <cellStyle name="Header2 2 2 2 2 4 2 8" xfId="22339"/>
    <cellStyle name="Header2 2 2 2 2 4 3" xfId="16119"/>
    <cellStyle name="Header2 2 2 2 2 4 3 2" xfId="18972"/>
    <cellStyle name="Header2 2 2 2 2 4 3 2 2" xfId="30789"/>
    <cellStyle name="Header2 2 2 2 2 4 3 2 2 2" xfId="40788"/>
    <cellStyle name="Header2 2 2 2 2 4 3 2 3" xfId="26447"/>
    <cellStyle name="Header2 2 2 2 2 4 3 2 4" xfId="35637"/>
    <cellStyle name="Header2 2 2 2 2 4 3 3" xfId="19578"/>
    <cellStyle name="Header2 2 2 2 2 4 3 3 2" xfId="31395"/>
    <cellStyle name="Header2 2 2 2 2 4 3 3 2 2" xfId="41394"/>
    <cellStyle name="Header2 2 2 2 2 4 3 3 3" xfId="27053"/>
    <cellStyle name="Header2 2 2 2 2 4 3 3 4" xfId="36243"/>
    <cellStyle name="Header2 2 2 2 2 4 3 4" xfId="17838"/>
    <cellStyle name="Header2 2 2 2 2 4 3 4 2" xfId="29655"/>
    <cellStyle name="Header2 2 2 2 2 4 3 4 2 2" xfId="39654"/>
    <cellStyle name="Header2 2 2 2 2 4 3 4 3" xfId="25413"/>
    <cellStyle name="Header2 2 2 2 2 4 3 4 4" xfId="34503"/>
    <cellStyle name="Header2 2 2 2 2 4 3 5" xfId="20387"/>
    <cellStyle name="Header2 2 2 2 2 4 3 5 2" xfId="32204"/>
    <cellStyle name="Header2 2 2 2 2 4 3 5 2 2" xfId="42203"/>
    <cellStyle name="Header2 2 2 2 2 4 3 5 3" xfId="37052"/>
    <cellStyle name="Header2 2 2 2 2 4 3 6" xfId="27936"/>
    <cellStyle name="Header2 2 2 2 2 4 3 6 2" xfId="37935"/>
    <cellStyle name="Header2 2 2 2 2 4 3 7" xfId="21734"/>
    <cellStyle name="Header2 2 2 2 2 4 4" xfId="16402"/>
    <cellStyle name="Header2 2 2 2 2 4 4 2" xfId="28219"/>
    <cellStyle name="Header2 2 2 2 2 4 4 2 2" xfId="38218"/>
    <cellStyle name="Header2 2 2 2 2 4 4 3" xfId="23977"/>
    <cellStyle name="Header2 2 2 2 2 4 4 4" xfId="33067"/>
    <cellStyle name="Header2 2 2 2 2 4 5" xfId="16731"/>
    <cellStyle name="Header2 2 2 2 2 4 5 2" xfId="28548"/>
    <cellStyle name="Header2 2 2 2 2 4 5 2 2" xfId="38547"/>
    <cellStyle name="Header2 2 2 2 2 4 5 3" xfId="24306"/>
    <cellStyle name="Header2 2 2 2 2 4 5 4" xfId="33396"/>
    <cellStyle name="Header2 2 2 2 2 4 6" xfId="17025"/>
    <cellStyle name="Header2 2 2 2 2 4 6 2" xfId="28842"/>
    <cellStyle name="Header2 2 2 2 2 4 6 2 2" xfId="38841"/>
    <cellStyle name="Header2 2 2 2 2 4 6 3" xfId="24600"/>
    <cellStyle name="Header2 2 2 2 2 4 6 4" xfId="33690"/>
    <cellStyle name="Header2 2 2 2 2 4 7" xfId="17053"/>
    <cellStyle name="Header2 2 2 2 2 4 7 2" xfId="28870"/>
    <cellStyle name="Header2 2 2 2 2 4 7 2 2" xfId="38869"/>
    <cellStyle name="Header2 2 2 2 2 4 7 3" xfId="24628"/>
    <cellStyle name="Header2 2 2 2 2 4 7 4" xfId="33718"/>
    <cellStyle name="Header2 2 2 2 2 4 8" xfId="17356"/>
    <cellStyle name="Header2 2 2 2 2 4 8 2" xfId="29173"/>
    <cellStyle name="Header2 2 2 2 2 4 8 2 2" xfId="39172"/>
    <cellStyle name="Header2 2 2 2 2 4 8 3" xfId="24931"/>
    <cellStyle name="Header2 2 2 2 2 4 8 4" xfId="34021"/>
    <cellStyle name="Header2 2 2 2 2 4 9" xfId="18579"/>
    <cellStyle name="Header2 2 2 2 2 4 9 2" xfId="30396"/>
    <cellStyle name="Header2 2 2 2 2 4 9 2 2" xfId="40395"/>
    <cellStyle name="Header2 2 2 2 2 4 9 3" xfId="26054"/>
    <cellStyle name="Header2 2 2 2 2 4 9 4" xfId="35244"/>
    <cellStyle name="Header2 2 2 2 2 5" xfId="15529"/>
    <cellStyle name="Header2 2 2 2 2 5 2" xfId="19264"/>
    <cellStyle name="Header2 2 2 2 2 5 2 2" xfId="31081"/>
    <cellStyle name="Header2 2 2 2 2 5 2 2 2" xfId="41080"/>
    <cellStyle name="Header2 2 2 2 2 5 2 3" xfId="26739"/>
    <cellStyle name="Header2 2 2 2 2 5 2 4" xfId="35929"/>
    <cellStyle name="Header2 2 2 2 2 5 3" xfId="19870"/>
    <cellStyle name="Header2 2 2 2 2 5 3 2" xfId="31687"/>
    <cellStyle name="Header2 2 2 2 2 5 3 2 2" xfId="41686"/>
    <cellStyle name="Header2 2 2 2 2 5 3 3" xfId="27345"/>
    <cellStyle name="Header2 2 2 2 2 5 3 4" xfId="36535"/>
    <cellStyle name="Header2 2 2 2 2 5 4" xfId="17933"/>
    <cellStyle name="Header2 2 2 2 2 5 4 2" xfId="29750"/>
    <cellStyle name="Header2 2 2 2 2 5 4 2 2" xfId="39749"/>
    <cellStyle name="Header2 2 2 2 2 5 4 3" xfId="25508"/>
    <cellStyle name="Header2 2 2 2 2 5 4 4" xfId="34598"/>
    <cellStyle name="Header2 2 2 2 2 5 5" xfId="20679"/>
    <cellStyle name="Header2 2 2 2 2 5 5 2" xfId="32496"/>
    <cellStyle name="Header2 2 2 2 2 5 5 2 2" xfId="42495"/>
    <cellStyle name="Header2 2 2 2 2 5 5 3" xfId="37344"/>
    <cellStyle name="Header2 2 2 2 2 5 6" xfId="23407"/>
    <cellStyle name="Header2 2 2 2 2 5 6 2" xfId="21090"/>
    <cellStyle name="Header2 2 2 2 2 5 7" xfId="22908"/>
    <cellStyle name="Header2 2 2 2 2 5 7 2" xfId="22168"/>
    <cellStyle name="Header2 2 2 2 2 5 8" xfId="21590"/>
    <cellStyle name="Header2 2 2 2 2 6" xfId="16110"/>
    <cellStyle name="Header2 2 2 2 2 6 2" xfId="19519"/>
    <cellStyle name="Header2 2 2 2 2 6 2 2" xfId="31336"/>
    <cellStyle name="Header2 2 2 2 2 6 2 2 2" xfId="41335"/>
    <cellStyle name="Header2 2 2 2 2 6 2 3" xfId="26994"/>
    <cellStyle name="Header2 2 2 2 2 6 2 4" xfId="36184"/>
    <cellStyle name="Header2 2 2 2 2 6 3" xfId="20125"/>
    <cellStyle name="Header2 2 2 2 2 6 3 2" xfId="31942"/>
    <cellStyle name="Header2 2 2 2 2 6 3 2 2" xfId="41941"/>
    <cellStyle name="Header2 2 2 2 2 6 3 3" xfId="27600"/>
    <cellStyle name="Header2 2 2 2 2 6 3 4" xfId="36790"/>
    <cellStyle name="Header2 2 2 2 2 6 4" xfId="17885"/>
    <cellStyle name="Header2 2 2 2 2 6 4 2" xfId="29702"/>
    <cellStyle name="Header2 2 2 2 2 6 4 2 2" xfId="39701"/>
    <cellStyle name="Header2 2 2 2 2 6 4 3" xfId="25460"/>
    <cellStyle name="Header2 2 2 2 2 6 4 4" xfId="34550"/>
    <cellStyle name="Header2 2 2 2 2 6 5" xfId="20934"/>
    <cellStyle name="Header2 2 2 2 2 6 5 2" xfId="32751"/>
    <cellStyle name="Header2 2 2 2 2 6 5 2 2" xfId="42750"/>
    <cellStyle name="Header2 2 2 2 2 6 5 3" xfId="37599"/>
    <cellStyle name="Header2 2 2 2 2 6 6" xfId="27927"/>
    <cellStyle name="Header2 2 2 2 2 6 6 2" xfId="37926"/>
    <cellStyle name="Header2 2 2 2 2 6 7" xfId="21449"/>
    <cellStyle name="Header2 2 2 2 2 7" xfId="15875"/>
    <cellStyle name="Header2 2 2 2 2 7 2" xfId="27692"/>
    <cellStyle name="Header2 2 2 2 2 7 2 2" xfId="37691"/>
    <cellStyle name="Header2 2 2 2 2 7 3" xfId="23753"/>
    <cellStyle name="Header2 2 2 2 2 7 4" xfId="32843"/>
    <cellStyle name="Header2 2 2 2 2 8" xfId="16740"/>
    <cellStyle name="Header2 2 2 2 2 8 2" xfId="28557"/>
    <cellStyle name="Header2 2 2 2 2 8 2 2" xfId="38556"/>
    <cellStyle name="Header2 2 2 2 2 8 3" xfId="24315"/>
    <cellStyle name="Header2 2 2 2 2 8 4" xfId="33405"/>
    <cellStyle name="Header2 2 2 2 2 9" xfId="16995"/>
    <cellStyle name="Header2 2 2 2 2 9 2" xfId="28812"/>
    <cellStyle name="Header2 2 2 2 2 9 2 2" xfId="38811"/>
    <cellStyle name="Header2 2 2 2 2 9 3" xfId="24570"/>
    <cellStyle name="Header2 2 2 2 2 9 4" xfId="33660"/>
    <cellStyle name="Header2 2 2 2 3" xfId="7732"/>
    <cellStyle name="Header2 2 2 2 3 10" xfId="17054"/>
    <cellStyle name="Header2 2 2 2 3 10 2" xfId="28871"/>
    <cellStyle name="Header2 2 2 2 3 10 2 2" xfId="38870"/>
    <cellStyle name="Header2 2 2 2 3 10 3" xfId="24629"/>
    <cellStyle name="Header2 2 2 2 3 10 4" xfId="33719"/>
    <cellStyle name="Header2 2 2 2 3 11" xfId="17357"/>
    <cellStyle name="Header2 2 2 2 3 11 2" xfId="29174"/>
    <cellStyle name="Header2 2 2 2 3 11 2 2" xfId="39173"/>
    <cellStyle name="Header2 2 2 2 3 11 3" xfId="24932"/>
    <cellStyle name="Header2 2 2 2 3 11 4" xfId="34022"/>
    <cellStyle name="Header2 2 2 2 3 12" xfId="18578"/>
    <cellStyle name="Header2 2 2 2 3 12 2" xfId="30395"/>
    <cellStyle name="Header2 2 2 2 3 12 2 2" xfId="40394"/>
    <cellStyle name="Header2 2 2 2 3 12 3" xfId="26053"/>
    <cellStyle name="Header2 2 2 2 3 12 4" xfId="35243"/>
    <cellStyle name="Header2 2 2 2 3 13" xfId="18939"/>
    <cellStyle name="Header2 2 2 2 3 13 2" xfId="30756"/>
    <cellStyle name="Header2 2 2 2 3 13 2 2" xfId="40755"/>
    <cellStyle name="Header2 2 2 2 3 13 3" xfId="26414"/>
    <cellStyle name="Header2 2 2 2 3 13 4" xfId="35604"/>
    <cellStyle name="Header2 2 2 2 3 14" xfId="20349"/>
    <cellStyle name="Header2 2 2 2 3 14 2" xfId="32166"/>
    <cellStyle name="Header2 2 2 2 3 14 2 2" xfId="42165"/>
    <cellStyle name="Header2 2 2 2 3 14 3" xfId="37014"/>
    <cellStyle name="Header2 2 2 2 3 15" xfId="23370"/>
    <cellStyle name="Header2 2 2 2 3 15 2" xfId="21116"/>
    <cellStyle name="Header2 2 2 2 3 16" xfId="22764"/>
    <cellStyle name="Header2 2 2 2 3 2" xfId="7733"/>
    <cellStyle name="Header2 2 2 2 3 2 10" xfId="17872"/>
    <cellStyle name="Header2 2 2 2 3 2 10 2" xfId="29689"/>
    <cellStyle name="Header2 2 2 2 3 2 10 2 2" xfId="39688"/>
    <cellStyle name="Header2 2 2 2 3 2 10 3" xfId="25447"/>
    <cellStyle name="Header2 2 2 2 3 2 10 4" xfId="34537"/>
    <cellStyle name="Header2 2 2 2 3 2 11" xfId="20255"/>
    <cellStyle name="Header2 2 2 2 3 2 11 2" xfId="32072"/>
    <cellStyle name="Header2 2 2 2 3 2 11 2 2" xfId="42071"/>
    <cellStyle name="Header2 2 2 2 3 2 11 3" xfId="36920"/>
    <cellStyle name="Header2 2 2 2 3 2 12" xfId="23369"/>
    <cellStyle name="Header2 2 2 2 3 2 12 2" xfId="21117"/>
    <cellStyle name="Header2 2 2 2 3 2 13" xfId="22763"/>
    <cellStyle name="Header2 2 2 2 3 2 2" xfId="15540"/>
    <cellStyle name="Header2 2 2 2 3 2 2 2" xfId="19253"/>
    <cellStyle name="Header2 2 2 2 3 2 2 2 2" xfId="31070"/>
    <cellStyle name="Header2 2 2 2 3 2 2 2 2 2" xfId="41069"/>
    <cellStyle name="Header2 2 2 2 3 2 2 2 3" xfId="26728"/>
    <cellStyle name="Header2 2 2 2 3 2 2 2 4" xfId="35918"/>
    <cellStyle name="Header2 2 2 2 3 2 2 3" xfId="19859"/>
    <cellStyle name="Header2 2 2 2 3 2 2 3 2" xfId="31676"/>
    <cellStyle name="Header2 2 2 2 3 2 2 3 2 2" xfId="41675"/>
    <cellStyle name="Header2 2 2 2 3 2 2 3 3" xfId="27334"/>
    <cellStyle name="Header2 2 2 2 3 2 2 3 4" xfId="36524"/>
    <cellStyle name="Header2 2 2 2 3 2 2 4" xfId="18129"/>
    <cellStyle name="Header2 2 2 2 3 2 2 4 2" xfId="29946"/>
    <cellStyle name="Header2 2 2 2 3 2 2 4 2 2" xfId="39945"/>
    <cellStyle name="Header2 2 2 2 3 2 2 4 3" xfId="25704"/>
    <cellStyle name="Header2 2 2 2 3 2 2 4 4" xfId="34794"/>
    <cellStyle name="Header2 2 2 2 3 2 2 5" xfId="20668"/>
    <cellStyle name="Header2 2 2 2 3 2 2 5 2" xfId="32485"/>
    <cellStyle name="Header2 2 2 2 3 2 2 5 2 2" xfId="42484"/>
    <cellStyle name="Header2 2 2 2 3 2 2 5 3" xfId="37333"/>
    <cellStyle name="Header2 2 2 2 3 2 2 6" xfId="23418"/>
    <cellStyle name="Header2 2 2 2 3 2 2 6 2" xfId="21921"/>
    <cellStyle name="Header2 2 2 2 3 2 2 7" xfId="23085"/>
    <cellStyle name="Header2 2 2 2 3 2 2 7 2" xfId="21283"/>
    <cellStyle name="Header2 2 2 2 3 2 2 8" xfId="22341"/>
    <cellStyle name="Header2 2 2 2 3 2 3" xfId="16121"/>
    <cellStyle name="Header2 2 2 2 3 2 3 2" xfId="18971"/>
    <cellStyle name="Header2 2 2 2 3 2 3 2 2" xfId="30788"/>
    <cellStyle name="Header2 2 2 2 3 2 3 2 2 2" xfId="40787"/>
    <cellStyle name="Header2 2 2 2 3 2 3 2 3" xfId="26446"/>
    <cellStyle name="Header2 2 2 2 3 2 3 2 4" xfId="35636"/>
    <cellStyle name="Header2 2 2 2 3 2 3 3" xfId="19577"/>
    <cellStyle name="Header2 2 2 2 3 2 3 3 2" xfId="31394"/>
    <cellStyle name="Header2 2 2 2 3 2 3 3 2 2" xfId="41393"/>
    <cellStyle name="Header2 2 2 2 3 2 3 3 3" xfId="27052"/>
    <cellStyle name="Header2 2 2 2 3 2 3 3 4" xfId="36242"/>
    <cellStyle name="Header2 2 2 2 3 2 3 4" xfId="18195"/>
    <cellStyle name="Header2 2 2 2 3 2 3 4 2" xfId="30012"/>
    <cellStyle name="Header2 2 2 2 3 2 3 4 2 2" xfId="40011"/>
    <cellStyle name="Header2 2 2 2 3 2 3 4 3" xfId="25770"/>
    <cellStyle name="Header2 2 2 2 3 2 3 4 4" xfId="34860"/>
    <cellStyle name="Header2 2 2 2 3 2 3 5" xfId="20386"/>
    <cellStyle name="Header2 2 2 2 3 2 3 5 2" xfId="32203"/>
    <cellStyle name="Header2 2 2 2 3 2 3 5 2 2" xfId="42202"/>
    <cellStyle name="Header2 2 2 2 3 2 3 5 3" xfId="37051"/>
    <cellStyle name="Header2 2 2 2 3 2 3 6" xfId="27938"/>
    <cellStyle name="Header2 2 2 2 3 2 3 6 2" xfId="37937"/>
    <cellStyle name="Header2 2 2 2 3 2 3 7" xfId="21735"/>
    <cellStyle name="Header2 2 2 2 3 2 4" xfId="16403"/>
    <cellStyle name="Header2 2 2 2 3 2 4 2" xfId="28220"/>
    <cellStyle name="Header2 2 2 2 3 2 4 2 2" xfId="38219"/>
    <cellStyle name="Header2 2 2 2 3 2 4 3" xfId="23978"/>
    <cellStyle name="Header2 2 2 2 3 2 4 4" xfId="33068"/>
    <cellStyle name="Header2 2 2 2 3 2 5" xfId="16729"/>
    <cellStyle name="Header2 2 2 2 3 2 5 2" xfId="28546"/>
    <cellStyle name="Header2 2 2 2 3 2 5 2 2" xfId="38545"/>
    <cellStyle name="Header2 2 2 2 3 2 5 3" xfId="24304"/>
    <cellStyle name="Header2 2 2 2 3 2 5 4" xfId="33394"/>
    <cellStyle name="Header2 2 2 2 3 2 6" xfId="17024"/>
    <cellStyle name="Header2 2 2 2 3 2 6 2" xfId="28841"/>
    <cellStyle name="Header2 2 2 2 3 2 6 2 2" xfId="38840"/>
    <cellStyle name="Header2 2 2 2 3 2 6 3" xfId="24599"/>
    <cellStyle name="Header2 2 2 2 3 2 6 4" xfId="33689"/>
    <cellStyle name="Header2 2 2 2 3 2 7" xfId="17055"/>
    <cellStyle name="Header2 2 2 2 3 2 7 2" xfId="28872"/>
    <cellStyle name="Header2 2 2 2 3 2 7 2 2" xfId="38871"/>
    <cellStyle name="Header2 2 2 2 3 2 7 3" xfId="24630"/>
    <cellStyle name="Header2 2 2 2 3 2 7 4" xfId="33720"/>
    <cellStyle name="Header2 2 2 2 3 2 8" xfId="17358"/>
    <cellStyle name="Header2 2 2 2 3 2 8 2" xfId="29175"/>
    <cellStyle name="Header2 2 2 2 3 2 8 2 2" xfId="39174"/>
    <cellStyle name="Header2 2 2 2 3 2 8 3" xfId="24933"/>
    <cellStyle name="Header2 2 2 2 3 2 8 4" xfId="34023"/>
    <cellStyle name="Header2 2 2 2 3 2 9" xfId="18577"/>
    <cellStyle name="Header2 2 2 2 3 2 9 2" xfId="30394"/>
    <cellStyle name="Header2 2 2 2 3 2 9 2 2" xfId="40393"/>
    <cellStyle name="Header2 2 2 2 3 2 9 3" xfId="26052"/>
    <cellStyle name="Header2 2 2 2 3 2 9 4" xfId="35242"/>
    <cellStyle name="Header2 2 2 2 3 3" xfId="7734"/>
    <cellStyle name="Header2 2 2 2 3 3 10" xfId="18836"/>
    <cellStyle name="Header2 2 2 2 3 3 10 2" xfId="30653"/>
    <cellStyle name="Header2 2 2 2 3 3 10 2 2" xfId="40652"/>
    <cellStyle name="Header2 2 2 2 3 3 10 3" xfId="26311"/>
    <cellStyle name="Header2 2 2 2 3 3 10 4" xfId="35501"/>
    <cellStyle name="Header2 2 2 2 3 3 11" xfId="20352"/>
    <cellStyle name="Header2 2 2 2 3 3 11 2" xfId="32169"/>
    <cellStyle name="Header2 2 2 2 3 3 11 2 2" xfId="42168"/>
    <cellStyle name="Header2 2 2 2 3 3 11 3" xfId="37017"/>
    <cellStyle name="Header2 2 2 2 3 3 12" xfId="23368"/>
    <cellStyle name="Header2 2 2 2 3 3 12 2" xfId="21118"/>
    <cellStyle name="Header2 2 2 2 3 3 13" xfId="22762"/>
    <cellStyle name="Header2 2 2 2 3 3 2" xfId="15541"/>
    <cellStyle name="Header2 2 2 2 3 3 2 2" xfId="19252"/>
    <cellStyle name="Header2 2 2 2 3 3 2 2 2" xfId="31069"/>
    <cellStyle name="Header2 2 2 2 3 3 2 2 2 2" xfId="41068"/>
    <cellStyle name="Header2 2 2 2 3 3 2 2 3" xfId="26727"/>
    <cellStyle name="Header2 2 2 2 3 3 2 2 4" xfId="35917"/>
    <cellStyle name="Header2 2 2 2 3 3 2 3" xfId="19858"/>
    <cellStyle name="Header2 2 2 2 3 3 2 3 2" xfId="31675"/>
    <cellStyle name="Header2 2 2 2 3 3 2 3 2 2" xfId="41674"/>
    <cellStyle name="Header2 2 2 2 3 3 2 3 3" xfId="27333"/>
    <cellStyle name="Header2 2 2 2 3 3 2 3 4" xfId="36523"/>
    <cellStyle name="Header2 2 2 2 3 3 2 4" xfId="17940"/>
    <cellStyle name="Header2 2 2 2 3 3 2 4 2" xfId="29757"/>
    <cellStyle name="Header2 2 2 2 3 3 2 4 2 2" xfId="39756"/>
    <cellStyle name="Header2 2 2 2 3 3 2 4 3" xfId="25515"/>
    <cellStyle name="Header2 2 2 2 3 3 2 4 4" xfId="34605"/>
    <cellStyle name="Header2 2 2 2 3 3 2 5" xfId="20667"/>
    <cellStyle name="Header2 2 2 2 3 3 2 5 2" xfId="32484"/>
    <cellStyle name="Header2 2 2 2 3 3 2 5 2 2" xfId="42483"/>
    <cellStyle name="Header2 2 2 2 3 3 2 5 3" xfId="37332"/>
    <cellStyle name="Header2 2 2 2 3 3 2 6" xfId="23419"/>
    <cellStyle name="Header2 2 2 2 3 3 2 6 2" xfId="21920"/>
    <cellStyle name="Header2 2 2 2 3 3 2 7" xfId="23084"/>
    <cellStyle name="Header2 2 2 2 3 3 2 7 2" xfId="22053"/>
    <cellStyle name="Header2 2 2 2 3 3 2 8" xfId="22342"/>
    <cellStyle name="Header2 2 2 2 3 3 3" xfId="16122"/>
    <cellStyle name="Header2 2 2 2 3 3 3 2" xfId="19512"/>
    <cellStyle name="Header2 2 2 2 3 3 3 2 2" xfId="31329"/>
    <cellStyle name="Header2 2 2 2 3 3 3 2 2 2" xfId="41328"/>
    <cellStyle name="Header2 2 2 2 3 3 3 2 3" xfId="26987"/>
    <cellStyle name="Header2 2 2 2 3 3 3 2 4" xfId="36177"/>
    <cellStyle name="Header2 2 2 2 3 3 3 3" xfId="20118"/>
    <cellStyle name="Header2 2 2 2 3 3 3 3 2" xfId="31935"/>
    <cellStyle name="Header2 2 2 2 3 3 3 3 2 2" xfId="41934"/>
    <cellStyle name="Header2 2 2 2 3 3 3 3 3" xfId="27593"/>
    <cellStyle name="Header2 2 2 2 3 3 3 3 4" xfId="36783"/>
    <cellStyle name="Header2 2 2 2 3 3 3 4" xfId="18044"/>
    <cellStyle name="Header2 2 2 2 3 3 3 4 2" xfId="29861"/>
    <cellStyle name="Header2 2 2 2 3 3 3 4 2 2" xfId="39860"/>
    <cellStyle name="Header2 2 2 2 3 3 3 4 3" xfId="25619"/>
    <cellStyle name="Header2 2 2 2 3 3 3 4 4" xfId="34709"/>
    <cellStyle name="Header2 2 2 2 3 3 3 5" xfId="20927"/>
    <cellStyle name="Header2 2 2 2 3 3 3 5 2" xfId="32744"/>
    <cellStyle name="Header2 2 2 2 3 3 3 5 2 2" xfId="42743"/>
    <cellStyle name="Header2 2 2 2 3 3 3 5 3" xfId="37592"/>
    <cellStyle name="Header2 2 2 2 3 3 3 6" xfId="27939"/>
    <cellStyle name="Header2 2 2 2 3 3 3 6 2" xfId="37938"/>
    <cellStyle name="Header2 2 2 2 3 3 3 7" xfId="21456"/>
    <cellStyle name="Header2 2 2 2 3 3 4" xfId="15841"/>
    <cellStyle name="Header2 2 2 2 3 3 4 2" xfId="27658"/>
    <cellStyle name="Header2 2 2 2 3 3 4 2 2" xfId="37657"/>
    <cellStyle name="Header2 2 2 2 3 3 4 3" xfId="23719"/>
    <cellStyle name="Header2 2 2 2 3 3 4 4" xfId="32809"/>
    <cellStyle name="Header2 2 2 2 3 3 5" xfId="16728"/>
    <cellStyle name="Header2 2 2 2 3 3 5 2" xfId="28545"/>
    <cellStyle name="Header2 2 2 2 3 3 5 2 2" xfId="38544"/>
    <cellStyle name="Header2 2 2 2 3 3 5 3" xfId="24303"/>
    <cellStyle name="Header2 2 2 2 3 3 5 4" xfId="33393"/>
    <cellStyle name="Header2 2 2 2 3 3 6" xfId="16988"/>
    <cellStyle name="Header2 2 2 2 3 3 6 2" xfId="28805"/>
    <cellStyle name="Header2 2 2 2 3 3 6 2 2" xfId="38804"/>
    <cellStyle name="Header2 2 2 2 3 3 6 3" xfId="24563"/>
    <cellStyle name="Header2 2 2 2 3 3 6 4" xfId="33653"/>
    <cellStyle name="Header2 2 2 2 3 3 7" xfId="17056"/>
    <cellStyle name="Header2 2 2 2 3 3 7 2" xfId="28873"/>
    <cellStyle name="Header2 2 2 2 3 3 7 2 2" xfId="38872"/>
    <cellStyle name="Header2 2 2 2 3 3 7 3" xfId="24631"/>
    <cellStyle name="Header2 2 2 2 3 3 7 4" xfId="33721"/>
    <cellStyle name="Header2 2 2 2 3 3 8" xfId="17359"/>
    <cellStyle name="Header2 2 2 2 3 3 8 2" xfId="29176"/>
    <cellStyle name="Header2 2 2 2 3 3 8 2 2" xfId="39175"/>
    <cellStyle name="Header2 2 2 2 3 3 8 3" xfId="24934"/>
    <cellStyle name="Header2 2 2 2 3 3 8 4" xfId="34024"/>
    <cellStyle name="Header2 2 2 2 3 3 9" xfId="18576"/>
    <cellStyle name="Header2 2 2 2 3 3 9 2" xfId="30393"/>
    <cellStyle name="Header2 2 2 2 3 3 9 2 2" xfId="40392"/>
    <cellStyle name="Header2 2 2 2 3 3 9 3" xfId="26051"/>
    <cellStyle name="Header2 2 2 2 3 3 9 4" xfId="35241"/>
    <cellStyle name="Header2 2 2 2 3 4" xfId="7735"/>
    <cellStyle name="Header2 2 2 2 3 4 10" xfId="17871"/>
    <cellStyle name="Header2 2 2 2 3 4 10 2" xfId="29688"/>
    <cellStyle name="Header2 2 2 2 3 4 10 2 2" xfId="39687"/>
    <cellStyle name="Header2 2 2 2 3 4 10 3" xfId="25446"/>
    <cellStyle name="Header2 2 2 2 3 4 10 4" xfId="34536"/>
    <cellStyle name="Header2 2 2 2 3 4 11" xfId="18208"/>
    <cellStyle name="Header2 2 2 2 3 4 11 2" xfId="30025"/>
    <cellStyle name="Header2 2 2 2 3 4 11 2 2" xfId="40024"/>
    <cellStyle name="Header2 2 2 2 3 4 11 3" xfId="34873"/>
    <cellStyle name="Header2 2 2 2 3 4 12" xfId="23367"/>
    <cellStyle name="Header2 2 2 2 3 4 12 2" xfId="21119"/>
    <cellStyle name="Header2 2 2 2 3 4 13" xfId="22761"/>
    <cellStyle name="Header2 2 2 2 3 4 2" xfId="15542"/>
    <cellStyle name="Header2 2 2 2 3 4 2 2" xfId="19251"/>
    <cellStyle name="Header2 2 2 2 3 4 2 2 2" xfId="31068"/>
    <cellStyle name="Header2 2 2 2 3 4 2 2 2 2" xfId="41067"/>
    <cellStyle name="Header2 2 2 2 3 4 2 2 3" xfId="26726"/>
    <cellStyle name="Header2 2 2 2 3 4 2 2 4" xfId="35916"/>
    <cellStyle name="Header2 2 2 2 3 4 2 3" xfId="19857"/>
    <cellStyle name="Header2 2 2 2 3 4 2 3 2" xfId="31674"/>
    <cellStyle name="Header2 2 2 2 3 4 2 3 2 2" xfId="41673"/>
    <cellStyle name="Header2 2 2 2 3 4 2 3 3" xfId="27332"/>
    <cellStyle name="Header2 2 2 2 3 4 2 3 4" xfId="36522"/>
    <cellStyle name="Header2 2 2 2 3 4 2 4" xfId="17941"/>
    <cellStyle name="Header2 2 2 2 3 4 2 4 2" xfId="29758"/>
    <cellStyle name="Header2 2 2 2 3 4 2 4 2 2" xfId="39757"/>
    <cellStyle name="Header2 2 2 2 3 4 2 4 3" xfId="25516"/>
    <cellStyle name="Header2 2 2 2 3 4 2 4 4" xfId="34606"/>
    <cellStyle name="Header2 2 2 2 3 4 2 5" xfId="20666"/>
    <cellStyle name="Header2 2 2 2 3 4 2 5 2" xfId="32483"/>
    <cellStyle name="Header2 2 2 2 3 4 2 5 2 2" xfId="42482"/>
    <cellStyle name="Header2 2 2 2 3 4 2 5 3" xfId="37331"/>
    <cellStyle name="Header2 2 2 2 3 4 2 6" xfId="23420"/>
    <cellStyle name="Header2 2 2 2 3 4 2 6 2" xfId="21919"/>
    <cellStyle name="Header2 2 2 2 3 4 2 7" xfId="23083"/>
    <cellStyle name="Header2 2 2 2 3 4 2 7 2" xfId="21284"/>
    <cellStyle name="Header2 2 2 2 3 4 2 8" xfId="22343"/>
    <cellStyle name="Header2 2 2 2 3 4 3" xfId="16123"/>
    <cellStyle name="Header2 2 2 2 3 4 3 2" xfId="18970"/>
    <cellStyle name="Header2 2 2 2 3 4 3 2 2" xfId="30787"/>
    <cellStyle name="Header2 2 2 2 3 4 3 2 2 2" xfId="40786"/>
    <cellStyle name="Header2 2 2 2 3 4 3 2 3" xfId="26445"/>
    <cellStyle name="Header2 2 2 2 3 4 3 2 4" xfId="35635"/>
    <cellStyle name="Header2 2 2 2 3 4 3 3" xfId="19576"/>
    <cellStyle name="Header2 2 2 2 3 4 3 3 2" xfId="31393"/>
    <cellStyle name="Header2 2 2 2 3 4 3 3 2 2" xfId="41392"/>
    <cellStyle name="Header2 2 2 2 3 4 3 3 3" xfId="27051"/>
    <cellStyle name="Header2 2 2 2 3 4 3 3 4" xfId="36241"/>
    <cellStyle name="Header2 2 2 2 3 4 3 4" xfId="17839"/>
    <cellStyle name="Header2 2 2 2 3 4 3 4 2" xfId="29656"/>
    <cellStyle name="Header2 2 2 2 3 4 3 4 2 2" xfId="39655"/>
    <cellStyle name="Header2 2 2 2 3 4 3 4 3" xfId="25414"/>
    <cellStyle name="Header2 2 2 2 3 4 3 4 4" xfId="34504"/>
    <cellStyle name="Header2 2 2 2 3 4 3 5" xfId="20385"/>
    <cellStyle name="Header2 2 2 2 3 4 3 5 2" xfId="32202"/>
    <cellStyle name="Header2 2 2 2 3 4 3 5 2 2" xfId="42201"/>
    <cellStyle name="Header2 2 2 2 3 4 3 5 3" xfId="37050"/>
    <cellStyle name="Header2 2 2 2 3 4 3 6" xfId="27940"/>
    <cellStyle name="Header2 2 2 2 3 4 3 6 2" xfId="37939"/>
    <cellStyle name="Header2 2 2 2 3 4 3 7" xfId="21736"/>
    <cellStyle name="Header2 2 2 2 3 4 4" xfId="16404"/>
    <cellStyle name="Header2 2 2 2 3 4 4 2" xfId="28221"/>
    <cellStyle name="Header2 2 2 2 3 4 4 2 2" xfId="38220"/>
    <cellStyle name="Header2 2 2 2 3 4 4 3" xfId="23979"/>
    <cellStyle name="Header2 2 2 2 3 4 4 4" xfId="33069"/>
    <cellStyle name="Header2 2 2 2 3 4 5" xfId="16727"/>
    <cellStyle name="Header2 2 2 2 3 4 5 2" xfId="28544"/>
    <cellStyle name="Header2 2 2 2 3 4 5 2 2" xfId="38543"/>
    <cellStyle name="Header2 2 2 2 3 4 5 3" xfId="24302"/>
    <cellStyle name="Header2 2 2 2 3 4 5 4" xfId="33392"/>
    <cellStyle name="Header2 2 2 2 3 4 6" xfId="16444"/>
    <cellStyle name="Header2 2 2 2 3 4 6 2" xfId="28261"/>
    <cellStyle name="Header2 2 2 2 3 4 6 2 2" xfId="38260"/>
    <cellStyle name="Header2 2 2 2 3 4 6 3" xfId="24019"/>
    <cellStyle name="Header2 2 2 2 3 4 6 4" xfId="33109"/>
    <cellStyle name="Header2 2 2 2 3 4 7" xfId="17057"/>
    <cellStyle name="Header2 2 2 2 3 4 7 2" xfId="28874"/>
    <cellStyle name="Header2 2 2 2 3 4 7 2 2" xfId="38873"/>
    <cellStyle name="Header2 2 2 2 3 4 7 3" xfId="24632"/>
    <cellStyle name="Header2 2 2 2 3 4 7 4" xfId="33722"/>
    <cellStyle name="Header2 2 2 2 3 4 8" xfId="17360"/>
    <cellStyle name="Header2 2 2 2 3 4 8 2" xfId="29177"/>
    <cellStyle name="Header2 2 2 2 3 4 8 2 2" xfId="39176"/>
    <cellStyle name="Header2 2 2 2 3 4 8 3" xfId="24935"/>
    <cellStyle name="Header2 2 2 2 3 4 8 4" xfId="34025"/>
    <cellStyle name="Header2 2 2 2 3 4 9" xfId="18575"/>
    <cellStyle name="Header2 2 2 2 3 4 9 2" xfId="30392"/>
    <cellStyle name="Header2 2 2 2 3 4 9 2 2" xfId="40391"/>
    <cellStyle name="Header2 2 2 2 3 4 9 3" xfId="26050"/>
    <cellStyle name="Header2 2 2 2 3 4 9 4" xfId="35240"/>
    <cellStyle name="Header2 2 2 2 3 5" xfId="15539"/>
    <cellStyle name="Header2 2 2 2 3 5 2" xfId="19254"/>
    <cellStyle name="Header2 2 2 2 3 5 2 2" xfId="31071"/>
    <cellStyle name="Header2 2 2 2 3 5 2 2 2" xfId="41070"/>
    <cellStyle name="Header2 2 2 2 3 5 2 3" xfId="26729"/>
    <cellStyle name="Header2 2 2 2 3 5 2 4" xfId="35919"/>
    <cellStyle name="Header2 2 2 2 3 5 3" xfId="19860"/>
    <cellStyle name="Header2 2 2 2 3 5 3 2" xfId="31677"/>
    <cellStyle name="Header2 2 2 2 3 5 3 2 2" xfId="41676"/>
    <cellStyle name="Header2 2 2 2 3 5 3 3" xfId="27335"/>
    <cellStyle name="Header2 2 2 2 3 5 3 4" xfId="36525"/>
    <cellStyle name="Header2 2 2 2 3 5 4" xfId="17677"/>
    <cellStyle name="Header2 2 2 2 3 5 4 2" xfId="29494"/>
    <cellStyle name="Header2 2 2 2 3 5 4 2 2" xfId="39493"/>
    <cellStyle name="Header2 2 2 2 3 5 4 3" xfId="25252"/>
    <cellStyle name="Header2 2 2 2 3 5 4 4" xfId="34342"/>
    <cellStyle name="Header2 2 2 2 3 5 5" xfId="20669"/>
    <cellStyle name="Header2 2 2 2 3 5 5 2" xfId="32486"/>
    <cellStyle name="Header2 2 2 2 3 5 5 2 2" xfId="42485"/>
    <cellStyle name="Header2 2 2 2 3 5 5 3" xfId="37334"/>
    <cellStyle name="Header2 2 2 2 3 5 6" xfId="23417"/>
    <cellStyle name="Header2 2 2 2 3 5 6 2" xfId="21922"/>
    <cellStyle name="Header2 2 2 2 3 5 7" xfId="23086"/>
    <cellStyle name="Header2 2 2 2 3 5 7 2" xfId="21282"/>
    <cellStyle name="Header2 2 2 2 3 5 8" xfId="22340"/>
    <cellStyle name="Header2 2 2 2 3 6" xfId="16120"/>
    <cellStyle name="Header2 2 2 2 3 6 2" xfId="19546"/>
    <cellStyle name="Header2 2 2 2 3 6 2 2" xfId="31363"/>
    <cellStyle name="Header2 2 2 2 3 6 2 2 2" xfId="41362"/>
    <cellStyle name="Header2 2 2 2 3 6 2 3" xfId="27021"/>
    <cellStyle name="Header2 2 2 2 3 6 2 4" xfId="36211"/>
    <cellStyle name="Header2 2 2 2 3 6 3" xfId="20152"/>
    <cellStyle name="Header2 2 2 2 3 6 3 2" xfId="31969"/>
    <cellStyle name="Header2 2 2 2 3 6 3 2 2" xfId="41968"/>
    <cellStyle name="Header2 2 2 2 3 6 3 3" xfId="27627"/>
    <cellStyle name="Header2 2 2 2 3 6 3 4" xfId="36817"/>
    <cellStyle name="Header2 2 2 2 3 6 4" xfId="17877"/>
    <cellStyle name="Header2 2 2 2 3 6 4 2" xfId="29694"/>
    <cellStyle name="Header2 2 2 2 3 6 4 2 2" xfId="39693"/>
    <cellStyle name="Header2 2 2 2 3 6 4 3" xfId="25452"/>
    <cellStyle name="Header2 2 2 2 3 6 4 4" xfId="34542"/>
    <cellStyle name="Header2 2 2 2 3 6 5" xfId="20961"/>
    <cellStyle name="Header2 2 2 2 3 6 5 2" xfId="32778"/>
    <cellStyle name="Header2 2 2 2 3 6 5 2 2" xfId="42777"/>
    <cellStyle name="Header2 2 2 2 3 6 5 3" xfId="37626"/>
    <cellStyle name="Header2 2 2 2 3 6 6" xfId="27937"/>
    <cellStyle name="Header2 2 2 2 3 6 6 2" xfId="37936"/>
    <cellStyle name="Header2 2 2 2 3 6 7" xfId="21434"/>
    <cellStyle name="Header2 2 2 2 3 7" xfId="15825"/>
    <cellStyle name="Header2 2 2 2 3 7 2" xfId="27642"/>
    <cellStyle name="Header2 2 2 2 3 7 2 2" xfId="37641"/>
    <cellStyle name="Header2 2 2 2 3 7 3" xfId="23703"/>
    <cellStyle name="Header2 2 2 2 3 7 4" xfId="32793"/>
    <cellStyle name="Header2 2 2 2 3 8" xfId="16730"/>
    <cellStyle name="Header2 2 2 2 3 8 2" xfId="28547"/>
    <cellStyle name="Header2 2 2 2 3 8 2 2" xfId="38546"/>
    <cellStyle name="Header2 2 2 2 3 8 3" xfId="24305"/>
    <cellStyle name="Header2 2 2 2 3 8 4" xfId="33395"/>
    <cellStyle name="Header2 2 2 2 3 9" xfId="16445"/>
    <cellStyle name="Header2 2 2 2 3 9 2" xfId="28262"/>
    <cellStyle name="Header2 2 2 2 3 9 2 2" xfId="38261"/>
    <cellStyle name="Header2 2 2 2 3 9 3" xfId="24020"/>
    <cellStyle name="Header2 2 2 2 3 9 4" xfId="33110"/>
    <cellStyle name="Header2 2 2 2 4" xfId="7736"/>
    <cellStyle name="Header2 2 2 2 4 10" xfId="17058"/>
    <cellStyle name="Header2 2 2 2 4 10 2" xfId="28875"/>
    <cellStyle name="Header2 2 2 2 4 10 2 2" xfId="38874"/>
    <cellStyle name="Header2 2 2 2 4 10 3" xfId="24633"/>
    <cellStyle name="Header2 2 2 2 4 10 4" xfId="33723"/>
    <cellStyle name="Header2 2 2 2 4 11" xfId="17361"/>
    <cellStyle name="Header2 2 2 2 4 11 2" xfId="29178"/>
    <cellStyle name="Header2 2 2 2 4 11 2 2" xfId="39177"/>
    <cellStyle name="Header2 2 2 2 4 11 3" xfId="24936"/>
    <cellStyle name="Header2 2 2 2 4 11 4" xfId="34026"/>
    <cellStyle name="Header2 2 2 2 4 12" xfId="18574"/>
    <cellStyle name="Header2 2 2 2 4 12 2" xfId="30391"/>
    <cellStyle name="Header2 2 2 2 4 12 2 2" xfId="40390"/>
    <cellStyle name="Header2 2 2 2 4 12 3" xfId="26049"/>
    <cellStyle name="Header2 2 2 2 4 12 4" xfId="35239"/>
    <cellStyle name="Header2 2 2 2 4 13" xfId="18938"/>
    <cellStyle name="Header2 2 2 2 4 13 2" xfId="30755"/>
    <cellStyle name="Header2 2 2 2 4 13 2 2" xfId="40754"/>
    <cellStyle name="Header2 2 2 2 4 13 3" xfId="26413"/>
    <cellStyle name="Header2 2 2 2 4 13 4" xfId="35603"/>
    <cellStyle name="Header2 2 2 2 4 14" xfId="20251"/>
    <cellStyle name="Header2 2 2 2 4 14 2" xfId="32068"/>
    <cellStyle name="Header2 2 2 2 4 14 2 2" xfId="42067"/>
    <cellStyle name="Header2 2 2 2 4 14 3" xfId="36916"/>
    <cellStyle name="Header2 2 2 2 4 15" xfId="23366"/>
    <cellStyle name="Header2 2 2 2 4 15 2" xfId="21936"/>
    <cellStyle name="Header2 2 2 2 4 16" xfId="22760"/>
    <cellStyle name="Header2 2 2 2 4 2" xfId="7737"/>
    <cellStyle name="Header2 2 2 2 4 2 10" xfId="18937"/>
    <cellStyle name="Header2 2 2 2 4 2 10 2" xfId="30754"/>
    <cellStyle name="Header2 2 2 2 4 2 10 2 2" xfId="40753"/>
    <cellStyle name="Header2 2 2 2 4 2 10 3" xfId="26412"/>
    <cellStyle name="Header2 2 2 2 4 2 10 4" xfId="35602"/>
    <cellStyle name="Header2 2 2 2 4 2 11" xfId="20348"/>
    <cellStyle name="Header2 2 2 2 4 2 11 2" xfId="32165"/>
    <cellStyle name="Header2 2 2 2 4 2 11 2 2" xfId="42164"/>
    <cellStyle name="Header2 2 2 2 4 2 11 3" xfId="37013"/>
    <cellStyle name="Header2 2 2 2 4 2 12" xfId="23365"/>
    <cellStyle name="Header2 2 2 2 4 2 12 2" xfId="21937"/>
    <cellStyle name="Header2 2 2 2 4 2 13" xfId="22759"/>
    <cellStyle name="Header2 2 2 2 4 2 2" xfId="15544"/>
    <cellStyle name="Header2 2 2 2 4 2 2 2" xfId="19249"/>
    <cellStyle name="Header2 2 2 2 4 2 2 2 2" xfId="31066"/>
    <cellStyle name="Header2 2 2 2 4 2 2 2 2 2" xfId="41065"/>
    <cellStyle name="Header2 2 2 2 4 2 2 2 3" xfId="26724"/>
    <cellStyle name="Header2 2 2 2 4 2 2 2 4" xfId="35914"/>
    <cellStyle name="Header2 2 2 2 4 2 2 3" xfId="19855"/>
    <cellStyle name="Header2 2 2 2 4 2 2 3 2" xfId="31672"/>
    <cellStyle name="Header2 2 2 2 4 2 2 3 2 2" xfId="41671"/>
    <cellStyle name="Header2 2 2 2 4 2 2 3 3" xfId="27330"/>
    <cellStyle name="Header2 2 2 2 4 2 2 3 4" xfId="36520"/>
    <cellStyle name="Header2 2 2 2 4 2 2 4" xfId="18130"/>
    <cellStyle name="Header2 2 2 2 4 2 2 4 2" xfId="29947"/>
    <cellStyle name="Header2 2 2 2 4 2 2 4 2 2" xfId="39946"/>
    <cellStyle name="Header2 2 2 2 4 2 2 4 3" xfId="25705"/>
    <cellStyle name="Header2 2 2 2 4 2 2 4 4" xfId="34795"/>
    <cellStyle name="Header2 2 2 2 4 2 2 5" xfId="20664"/>
    <cellStyle name="Header2 2 2 2 4 2 2 5 2" xfId="32481"/>
    <cellStyle name="Header2 2 2 2 4 2 2 5 2 2" xfId="42480"/>
    <cellStyle name="Header2 2 2 2 4 2 2 5 3" xfId="37329"/>
    <cellStyle name="Header2 2 2 2 4 2 2 6" xfId="23422"/>
    <cellStyle name="Header2 2 2 2 4 2 2 6 2" xfId="21918"/>
    <cellStyle name="Header2 2 2 2 4 2 2 7" xfId="23082"/>
    <cellStyle name="Header2 2 2 2 4 2 2 7 2" xfId="22054"/>
    <cellStyle name="Header2 2 2 2 4 2 2 8" xfId="21594"/>
    <cellStyle name="Header2 2 2 2 4 2 3" xfId="16125"/>
    <cellStyle name="Header2 2 2 2 4 2 3 2" xfId="19544"/>
    <cellStyle name="Header2 2 2 2 4 2 3 2 2" xfId="31361"/>
    <cellStyle name="Header2 2 2 2 4 2 3 2 2 2" xfId="41360"/>
    <cellStyle name="Header2 2 2 2 4 2 3 2 3" xfId="27019"/>
    <cellStyle name="Header2 2 2 2 4 2 3 2 4" xfId="36209"/>
    <cellStyle name="Header2 2 2 2 4 2 3 3" xfId="20150"/>
    <cellStyle name="Header2 2 2 2 4 2 3 3 2" xfId="31967"/>
    <cellStyle name="Header2 2 2 2 4 2 3 3 2 2" xfId="41966"/>
    <cellStyle name="Header2 2 2 2 4 2 3 3 3" xfId="27625"/>
    <cellStyle name="Header2 2 2 2 4 2 3 3 4" xfId="36815"/>
    <cellStyle name="Header2 2 2 2 4 2 3 4" xfId="17639"/>
    <cellStyle name="Header2 2 2 2 4 2 3 4 2" xfId="29456"/>
    <cellStyle name="Header2 2 2 2 4 2 3 4 2 2" xfId="39455"/>
    <cellStyle name="Header2 2 2 2 4 2 3 4 3" xfId="25214"/>
    <cellStyle name="Header2 2 2 2 4 2 3 4 4" xfId="34304"/>
    <cellStyle name="Header2 2 2 2 4 2 3 5" xfId="20959"/>
    <cellStyle name="Header2 2 2 2 4 2 3 5 2" xfId="32776"/>
    <cellStyle name="Header2 2 2 2 4 2 3 5 2 2" xfId="42775"/>
    <cellStyle name="Header2 2 2 2 4 2 3 5 3" xfId="37624"/>
    <cellStyle name="Header2 2 2 2 4 2 3 6" xfId="27942"/>
    <cellStyle name="Header2 2 2 2 4 2 3 6 2" xfId="37941"/>
    <cellStyle name="Header2 2 2 2 4 2 3 7" xfId="21436"/>
    <cellStyle name="Header2 2 2 2 4 2 4" xfId="15826"/>
    <cellStyle name="Header2 2 2 2 4 2 4 2" xfId="27643"/>
    <cellStyle name="Header2 2 2 2 4 2 4 2 2" xfId="37642"/>
    <cellStyle name="Header2 2 2 2 4 2 4 3" xfId="23704"/>
    <cellStyle name="Header2 2 2 2 4 2 4 4" xfId="32794"/>
    <cellStyle name="Header2 2 2 2 4 2 5" xfId="16725"/>
    <cellStyle name="Header2 2 2 2 4 2 5 2" xfId="28542"/>
    <cellStyle name="Header2 2 2 2 4 2 5 2 2" xfId="38541"/>
    <cellStyle name="Header2 2 2 2 4 2 5 3" xfId="24300"/>
    <cellStyle name="Header2 2 2 2 4 2 5 4" xfId="33390"/>
    <cellStyle name="Header2 2 2 2 4 2 6" xfId="17023"/>
    <cellStyle name="Header2 2 2 2 4 2 6 2" xfId="28840"/>
    <cellStyle name="Header2 2 2 2 4 2 6 2 2" xfId="38839"/>
    <cellStyle name="Header2 2 2 2 4 2 6 3" xfId="24598"/>
    <cellStyle name="Header2 2 2 2 4 2 6 4" xfId="33688"/>
    <cellStyle name="Header2 2 2 2 4 2 7" xfId="17059"/>
    <cellStyle name="Header2 2 2 2 4 2 7 2" xfId="28876"/>
    <cellStyle name="Header2 2 2 2 4 2 7 2 2" xfId="38875"/>
    <cellStyle name="Header2 2 2 2 4 2 7 3" xfId="24634"/>
    <cellStyle name="Header2 2 2 2 4 2 7 4" xfId="33724"/>
    <cellStyle name="Header2 2 2 2 4 2 8" xfId="17362"/>
    <cellStyle name="Header2 2 2 2 4 2 8 2" xfId="29179"/>
    <cellStyle name="Header2 2 2 2 4 2 8 2 2" xfId="39178"/>
    <cellStyle name="Header2 2 2 2 4 2 8 3" xfId="24937"/>
    <cellStyle name="Header2 2 2 2 4 2 8 4" xfId="34027"/>
    <cellStyle name="Header2 2 2 2 4 2 9" xfId="18573"/>
    <cellStyle name="Header2 2 2 2 4 2 9 2" xfId="30390"/>
    <cellStyle name="Header2 2 2 2 4 2 9 2 2" xfId="40389"/>
    <cellStyle name="Header2 2 2 2 4 2 9 3" xfId="26048"/>
    <cellStyle name="Header2 2 2 2 4 2 9 4" xfId="35238"/>
    <cellStyle name="Header2 2 2 2 4 3" xfId="7738"/>
    <cellStyle name="Header2 2 2 2 4 3 10" xfId="17870"/>
    <cellStyle name="Header2 2 2 2 4 3 10 2" xfId="29687"/>
    <cellStyle name="Header2 2 2 2 4 3 10 2 2" xfId="39686"/>
    <cellStyle name="Header2 2 2 2 4 3 10 3" xfId="25445"/>
    <cellStyle name="Header2 2 2 2 4 3 10 4" xfId="34535"/>
    <cellStyle name="Header2 2 2 2 4 3 11" xfId="20260"/>
    <cellStyle name="Header2 2 2 2 4 3 11 2" xfId="32077"/>
    <cellStyle name="Header2 2 2 2 4 3 11 2 2" xfId="42076"/>
    <cellStyle name="Header2 2 2 2 4 3 11 3" xfId="36925"/>
    <cellStyle name="Header2 2 2 2 4 3 12" xfId="23364"/>
    <cellStyle name="Header2 2 2 2 4 3 12 2" xfId="21938"/>
    <cellStyle name="Header2 2 2 2 4 3 13" xfId="22758"/>
    <cellStyle name="Header2 2 2 2 4 3 2" xfId="15545"/>
    <cellStyle name="Header2 2 2 2 4 3 2 2" xfId="19248"/>
    <cellStyle name="Header2 2 2 2 4 3 2 2 2" xfId="31065"/>
    <cellStyle name="Header2 2 2 2 4 3 2 2 2 2" xfId="41064"/>
    <cellStyle name="Header2 2 2 2 4 3 2 2 3" xfId="26723"/>
    <cellStyle name="Header2 2 2 2 4 3 2 2 4" xfId="35913"/>
    <cellStyle name="Header2 2 2 2 4 3 2 3" xfId="19854"/>
    <cellStyle name="Header2 2 2 2 4 3 2 3 2" xfId="31671"/>
    <cellStyle name="Header2 2 2 2 4 3 2 3 2 2" xfId="41670"/>
    <cellStyle name="Header2 2 2 2 4 3 2 3 3" xfId="27329"/>
    <cellStyle name="Header2 2 2 2 4 3 2 3 4" xfId="36519"/>
    <cellStyle name="Header2 2 2 2 4 3 2 4" xfId="17943"/>
    <cellStyle name="Header2 2 2 2 4 3 2 4 2" xfId="29760"/>
    <cellStyle name="Header2 2 2 2 4 3 2 4 2 2" xfId="39759"/>
    <cellStyle name="Header2 2 2 2 4 3 2 4 3" xfId="25518"/>
    <cellStyle name="Header2 2 2 2 4 3 2 4 4" xfId="34608"/>
    <cellStyle name="Header2 2 2 2 4 3 2 5" xfId="20663"/>
    <cellStyle name="Header2 2 2 2 4 3 2 5 2" xfId="32480"/>
    <cellStyle name="Header2 2 2 2 4 3 2 5 2 2" xfId="42479"/>
    <cellStyle name="Header2 2 2 2 4 3 2 5 3" xfId="37328"/>
    <cellStyle name="Header2 2 2 2 4 3 2 6" xfId="23423"/>
    <cellStyle name="Header2 2 2 2 4 3 2 6 2" xfId="21081"/>
    <cellStyle name="Header2 2 2 2 4 3 2 7" xfId="22899"/>
    <cellStyle name="Header2 2 2 2 4 3 2 7 2" xfId="21349"/>
    <cellStyle name="Header2 2 2 2 4 3 2 8" xfId="22344"/>
    <cellStyle name="Header2 2 2 2 4 3 3" xfId="16126"/>
    <cellStyle name="Header2 2 2 2 4 3 3 2" xfId="18969"/>
    <cellStyle name="Header2 2 2 2 4 3 3 2 2" xfId="30786"/>
    <cellStyle name="Header2 2 2 2 4 3 3 2 2 2" xfId="40785"/>
    <cellStyle name="Header2 2 2 2 4 3 3 2 3" xfId="26444"/>
    <cellStyle name="Header2 2 2 2 4 3 3 2 4" xfId="35634"/>
    <cellStyle name="Header2 2 2 2 4 3 3 3" xfId="19575"/>
    <cellStyle name="Header2 2 2 2 4 3 3 3 2" xfId="31392"/>
    <cellStyle name="Header2 2 2 2 4 3 3 3 2 2" xfId="41391"/>
    <cellStyle name="Header2 2 2 2 4 3 3 3 3" xfId="27050"/>
    <cellStyle name="Header2 2 2 2 4 3 3 3 4" xfId="36240"/>
    <cellStyle name="Header2 2 2 2 4 3 3 4" xfId="17840"/>
    <cellStyle name="Header2 2 2 2 4 3 3 4 2" xfId="29657"/>
    <cellStyle name="Header2 2 2 2 4 3 3 4 2 2" xfId="39656"/>
    <cellStyle name="Header2 2 2 2 4 3 3 4 3" xfId="25415"/>
    <cellStyle name="Header2 2 2 2 4 3 3 4 4" xfId="34505"/>
    <cellStyle name="Header2 2 2 2 4 3 3 5" xfId="20384"/>
    <cellStyle name="Header2 2 2 2 4 3 3 5 2" xfId="32201"/>
    <cellStyle name="Header2 2 2 2 4 3 3 5 2 2" xfId="42200"/>
    <cellStyle name="Header2 2 2 2 4 3 3 5 3" xfId="37049"/>
    <cellStyle name="Header2 2 2 2 4 3 3 6" xfId="27943"/>
    <cellStyle name="Header2 2 2 2 4 3 3 6 2" xfId="37942"/>
    <cellStyle name="Header2 2 2 2 4 3 3 7" xfId="22481"/>
    <cellStyle name="Header2 2 2 2 4 3 4" xfId="16405"/>
    <cellStyle name="Header2 2 2 2 4 3 4 2" xfId="28222"/>
    <cellStyle name="Header2 2 2 2 4 3 4 2 2" xfId="38221"/>
    <cellStyle name="Header2 2 2 2 4 3 4 3" xfId="23980"/>
    <cellStyle name="Header2 2 2 2 4 3 4 4" xfId="33070"/>
    <cellStyle name="Header2 2 2 2 4 3 5" xfId="16724"/>
    <cellStyle name="Header2 2 2 2 4 3 5 2" xfId="28541"/>
    <cellStyle name="Header2 2 2 2 4 3 5 2 2" xfId="38540"/>
    <cellStyle name="Header2 2 2 2 4 3 5 3" xfId="24299"/>
    <cellStyle name="Header2 2 2 2 4 3 5 4" xfId="33389"/>
    <cellStyle name="Header2 2 2 2 4 3 6" xfId="16442"/>
    <cellStyle name="Header2 2 2 2 4 3 6 2" xfId="28259"/>
    <cellStyle name="Header2 2 2 2 4 3 6 2 2" xfId="38258"/>
    <cellStyle name="Header2 2 2 2 4 3 6 3" xfId="24017"/>
    <cellStyle name="Header2 2 2 2 4 3 6 4" xfId="33107"/>
    <cellStyle name="Header2 2 2 2 4 3 7" xfId="17060"/>
    <cellStyle name="Header2 2 2 2 4 3 7 2" xfId="28877"/>
    <cellStyle name="Header2 2 2 2 4 3 7 2 2" xfId="38876"/>
    <cellStyle name="Header2 2 2 2 4 3 7 3" xfId="24635"/>
    <cellStyle name="Header2 2 2 2 4 3 7 4" xfId="33725"/>
    <cellStyle name="Header2 2 2 2 4 3 8" xfId="17363"/>
    <cellStyle name="Header2 2 2 2 4 3 8 2" xfId="29180"/>
    <cellStyle name="Header2 2 2 2 4 3 8 2 2" xfId="39179"/>
    <cellStyle name="Header2 2 2 2 4 3 8 3" xfId="24938"/>
    <cellStyle name="Header2 2 2 2 4 3 8 4" xfId="34028"/>
    <cellStyle name="Header2 2 2 2 4 3 9" xfId="18572"/>
    <cellStyle name="Header2 2 2 2 4 3 9 2" xfId="30389"/>
    <cellStyle name="Header2 2 2 2 4 3 9 2 2" xfId="40388"/>
    <cellStyle name="Header2 2 2 2 4 3 9 3" xfId="26047"/>
    <cellStyle name="Header2 2 2 2 4 3 9 4" xfId="35237"/>
    <cellStyle name="Header2 2 2 2 4 4" xfId="7739"/>
    <cellStyle name="Header2 2 2 2 4 4 10" xfId="18936"/>
    <cellStyle name="Header2 2 2 2 4 4 10 2" xfId="30753"/>
    <cellStyle name="Header2 2 2 2 4 4 10 2 2" xfId="40752"/>
    <cellStyle name="Header2 2 2 2 4 4 10 3" xfId="26411"/>
    <cellStyle name="Header2 2 2 2 4 4 10 4" xfId="35601"/>
    <cellStyle name="Header2 2 2 2 4 4 11" xfId="20357"/>
    <cellStyle name="Header2 2 2 2 4 4 11 2" xfId="32174"/>
    <cellStyle name="Header2 2 2 2 4 4 11 2 2" xfId="42173"/>
    <cellStyle name="Header2 2 2 2 4 4 11 3" xfId="37022"/>
    <cellStyle name="Header2 2 2 2 4 4 12" xfId="23363"/>
    <cellStyle name="Header2 2 2 2 4 4 12 2" xfId="21939"/>
    <cellStyle name="Header2 2 2 2 4 4 13" xfId="22757"/>
    <cellStyle name="Header2 2 2 2 4 4 2" xfId="15546"/>
    <cellStyle name="Header2 2 2 2 4 4 2 2" xfId="19247"/>
    <cellStyle name="Header2 2 2 2 4 4 2 2 2" xfId="31064"/>
    <cellStyle name="Header2 2 2 2 4 4 2 2 2 2" xfId="41063"/>
    <cellStyle name="Header2 2 2 2 4 4 2 2 3" xfId="26722"/>
    <cellStyle name="Header2 2 2 2 4 4 2 2 4" xfId="35912"/>
    <cellStyle name="Header2 2 2 2 4 4 2 3" xfId="19853"/>
    <cellStyle name="Header2 2 2 2 4 4 2 3 2" xfId="31670"/>
    <cellStyle name="Header2 2 2 2 4 4 2 3 2 2" xfId="41669"/>
    <cellStyle name="Header2 2 2 2 4 4 2 3 3" xfId="27328"/>
    <cellStyle name="Header2 2 2 2 4 4 2 3 4" xfId="36518"/>
    <cellStyle name="Header2 2 2 2 4 4 2 4" xfId="17944"/>
    <cellStyle name="Header2 2 2 2 4 4 2 4 2" xfId="29761"/>
    <cellStyle name="Header2 2 2 2 4 4 2 4 2 2" xfId="39760"/>
    <cellStyle name="Header2 2 2 2 4 4 2 4 3" xfId="25519"/>
    <cellStyle name="Header2 2 2 2 4 4 2 4 4" xfId="34609"/>
    <cellStyle name="Header2 2 2 2 4 4 2 5" xfId="20662"/>
    <cellStyle name="Header2 2 2 2 4 4 2 5 2" xfId="32479"/>
    <cellStyle name="Header2 2 2 2 4 4 2 5 2 2" xfId="42478"/>
    <cellStyle name="Header2 2 2 2 4 4 2 5 3" xfId="37327"/>
    <cellStyle name="Header2 2 2 2 4 4 2 6" xfId="23424"/>
    <cellStyle name="Header2 2 2 2 4 4 2 6 2" xfId="21080"/>
    <cellStyle name="Header2 2 2 2 4 4 2 7" xfId="22898"/>
    <cellStyle name="Header2 2 2 2 4 4 2 7 2" xfId="21350"/>
    <cellStyle name="Header2 2 2 2 4 4 2 8" xfId="21595"/>
    <cellStyle name="Header2 2 2 2 4 4 3" xfId="16127"/>
    <cellStyle name="Header2 2 2 2 4 4 3 2" xfId="19543"/>
    <cellStyle name="Header2 2 2 2 4 4 3 2 2" xfId="31360"/>
    <cellStyle name="Header2 2 2 2 4 4 3 2 2 2" xfId="41359"/>
    <cellStyle name="Header2 2 2 2 4 4 3 2 3" xfId="27018"/>
    <cellStyle name="Header2 2 2 2 4 4 3 2 4" xfId="36208"/>
    <cellStyle name="Header2 2 2 2 4 4 3 3" xfId="20149"/>
    <cellStyle name="Header2 2 2 2 4 4 3 3 2" xfId="31966"/>
    <cellStyle name="Header2 2 2 2 4 4 3 3 2 2" xfId="41965"/>
    <cellStyle name="Header2 2 2 2 4 4 3 3 3" xfId="27624"/>
    <cellStyle name="Header2 2 2 2 4 4 3 3 4" xfId="36814"/>
    <cellStyle name="Header2 2 2 2 4 4 3 4" xfId="18034"/>
    <cellStyle name="Header2 2 2 2 4 4 3 4 2" xfId="29851"/>
    <cellStyle name="Header2 2 2 2 4 4 3 4 2 2" xfId="39850"/>
    <cellStyle name="Header2 2 2 2 4 4 3 4 3" xfId="25609"/>
    <cellStyle name="Header2 2 2 2 4 4 3 4 4" xfId="34699"/>
    <cellStyle name="Header2 2 2 2 4 4 3 5" xfId="20958"/>
    <cellStyle name="Header2 2 2 2 4 4 3 5 2" xfId="32775"/>
    <cellStyle name="Header2 2 2 2 4 4 3 5 2 2" xfId="42774"/>
    <cellStyle name="Header2 2 2 2 4 4 3 5 3" xfId="37623"/>
    <cellStyle name="Header2 2 2 2 4 4 3 6" xfId="27944"/>
    <cellStyle name="Header2 2 2 2 4 4 3 6 2" xfId="37943"/>
    <cellStyle name="Header2 2 2 2 4 4 3 7" xfId="22208"/>
    <cellStyle name="Header2 2 2 2 4 4 4" xfId="15861"/>
    <cellStyle name="Header2 2 2 2 4 4 4 2" xfId="27678"/>
    <cellStyle name="Header2 2 2 2 4 4 4 2 2" xfId="37677"/>
    <cellStyle name="Header2 2 2 2 4 4 4 3" xfId="23739"/>
    <cellStyle name="Header2 2 2 2 4 4 4 4" xfId="32829"/>
    <cellStyle name="Header2 2 2 2 4 4 5" xfId="16723"/>
    <cellStyle name="Header2 2 2 2 4 4 5 2" xfId="28540"/>
    <cellStyle name="Header2 2 2 2 4 4 5 2 2" xfId="38539"/>
    <cellStyle name="Header2 2 2 2 4 4 5 3" xfId="24298"/>
    <cellStyle name="Header2 2 2 2 4 4 5 4" xfId="33388"/>
    <cellStyle name="Header2 2 2 2 4 4 6" xfId="17022"/>
    <cellStyle name="Header2 2 2 2 4 4 6 2" xfId="28839"/>
    <cellStyle name="Header2 2 2 2 4 4 6 2 2" xfId="38838"/>
    <cellStyle name="Header2 2 2 2 4 4 6 3" xfId="24597"/>
    <cellStyle name="Header2 2 2 2 4 4 6 4" xfId="33687"/>
    <cellStyle name="Header2 2 2 2 4 4 7" xfId="17061"/>
    <cellStyle name="Header2 2 2 2 4 4 7 2" xfId="28878"/>
    <cellStyle name="Header2 2 2 2 4 4 7 2 2" xfId="38877"/>
    <cellStyle name="Header2 2 2 2 4 4 7 3" xfId="24636"/>
    <cellStyle name="Header2 2 2 2 4 4 7 4" xfId="33726"/>
    <cellStyle name="Header2 2 2 2 4 4 8" xfId="17364"/>
    <cellStyle name="Header2 2 2 2 4 4 8 2" xfId="29181"/>
    <cellStyle name="Header2 2 2 2 4 4 8 2 2" xfId="39180"/>
    <cellStyle name="Header2 2 2 2 4 4 8 3" xfId="24939"/>
    <cellStyle name="Header2 2 2 2 4 4 8 4" xfId="34029"/>
    <cellStyle name="Header2 2 2 2 4 4 9" xfId="18571"/>
    <cellStyle name="Header2 2 2 2 4 4 9 2" xfId="30388"/>
    <cellStyle name="Header2 2 2 2 4 4 9 2 2" xfId="40387"/>
    <cellStyle name="Header2 2 2 2 4 4 9 3" xfId="26046"/>
    <cellStyle name="Header2 2 2 2 4 4 9 4" xfId="35236"/>
    <cellStyle name="Header2 2 2 2 4 5" xfId="15543"/>
    <cellStyle name="Header2 2 2 2 4 5 2" xfId="19250"/>
    <cellStyle name="Header2 2 2 2 4 5 2 2" xfId="31067"/>
    <cellStyle name="Header2 2 2 2 4 5 2 2 2" xfId="41066"/>
    <cellStyle name="Header2 2 2 2 4 5 2 3" xfId="26725"/>
    <cellStyle name="Header2 2 2 2 4 5 2 4" xfId="35915"/>
    <cellStyle name="Header2 2 2 2 4 5 3" xfId="19856"/>
    <cellStyle name="Header2 2 2 2 4 5 3 2" xfId="31673"/>
    <cellStyle name="Header2 2 2 2 4 5 3 2 2" xfId="41672"/>
    <cellStyle name="Header2 2 2 2 4 5 3 3" xfId="27331"/>
    <cellStyle name="Header2 2 2 2 4 5 3 4" xfId="36521"/>
    <cellStyle name="Header2 2 2 2 4 5 4" xfId="17942"/>
    <cellStyle name="Header2 2 2 2 4 5 4 2" xfId="29759"/>
    <cellStyle name="Header2 2 2 2 4 5 4 2 2" xfId="39758"/>
    <cellStyle name="Header2 2 2 2 4 5 4 3" xfId="25517"/>
    <cellStyle name="Header2 2 2 2 4 5 4 4" xfId="34607"/>
    <cellStyle name="Header2 2 2 2 4 5 5" xfId="20665"/>
    <cellStyle name="Header2 2 2 2 4 5 5 2" xfId="32482"/>
    <cellStyle name="Header2 2 2 2 4 5 5 2 2" xfId="42481"/>
    <cellStyle name="Header2 2 2 2 4 5 5 3" xfId="37330"/>
    <cellStyle name="Header2 2 2 2 4 5 6" xfId="23421"/>
    <cellStyle name="Header2 2 2 2 4 5 6 2" xfId="21082"/>
    <cellStyle name="Header2 2 2 2 4 5 7" xfId="22900"/>
    <cellStyle name="Header2 2 2 2 4 5 7 2" xfId="21348"/>
    <cellStyle name="Header2 2 2 2 4 5 8" xfId="21593"/>
    <cellStyle name="Header2 2 2 2 4 6" xfId="16124"/>
    <cellStyle name="Header2 2 2 2 4 6 2" xfId="19545"/>
    <cellStyle name="Header2 2 2 2 4 6 2 2" xfId="31362"/>
    <cellStyle name="Header2 2 2 2 4 6 2 2 2" xfId="41361"/>
    <cellStyle name="Header2 2 2 2 4 6 2 3" xfId="27020"/>
    <cellStyle name="Header2 2 2 2 4 6 2 4" xfId="36210"/>
    <cellStyle name="Header2 2 2 2 4 6 3" xfId="20151"/>
    <cellStyle name="Header2 2 2 2 4 6 3 2" xfId="31968"/>
    <cellStyle name="Header2 2 2 2 4 6 3 2 2" xfId="41967"/>
    <cellStyle name="Header2 2 2 2 4 6 3 3" xfId="27626"/>
    <cellStyle name="Header2 2 2 2 4 6 3 4" xfId="36816"/>
    <cellStyle name="Header2 2 2 2 4 6 4" xfId="17745"/>
    <cellStyle name="Header2 2 2 2 4 6 4 2" xfId="29562"/>
    <cellStyle name="Header2 2 2 2 4 6 4 2 2" xfId="39561"/>
    <cellStyle name="Header2 2 2 2 4 6 4 3" xfId="25320"/>
    <cellStyle name="Header2 2 2 2 4 6 4 4" xfId="34410"/>
    <cellStyle name="Header2 2 2 2 4 6 5" xfId="20960"/>
    <cellStyle name="Header2 2 2 2 4 6 5 2" xfId="32777"/>
    <cellStyle name="Header2 2 2 2 4 6 5 2 2" xfId="42776"/>
    <cellStyle name="Header2 2 2 2 4 6 5 3" xfId="37625"/>
    <cellStyle name="Header2 2 2 2 4 6 6" xfId="27941"/>
    <cellStyle name="Header2 2 2 2 4 6 6 2" xfId="37940"/>
    <cellStyle name="Header2 2 2 2 4 6 7" xfId="21435"/>
    <cellStyle name="Header2 2 2 2 4 7" xfId="15860"/>
    <cellStyle name="Header2 2 2 2 4 7 2" xfId="27677"/>
    <cellStyle name="Header2 2 2 2 4 7 2 2" xfId="37676"/>
    <cellStyle name="Header2 2 2 2 4 7 3" xfId="23738"/>
    <cellStyle name="Header2 2 2 2 4 7 4" xfId="32828"/>
    <cellStyle name="Header2 2 2 2 4 8" xfId="16726"/>
    <cellStyle name="Header2 2 2 2 4 8 2" xfId="28543"/>
    <cellStyle name="Header2 2 2 2 4 8 2 2" xfId="38542"/>
    <cellStyle name="Header2 2 2 2 4 8 3" xfId="24301"/>
    <cellStyle name="Header2 2 2 2 4 8 4" xfId="33391"/>
    <cellStyle name="Header2 2 2 2 4 9" xfId="16443"/>
    <cellStyle name="Header2 2 2 2 4 9 2" xfId="28260"/>
    <cellStyle name="Header2 2 2 2 4 9 2 2" xfId="38259"/>
    <cellStyle name="Header2 2 2 2 4 9 3" xfId="24018"/>
    <cellStyle name="Header2 2 2 2 4 9 4" xfId="33108"/>
    <cellStyle name="Header2 2 2 2 5" xfId="7740"/>
    <cellStyle name="Header2 2 2 2 5 10" xfId="18835"/>
    <cellStyle name="Header2 2 2 2 5 10 2" xfId="30652"/>
    <cellStyle name="Header2 2 2 2 5 10 2 2" xfId="40651"/>
    <cellStyle name="Header2 2 2 2 5 10 3" xfId="26310"/>
    <cellStyle name="Header2 2 2 2 5 10 4" xfId="35500"/>
    <cellStyle name="Header2 2 2 2 5 11" xfId="18209"/>
    <cellStyle name="Header2 2 2 2 5 11 2" xfId="30026"/>
    <cellStyle name="Header2 2 2 2 5 11 2 2" xfId="40025"/>
    <cellStyle name="Header2 2 2 2 5 11 3" xfId="34874"/>
    <cellStyle name="Header2 2 2 2 5 12" xfId="23362"/>
    <cellStyle name="Header2 2 2 2 5 12 2" xfId="21940"/>
    <cellStyle name="Header2 2 2 2 5 13" xfId="22756"/>
    <cellStyle name="Header2 2 2 2 5 2" xfId="15547"/>
    <cellStyle name="Header2 2 2 2 5 2 2" xfId="19246"/>
    <cellStyle name="Header2 2 2 2 5 2 2 2" xfId="31063"/>
    <cellStyle name="Header2 2 2 2 5 2 2 2 2" xfId="41062"/>
    <cellStyle name="Header2 2 2 2 5 2 2 3" xfId="26721"/>
    <cellStyle name="Header2 2 2 2 5 2 2 4" xfId="35911"/>
    <cellStyle name="Header2 2 2 2 5 2 3" xfId="19852"/>
    <cellStyle name="Header2 2 2 2 5 2 3 2" xfId="31669"/>
    <cellStyle name="Header2 2 2 2 5 2 3 2 2" xfId="41668"/>
    <cellStyle name="Header2 2 2 2 5 2 3 3" xfId="27327"/>
    <cellStyle name="Header2 2 2 2 5 2 3 4" xfId="36517"/>
    <cellStyle name="Header2 2 2 2 5 2 4" xfId="17678"/>
    <cellStyle name="Header2 2 2 2 5 2 4 2" xfId="29495"/>
    <cellStyle name="Header2 2 2 2 5 2 4 2 2" xfId="39494"/>
    <cellStyle name="Header2 2 2 2 5 2 4 3" xfId="25253"/>
    <cellStyle name="Header2 2 2 2 5 2 4 4" xfId="34343"/>
    <cellStyle name="Header2 2 2 2 5 2 5" xfId="20661"/>
    <cellStyle name="Header2 2 2 2 5 2 5 2" xfId="32478"/>
    <cellStyle name="Header2 2 2 2 5 2 5 2 2" xfId="42477"/>
    <cellStyle name="Header2 2 2 2 5 2 5 3" xfId="37326"/>
    <cellStyle name="Header2 2 2 2 5 2 6" xfId="23425"/>
    <cellStyle name="Header2 2 2 2 5 2 6 2" xfId="21079"/>
    <cellStyle name="Header2 2 2 2 5 2 7" xfId="22897"/>
    <cellStyle name="Header2 2 2 2 5 2 7 2" xfId="22173"/>
    <cellStyle name="Header2 2 2 2 5 2 8" xfId="22345"/>
    <cellStyle name="Header2 2 2 2 5 3" xfId="16128"/>
    <cellStyle name="Header2 2 2 2 5 3 2" xfId="19511"/>
    <cellStyle name="Header2 2 2 2 5 3 2 2" xfId="31328"/>
    <cellStyle name="Header2 2 2 2 5 3 2 2 2" xfId="41327"/>
    <cellStyle name="Header2 2 2 2 5 3 2 3" xfId="26986"/>
    <cellStyle name="Header2 2 2 2 5 3 2 4" xfId="36176"/>
    <cellStyle name="Header2 2 2 2 5 3 3" xfId="20117"/>
    <cellStyle name="Header2 2 2 2 5 3 3 2" xfId="31934"/>
    <cellStyle name="Header2 2 2 2 5 3 3 2 2" xfId="41933"/>
    <cellStyle name="Header2 2 2 2 5 3 3 3" xfId="27592"/>
    <cellStyle name="Header2 2 2 2 5 3 3 4" xfId="36782"/>
    <cellStyle name="Header2 2 2 2 5 3 4" xfId="18045"/>
    <cellStyle name="Header2 2 2 2 5 3 4 2" xfId="29862"/>
    <cellStyle name="Header2 2 2 2 5 3 4 2 2" xfId="39861"/>
    <cellStyle name="Header2 2 2 2 5 3 4 3" xfId="25620"/>
    <cellStyle name="Header2 2 2 2 5 3 4 4" xfId="34710"/>
    <cellStyle name="Header2 2 2 2 5 3 5" xfId="20926"/>
    <cellStyle name="Header2 2 2 2 5 3 5 2" xfId="32743"/>
    <cellStyle name="Header2 2 2 2 5 3 5 2 2" xfId="42742"/>
    <cellStyle name="Header2 2 2 2 5 3 5 3" xfId="37591"/>
    <cellStyle name="Header2 2 2 2 5 3 6" xfId="27945"/>
    <cellStyle name="Header2 2 2 2 5 3 6 2" xfId="37944"/>
    <cellStyle name="Header2 2 2 2 5 3 7" xfId="21457"/>
    <cellStyle name="Header2 2 2 2 5 4" xfId="15842"/>
    <cellStyle name="Header2 2 2 2 5 4 2" xfId="27659"/>
    <cellStyle name="Header2 2 2 2 5 4 2 2" xfId="37658"/>
    <cellStyle name="Header2 2 2 2 5 4 3" xfId="23720"/>
    <cellStyle name="Header2 2 2 2 5 4 4" xfId="32810"/>
    <cellStyle name="Header2 2 2 2 5 5" xfId="16722"/>
    <cellStyle name="Header2 2 2 2 5 5 2" xfId="28539"/>
    <cellStyle name="Header2 2 2 2 5 5 2 2" xfId="38538"/>
    <cellStyle name="Header2 2 2 2 5 5 3" xfId="24297"/>
    <cellStyle name="Header2 2 2 2 5 5 4" xfId="33387"/>
    <cellStyle name="Header2 2 2 2 5 6" xfId="16987"/>
    <cellStyle name="Header2 2 2 2 5 6 2" xfId="28804"/>
    <cellStyle name="Header2 2 2 2 5 6 2 2" xfId="38803"/>
    <cellStyle name="Header2 2 2 2 5 6 3" xfId="24562"/>
    <cellStyle name="Header2 2 2 2 5 6 4" xfId="33652"/>
    <cellStyle name="Header2 2 2 2 5 7" xfId="17062"/>
    <cellStyle name="Header2 2 2 2 5 7 2" xfId="28879"/>
    <cellStyle name="Header2 2 2 2 5 7 2 2" xfId="38878"/>
    <cellStyle name="Header2 2 2 2 5 7 3" xfId="24637"/>
    <cellStyle name="Header2 2 2 2 5 7 4" xfId="33727"/>
    <cellStyle name="Header2 2 2 2 5 8" xfId="17365"/>
    <cellStyle name="Header2 2 2 2 5 8 2" xfId="29182"/>
    <cellStyle name="Header2 2 2 2 5 8 2 2" xfId="39181"/>
    <cellStyle name="Header2 2 2 2 5 8 3" xfId="24940"/>
    <cellStyle name="Header2 2 2 2 5 8 4" xfId="34030"/>
    <cellStyle name="Header2 2 2 2 5 9" xfId="18570"/>
    <cellStyle name="Header2 2 2 2 5 9 2" xfId="30387"/>
    <cellStyle name="Header2 2 2 2 5 9 2 2" xfId="40386"/>
    <cellStyle name="Header2 2 2 2 5 9 3" xfId="26045"/>
    <cellStyle name="Header2 2 2 2 5 9 4" xfId="35235"/>
    <cellStyle name="Header2 2 2 2 6" xfId="15528"/>
    <cellStyle name="Header2 2 2 2 6 2" xfId="19265"/>
    <cellStyle name="Header2 2 2 2 6 2 2" xfId="31082"/>
    <cellStyle name="Header2 2 2 2 6 2 2 2" xfId="41081"/>
    <cellStyle name="Header2 2 2 2 6 2 3" xfId="26740"/>
    <cellStyle name="Header2 2 2 2 6 2 4" xfId="35930"/>
    <cellStyle name="Header2 2 2 2 6 3" xfId="19871"/>
    <cellStyle name="Header2 2 2 2 6 3 2" xfId="31688"/>
    <cellStyle name="Header2 2 2 2 6 3 2 2" xfId="41687"/>
    <cellStyle name="Header2 2 2 2 6 3 3" xfId="27346"/>
    <cellStyle name="Header2 2 2 2 6 3 4" xfId="36536"/>
    <cellStyle name="Header2 2 2 2 6 4" xfId="17674"/>
    <cellStyle name="Header2 2 2 2 6 4 2" xfId="29491"/>
    <cellStyle name="Header2 2 2 2 6 4 2 2" xfId="39490"/>
    <cellStyle name="Header2 2 2 2 6 4 3" xfId="25249"/>
    <cellStyle name="Header2 2 2 2 6 4 4" xfId="34339"/>
    <cellStyle name="Header2 2 2 2 6 5" xfId="20680"/>
    <cellStyle name="Header2 2 2 2 6 5 2" xfId="32497"/>
    <cellStyle name="Header2 2 2 2 6 5 2 2" xfId="42496"/>
    <cellStyle name="Header2 2 2 2 6 5 3" xfId="37345"/>
    <cellStyle name="Header2 2 2 2 6 6" xfId="23406"/>
    <cellStyle name="Header2 2 2 2 6 6 2" xfId="21091"/>
    <cellStyle name="Header2 2 2 2 6 7" xfId="22909"/>
    <cellStyle name="Header2 2 2 2 6 7 2" xfId="22167"/>
    <cellStyle name="Header2 2 2 2 6 8" xfId="22332"/>
    <cellStyle name="Header2 2 2 2 7" xfId="16109"/>
    <cellStyle name="Header2 2 2 2 7 2" xfId="19520"/>
    <cellStyle name="Header2 2 2 2 7 2 2" xfId="31337"/>
    <cellStyle name="Header2 2 2 2 7 2 2 2" xfId="41336"/>
    <cellStyle name="Header2 2 2 2 7 2 3" xfId="26995"/>
    <cellStyle name="Header2 2 2 2 7 2 4" xfId="36185"/>
    <cellStyle name="Header2 2 2 2 7 3" xfId="20126"/>
    <cellStyle name="Header2 2 2 2 7 3 2" xfId="31943"/>
    <cellStyle name="Header2 2 2 2 7 3 2 2" xfId="41942"/>
    <cellStyle name="Header2 2 2 2 7 3 3" xfId="27601"/>
    <cellStyle name="Header2 2 2 2 7 3 4" xfId="36791"/>
    <cellStyle name="Header2 2 2 2 7 4" xfId="17751"/>
    <cellStyle name="Header2 2 2 2 7 4 2" xfId="29568"/>
    <cellStyle name="Header2 2 2 2 7 4 2 2" xfId="39567"/>
    <cellStyle name="Header2 2 2 2 7 4 3" xfId="25326"/>
    <cellStyle name="Header2 2 2 2 7 4 4" xfId="34416"/>
    <cellStyle name="Header2 2 2 2 7 5" xfId="20935"/>
    <cellStyle name="Header2 2 2 2 7 5 2" xfId="32752"/>
    <cellStyle name="Header2 2 2 2 7 5 2 2" xfId="42751"/>
    <cellStyle name="Header2 2 2 2 7 5 3" xfId="37600"/>
    <cellStyle name="Header2 2 2 2 7 6" xfId="27926"/>
    <cellStyle name="Header2 2 2 2 7 6 2" xfId="37925"/>
    <cellStyle name="Header2 2 2 2 7 7" xfId="22219"/>
    <cellStyle name="Header2 2 2 2 8" xfId="15874"/>
    <cellStyle name="Header2 2 2 2 8 2" xfId="27691"/>
    <cellStyle name="Header2 2 2 2 8 2 2" xfId="37690"/>
    <cellStyle name="Header2 2 2 2 8 3" xfId="23752"/>
    <cellStyle name="Header2 2 2 2 8 4" xfId="32842"/>
    <cellStyle name="Header2 2 2 2 9" xfId="16741"/>
    <cellStyle name="Header2 2 2 2 9 2" xfId="28558"/>
    <cellStyle name="Header2 2 2 2 9 2 2" xfId="38557"/>
    <cellStyle name="Header2 2 2 2 9 3" xfId="24316"/>
    <cellStyle name="Header2 2 2 2 9 4" xfId="33406"/>
    <cellStyle name="Header2 2 2 20" xfId="18599"/>
    <cellStyle name="Header2 2 2 20 2" xfId="30416"/>
    <cellStyle name="Header2 2 2 20 2 2" xfId="40415"/>
    <cellStyle name="Header2 2 2 20 3" xfId="26074"/>
    <cellStyle name="Header2 2 2 20 4" xfId="35264"/>
    <cellStyle name="Header2 2 2 21" xfId="18946"/>
    <cellStyle name="Header2 2 2 21 2" xfId="30763"/>
    <cellStyle name="Header2 2 2 21 2 2" xfId="40762"/>
    <cellStyle name="Header2 2 2 21 3" xfId="26421"/>
    <cellStyle name="Header2 2 2 21 4" xfId="35611"/>
    <cellStyle name="Header2 2 2 22" xfId="18200"/>
    <cellStyle name="Header2 2 2 22 2" xfId="30017"/>
    <cellStyle name="Header2 2 2 22 2 2" xfId="40016"/>
    <cellStyle name="Header2 2 2 22 3" xfId="34865"/>
    <cellStyle name="Header2 2 2 23" xfId="23391"/>
    <cellStyle name="Header2 2 2 23 2" xfId="21927"/>
    <cellStyle name="Header2 2 2 24" xfId="22785"/>
    <cellStyle name="Header2 2 2 3" xfId="7741"/>
    <cellStyle name="Header2 2 2 3 10" xfId="17063"/>
    <cellStyle name="Header2 2 2 3 10 2" xfId="28880"/>
    <cellStyle name="Header2 2 2 3 10 2 2" xfId="38879"/>
    <cellStyle name="Header2 2 2 3 10 3" xfId="24638"/>
    <cellStyle name="Header2 2 2 3 10 4" xfId="33728"/>
    <cellStyle name="Header2 2 2 3 11" xfId="17366"/>
    <cellStyle name="Header2 2 2 3 11 2" xfId="29183"/>
    <cellStyle name="Header2 2 2 3 11 2 2" xfId="39182"/>
    <cellStyle name="Header2 2 2 3 11 3" xfId="24941"/>
    <cellStyle name="Header2 2 2 3 11 4" xfId="34031"/>
    <cellStyle name="Header2 2 2 3 12" xfId="18569"/>
    <cellStyle name="Header2 2 2 3 12 2" xfId="30386"/>
    <cellStyle name="Header2 2 2 3 12 2 2" xfId="40385"/>
    <cellStyle name="Header2 2 2 3 12 3" xfId="26044"/>
    <cellStyle name="Header2 2 2 3 12 4" xfId="35234"/>
    <cellStyle name="Header2 2 2 3 13" xfId="17869"/>
    <cellStyle name="Header2 2 2 3 13 2" xfId="29686"/>
    <cellStyle name="Header2 2 2 3 13 2 2" xfId="39685"/>
    <cellStyle name="Header2 2 2 3 13 3" xfId="25444"/>
    <cellStyle name="Header2 2 2 3 13 4" xfId="34534"/>
    <cellStyle name="Header2 2 2 3 14" xfId="18210"/>
    <cellStyle name="Header2 2 2 3 14 2" xfId="30027"/>
    <cellStyle name="Header2 2 2 3 14 2 2" xfId="40026"/>
    <cellStyle name="Header2 2 2 3 14 3" xfId="34875"/>
    <cellStyle name="Header2 2 2 3 15" xfId="23361"/>
    <cellStyle name="Header2 2 2 3 15 2" xfId="21120"/>
    <cellStyle name="Header2 2 2 3 16" xfId="22755"/>
    <cellStyle name="Header2 2 2 3 2" xfId="7742"/>
    <cellStyle name="Header2 2 2 3 2 10" xfId="17064"/>
    <cellStyle name="Header2 2 2 3 2 10 2" xfId="28881"/>
    <cellStyle name="Header2 2 2 3 2 10 2 2" xfId="38880"/>
    <cellStyle name="Header2 2 2 3 2 10 3" xfId="24639"/>
    <cellStyle name="Header2 2 2 3 2 10 4" xfId="33729"/>
    <cellStyle name="Header2 2 2 3 2 11" xfId="17367"/>
    <cellStyle name="Header2 2 2 3 2 11 2" xfId="29184"/>
    <cellStyle name="Header2 2 2 3 2 11 2 2" xfId="39183"/>
    <cellStyle name="Header2 2 2 3 2 11 3" xfId="24942"/>
    <cellStyle name="Header2 2 2 3 2 11 4" xfId="34032"/>
    <cellStyle name="Header2 2 2 3 2 12" xfId="18568"/>
    <cellStyle name="Header2 2 2 3 2 12 2" xfId="30385"/>
    <cellStyle name="Header2 2 2 3 2 12 2 2" xfId="40384"/>
    <cellStyle name="Header2 2 2 3 2 12 3" xfId="26043"/>
    <cellStyle name="Header2 2 2 3 2 12 4" xfId="35233"/>
    <cellStyle name="Header2 2 2 3 2 13" xfId="17868"/>
    <cellStyle name="Header2 2 2 3 2 13 2" xfId="29685"/>
    <cellStyle name="Header2 2 2 3 2 13 2 2" xfId="39684"/>
    <cellStyle name="Header2 2 2 3 2 13 3" xfId="25443"/>
    <cellStyle name="Header2 2 2 3 2 13 4" xfId="34533"/>
    <cellStyle name="Header2 2 2 3 2 14" xfId="18211"/>
    <cellStyle name="Header2 2 2 3 2 14 2" xfId="30028"/>
    <cellStyle name="Header2 2 2 3 2 14 2 2" xfId="40027"/>
    <cellStyle name="Header2 2 2 3 2 14 3" xfId="34876"/>
    <cellStyle name="Header2 2 2 3 2 15" xfId="23360"/>
    <cellStyle name="Header2 2 2 3 2 15 2" xfId="21121"/>
    <cellStyle name="Header2 2 2 3 2 16" xfId="22754"/>
    <cellStyle name="Header2 2 2 3 2 2" xfId="7743"/>
    <cellStyle name="Header2 2 2 3 2 2 10" xfId="18935"/>
    <cellStyle name="Header2 2 2 3 2 2 10 2" xfId="30752"/>
    <cellStyle name="Header2 2 2 3 2 2 10 2 2" xfId="40751"/>
    <cellStyle name="Header2 2 2 3 2 2 10 3" xfId="26410"/>
    <cellStyle name="Header2 2 2 3 2 2 10 4" xfId="35600"/>
    <cellStyle name="Header2 2 2 3 2 2 11" xfId="18212"/>
    <cellStyle name="Header2 2 2 3 2 2 11 2" xfId="30029"/>
    <cellStyle name="Header2 2 2 3 2 2 11 2 2" xfId="40028"/>
    <cellStyle name="Header2 2 2 3 2 2 11 3" xfId="34877"/>
    <cellStyle name="Header2 2 2 3 2 2 12" xfId="23359"/>
    <cellStyle name="Header2 2 2 3 2 2 12 2" xfId="21122"/>
    <cellStyle name="Header2 2 2 3 2 2 13" xfId="22753"/>
    <cellStyle name="Header2 2 2 3 2 2 2" xfId="15550"/>
    <cellStyle name="Header2 2 2 3 2 2 2 2" xfId="19243"/>
    <cellStyle name="Header2 2 2 3 2 2 2 2 2" xfId="31060"/>
    <cellStyle name="Header2 2 2 3 2 2 2 2 2 2" xfId="41059"/>
    <cellStyle name="Header2 2 2 3 2 2 2 2 3" xfId="26718"/>
    <cellStyle name="Header2 2 2 3 2 2 2 2 4" xfId="35908"/>
    <cellStyle name="Header2 2 2 3 2 2 2 3" xfId="19849"/>
    <cellStyle name="Header2 2 2 3 2 2 2 3 2" xfId="31666"/>
    <cellStyle name="Header2 2 2 3 2 2 2 3 2 2" xfId="41665"/>
    <cellStyle name="Header2 2 2 3 2 2 2 3 3" xfId="27324"/>
    <cellStyle name="Header2 2 2 3 2 2 2 3 4" xfId="36514"/>
    <cellStyle name="Header2 2 2 3 2 2 2 4" xfId="17806"/>
    <cellStyle name="Header2 2 2 3 2 2 2 4 2" xfId="29623"/>
    <cellStyle name="Header2 2 2 3 2 2 2 4 2 2" xfId="39622"/>
    <cellStyle name="Header2 2 2 3 2 2 2 4 3" xfId="25381"/>
    <cellStyle name="Header2 2 2 3 2 2 2 4 4" xfId="34471"/>
    <cellStyle name="Header2 2 2 3 2 2 2 5" xfId="20658"/>
    <cellStyle name="Header2 2 2 3 2 2 2 5 2" xfId="32475"/>
    <cellStyle name="Header2 2 2 3 2 2 2 5 2 2" xfId="42474"/>
    <cellStyle name="Header2 2 2 3 2 2 2 5 3" xfId="37323"/>
    <cellStyle name="Header2 2 2 3 2 2 2 6" xfId="23428"/>
    <cellStyle name="Header2 2 2 3 2 2 2 6 2" xfId="21077"/>
    <cellStyle name="Header2 2 2 3 2 2 2 7" xfId="22895"/>
    <cellStyle name="Header2 2 2 3 2 2 2 7 2" xfId="21352"/>
    <cellStyle name="Header2 2 2 3 2 2 2 8" xfId="21598"/>
    <cellStyle name="Header2 2 2 3 2 2 3" xfId="16131"/>
    <cellStyle name="Header2 2 2 3 2 2 3 2" xfId="19542"/>
    <cellStyle name="Header2 2 2 3 2 2 3 2 2" xfId="31359"/>
    <cellStyle name="Header2 2 2 3 2 2 3 2 2 2" xfId="41358"/>
    <cellStyle name="Header2 2 2 3 2 2 3 2 3" xfId="27017"/>
    <cellStyle name="Header2 2 2 3 2 2 3 2 4" xfId="36207"/>
    <cellStyle name="Header2 2 2 3 2 2 3 3" xfId="20148"/>
    <cellStyle name="Header2 2 2 3 2 2 3 3 2" xfId="31965"/>
    <cellStyle name="Header2 2 2 3 2 2 3 3 2 2" xfId="41964"/>
    <cellStyle name="Header2 2 2 3 2 2 3 3 3" xfId="27623"/>
    <cellStyle name="Header2 2 2 3 2 2 3 3 4" xfId="36813"/>
    <cellStyle name="Header2 2 2 3 2 2 3 4" xfId="17878"/>
    <cellStyle name="Header2 2 2 3 2 2 3 4 2" xfId="29695"/>
    <cellStyle name="Header2 2 2 3 2 2 3 4 2 2" xfId="39694"/>
    <cellStyle name="Header2 2 2 3 2 2 3 4 3" xfId="25453"/>
    <cellStyle name="Header2 2 2 3 2 2 3 4 4" xfId="34543"/>
    <cellStyle name="Header2 2 2 3 2 2 3 5" xfId="20957"/>
    <cellStyle name="Header2 2 2 3 2 2 3 5 2" xfId="32774"/>
    <cellStyle name="Header2 2 2 3 2 2 3 5 2 2" xfId="42773"/>
    <cellStyle name="Header2 2 2 3 2 2 3 5 3" xfId="37622"/>
    <cellStyle name="Header2 2 2 3 2 2 3 6" xfId="27948"/>
    <cellStyle name="Header2 2 2 3 2 2 3 6 2" xfId="37947"/>
    <cellStyle name="Header2 2 2 3 2 2 3 7" xfId="21437"/>
    <cellStyle name="Header2 2 2 3 2 2 4" xfId="15827"/>
    <cellStyle name="Header2 2 2 3 2 2 4 2" xfId="27644"/>
    <cellStyle name="Header2 2 2 3 2 2 4 2 2" xfId="37643"/>
    <cellStyle name="Header2 2 2 3 2 2 4 3" xfId="23705"/>
    <cellStyle name="Header2 2 2 3 2 2 4 4" xfId="32795"/>
    <cellStyle name="Header2 2 2 3 2 2 5" xfId="16719"/>
    <cellStyle name="Header2 2 2 3 2 2 5 2" xfId="28536"/>
    <cellStyle name="Header2 2 2 3 2 2 5 2 2" xfId="38535"/>
    <cellStyle name="Header2 2 2 3 2 2 5 3" xfId="24294"/>
    <cellStyle name="Header2 2 2 3 2 2 5 4" xfId="33384"/>
    <cellStyle name="Header2 2 2 3 2 2 6" xfId="16440"/>
    <cellStyle name="Header2 2 2 3 2 2 6 2" xfId="28257"/>
    <cellStyle name="Header2 2 2 3 2 2 6 2 2" xfId="38256"/>
    <cellStyle name="Header2 2 2 3 2 2 6 3" xfId="24015"/>
    <cellStyle name="Header2 2 2 3 2 2 6 4" xfId="33105"/>
    <cellStyle name="Header2 2 2 3 2 2 7" xfId="17065"/>
    <cellStyle name="Header2 2 2 3 2 2 7 2" xfId="28882"/>
    <cellStyle name="Header2 2 2 3 2 2 7 2 2" xfId="38881"/>
    <cellStyle name="Header2 2 2 3 2 2 7 3" xfId="24640"/>
    <cellStyle name="Header2 2 2 3 2 2 7 4" xfId="33730"/>
    <cellStyle name="Header2 2 2 3 2 2 8" xfId="17368"/>
    <cellStyle name="Header2 2 2 3 2 2 8 2" xfId="29185"/>
    <cellStyle name="Header2 2 2 3 2 2 8 2 2" xfId="39184"/>
    <cellStyle name="Header2 2 2 3 2 2 8 3" xfId="24943"/>
    <cellStyle name="Header2 2 2 3 2 2 8 4" xfId="34033"/>
    <cellStyle name="Header2 2 2 3 2 2 9" xfId="18567"/>
    <cellStyle name="Header2 2 2 3 2 2 9 2" xfId="30384"/>
    <cellStyle name="Header2 2 2 3 2 2 9 2 2" xfId="40383"/>
    <cellStyle name="Header2 2 2 3 2 2 9 3" xfId="26042"/>
    <cellStyle name="Header2 2 2 3 2 2 9 4" xfId="35232"/>
    <cellStyle name="Header2 2 2 3 2 3" xfId="7744"/>
    <cellStyle name="Header2 2 2 3 2 3 10" xfId="17867"/>
    <cellStyle name="Header2 2 2 3 2 3 10 2" xfId="29684"/>
    <cellStyle name="Header2 2 2 3 2 3 10 2 2" xfId="39683"/>
    <cellStyle name="Header2 2 2 3 2 3 10 3" xfId="25442"/>
    <cellStyle name="Header2 2 2 3 2 3 10 4" xfId="34532"/>
    <cellStyle name="Header2 2 2 3 2 3 11" xfId="20247"/>
    <cellStyle name="Header2 2 2 3 2 3 11 2" xfId="32064"/>
    <cellStyle name="Header2 2 2 3 2 3 11 2 2" xfId="42063"/>
    <cellStyle name="Header2 2 2 3 2 3 11 3" xfId="36912"/>
    <cellStyle name="Header2 2 2 3 2 3 12" xfId="23358"/>
    <cellStyle name="Header2 2 2 3 2 3 12 2" xfId="21123"/>
    <cellStyle name="Header2 2 2 3 2 3 13" xfId="22752"/>
    <cellStyle name="Header2 2 2 3 2 3 2" xfId="15551"/>
    <cellStyle name="Header2 2 2 3 2 3 2 2" xfId="19242"/>
    <cellStyle name="Header2 2 2 3 2 3 2 2 2" xfId="31059"/>
    <cellStyle name="Header2 2 2 3 2 3 2 2 2 2" xfId="41058"/>
    <cellStyle name="Header2 2 2 3 2 3 2 2 3" xfId="26717"/>
    <cellStyle name="Header2 2 2 3 2 3 2 2 4" xfId="35907"/>
    <cellStyle name="Header2 2 2 3 2 3 2 3" xfId="19848"/>
    <cellStyle name="Header2 2 2 3 2 3 2 3 2" xfId="31665"/>
    <cellStyle name="Header2 2 2 3 2 3 2 3 2 2" xfId="41664"/>
    <cellStyle name="Header2 2 2 3 2 3 2 3 3" xfId="27323"/>
    <cellStyle name="Header2 2 2 3 2 3 2 3 4" xfId="36513"/>
    <cellStyle name="Header2 2 2 3 2 3 2 4" xfId="17945"/>
    <cellStyle name="Header2 2 2 3 2 3 2 4 2" xfId="29762"/>
    <cellStyle name="Header2 2 2 3 2 3 2 4 2 2" xfId="39761"/>
    <cellStyle name="Header2 2 2 3 2 3 2 4 3" xfId="25520"/>
    <cellStyle name="Header2 2 2 3 2 3 2 4 4" xfId="34610"/>
    <cellStyle name="Header2 2 2 3 2 3 2 5" xfId="20657"/>
    <cellStyle name="Header2 2 2 3 2 3 2 5 2" xfId="32474"/>
    <cellStyle name="Header2 2 2 3 2 3 2 5 2 2" xfId="42473"/>
    <cellStyle name="Header2 2 2 3 2 3 2 5 3" xfId="37322"/>
    <cellStyle name="Header2 2 2 3 2 3 2 6" xfId="23429"/>
    <cellStyle name="Header2 2 2 3 2 3 2 6 2" xfId="21076"/>
    <cellStyle name="Header2 2 2 3 2 3 2 7" xfId="22894"/>
    <cellStyle name="Header2 2 2 3 2 3 2 7 2" xfId="21353"/>
    <cellStyle name="Header2 2 2 3 2 3 2 8" xfId="22346"/>
    <cellStyle name="Header2 2 2 3 2 3 3" xfId="16132"/>
    <cellStyle name="Header2 2 2 3 2 3 3 2" xfId="18966"/>
    <cellStyle name="Header2 2 2 3 2 3 3 2 2" xfId="30783"/>
    <cellStyle name="Header2 2 2 3 2 3 3 2 2 2" xfId="40782"/>
    <cellStyle name="Header2 2 2 3 2 3 3 2 3" xfId="26441"/>
    <cellStyle name="Header2 2 2 3 2 3 3 2 4" xfId="35631"/>
    <cellStyle name="Header2 2 2 3 2 3 3 3" xfId="19572"/>
    <cellStyle name="Header2 2 2 3 2 3 3 3 2" xfId="31389"/>
    <cellStyle name="Header2 2 2 3 2 3 3 3 2 2" xfId="41388"/>
    <cellStyle name="Header2 2 2 3 2 3 3 3 3" xfId="27047"/>
    <cellStyle name="Header2 2 2 3 2 3 3 3 4" xfId="36237"/>
    <cellStyle name="Header2 2 2 3 2 3 3 4" xfId="17735"/>
    <cellStyle name="Header2 2 2 3 2 3 3 4 2" xfId="29552"/>
    <cellStyle name="Header2 2 2 3 2 3 3 4 2 2" xfId="39551"/>
    <cellStyle name="Header2 2 2 3 2 3 3 4 3" xfId="25310"/>
    <cellStyle name="Header2 2 2 3 2 3 3 4 4" xfId="34400"/>
    <cellStyle name="Header2 2 2 3 2 3 3 5" xfId="20381"/>
    <cellStyle name="Header2 2 2 3 2 3 3 5 2" xfId="32198"/>
    <cellStyle name="Header2 2 2 3 2 3 3 5 2 2" xfId="42197"/>
    <cellStyle name="Header2 2 2 3 2 3 3 5 3" xfId="37046"/>
    <cellStyle name="Header2 2 2 3 2 3 3 6" xfId="27949"/>
    <cellStyle name="Header2 2 2 3 2 3 3 6 2" xfId="37948"/>
    <cellStyle name="Header2 2 2 3 2 3 3 7" xfId="21739"/>
    <cellStyle name="Header2 2 2 3 2 3 4" xfId="16408"/>
    <cellStyle name="Header2 2 2 3 2 3 4 2" xfId="28225"/>
    <cellStyle name="Header2 2 2 3 2 3 4 2 2" xfId="38224"/>
    <cellStyle name="Header2 2 2 3 2 3 4 3" xfId="23983"/>
    <cellStyle name="Header2 2 2 3 2 3 4 4" xfId="33073"/>
    <cellStyle name="Header2 2 2 3 2 3 5" xfId="16718"/>
    <cellStyle name="Header2 2 2 3 2 3 5 2" xfId="28535"/>
    <cellStyle name="Header2 2 2 3 2 3 5 2 2" xfId="38534"/>
    <cellStyle name="Header2 2 2 3 2 3 5 3" xfId="24293"/>
    <cellStyle name="Header2 2 2 3 2 3 5 4" xfId="33383"/>
    <cellStyle name="Header2 2 2 3 2 3 6" xfId="16439"/>
    <cellStyle name="Header2 2 2 3 2 3 6 2" xfId="28256"/>
    <cellStyle name="Header2 2 2 3 2 3 6 2 2" xfId="38255"/>
    <cellStyle name="Header2 2 2 3 2 3 6 3" xfId="24014"/>
    <cellStyle name="Header2 2 2 3 2 3 6 4" xfId="33104"/>
    <cellStyle name="Header2 2 2 3 2 3 7" xfId="17066"/>
    <cellStyle name="Header2 2 2 3 2 3 7 2" xfId="28883"/>
    <cellStyle name="Header2 2 2 3 2 3 7 2 2" xfId="38882"/>
    <cellStyle name="Header2 2 2 3 2 3 7 3" xfId="24641"/>
    <cellStyle name="Header2 2 2 3 2 3 7 4" xfId="33731"/>
    <cellStyle name="Header2 2 2 3 2 3 8" xfId="17369"/>
    <cellStyle name="Header2 2 2 3 2 3 8 2" xfId="29186"/>
    <cellStyle name="Header2 2 2 3 2 3 8 2 2" xfId="39185"/>
    <cellStyle name="Header2 2 2 3 2 3 8 3" xfId="24944"/>
    <cellStyle name="Header2 2 2 3 2 3 8 4" xfId="34034"/>
    <cellStyle name="Header2 2 2 3 2 3 9" xfId="18566"/>
    <cellStyle name="Header2 2 2 3 2 3 9 2" xfId="30383"/>
    <cellStyle name="Header2 2 2 3 2 3 9 2 2" xfId="40382"/>
    <cellStyle name="Header2 2 2 3 2 3 9 3" xfId="26041"/>
    <cellStyle name="Header2 2 2 3 2 3 9 4" xfId="35231"/>
    <cellStyle name="Header2 2 2 3 2 4" xfId="7745"/>
    <cellStyle name="Header2 2 2 3 2 4 10" xfId="18934"/>
    <cellStyle name="Header2 2 2 3 2 4 10 2" xfId="30751"/>
    <cellStyle name="Header2 2 2 3 2 4 10 2 2" xfId="40750"/>
    <cellStyle name="Header2 2 2 3 2 4 10 3" xfId="26409"/>
    <cellStyle name="Header2 2 2 3 2 4 10 4" xfId="35599"/>
    <cellStyle name="Header2 2 2 3 2 4 11" xfId="20344"/>
    <cellStyle name="Header2 2 2 3 2 4 11 2" xfId="32161"/>
    <cellStyle name="Header2 2 2 3 2 4 11 2 2" xfId="42160"/>
    <cellStyle name="Header2 2 2 3 2 4 11 3" xfId="37009"/>
    <cellStyle name="Header2 2 2 3 2 4 12" xfId="23357"/>
    <cellStyle name="Header2 2 2 3 2 4 12 2" xfId="21941"/>
    <cellStyle name="Header2 2 2 3 2 4 13" xfId="22751"/>
    <cellStyle name="Header2 2 2 3 2 4 2" xfId="15552"/>
    <cellStyle name="Header2 2 2 3 2 4 2 2" xfId="19241"/>
    <cellStyle name="Header2 2 2 3 2 4 2 2 2" xfId="31058"/>
    <cellStyle name="Header2 2 2 3 2 4 2 2 2 2" xfId="41057"/>
    <cellStyle name="Header2 2 2 3 2 4 2 2 3" xfId="26716"/>
    <cellStyle name="Header2 2 2 3 2 4 2 2 4" xfId="35906"/>
    <cellStyle name="Header2 2 2 3 2 4 2 3" xfId="19847"/>
    <cellStyle name="Header2 2 2 3 2 4 2 3 2" xfId="31664"/>
    <cellStyle name="Header2 2 2 3 2 4 2 3 2 2" xfId="41663"/>
    <cellStyle name="Header2 2 2 3 2 4 2 3 3" xfId="27322"/>
    <cellStyle name="Header2 2 2 3 2 4 2 3 4" xfId="36512"/>
    <cellStyle name="Header2 2 2 3 2 4 2 4" xfId="17807"/>
    <cellStyle name="Header2 2 2 3 2 4 2 4 2" xfId="29624"/>
    <cellStyle name="Header2 2 2 3 2 4 2 4 2 2" xfId="39623"/>
    <cellStyle name="Header2 2 2 3 2 4 2 4 3" xfId="25382"/>
    <cellStyle name="Header2 2 2 3 2 4 2 4 4" xfId="34472"/>
    <cellStyle name="Header2 2 2 3 2 4 2 5" xfId="20656"/>
    <cellStyle name="Header2 2 2 3 2 4 2 5 2" xfId="32473"/>
    <cellStyle name="Header2 2 2 3 2 4 2 5 2 2" xfId="42472"/>
    <cellStyle name="Header2 2 2 3 2 4 2 5 3" xfId="37321"/>
    <cellStyle name="Header2 2 2 3 2 4 2 6" xfId="23430"/>
    <cellStyle name="Header2 2 2 3 2 4 2 6 2" xfId="21916"/>
    <cellStyle name="Header2 2 2 3 2 4 2 7" xfId="23080"/>
    <cellStyle name="Header2 2 2 3 2 4 2 7 2" xfId="21286"/>
    <cellStyle name="Header2 2 2 3 2 4 2 8" xfId="21599"/>
    <cellStyle name="Header2 2 2 3 2 4 3" xfId="16133"/>
    <cellStyle name="Header2 2 2 3 2 4 3 2" xfId="19541"/>
    <cellStyle name="Header2 2 2 3 2 4 3 2 2" xfId="31358"/>
    <cellStyle name="Header2 2 2 3 2 4 3 2 2 2" xfId="41357"/>
    <cellStyle name="Header2 2 2 3 2 4 3 2 3" xfId="27016"/>
    <cellStyle name="Header2 2 2 3 2 4 3 2 4" xfId="36206"/>
    <cellStyle name="Header2 2 2 3 2 4 3 3" xfId="20147"/>
    <cellStyle name="Header2 2 2 3 2 4 3 3 2" xfId="31964"/>
    <cellStyle name="Header2 2 2 3 2 4 3 3 2 2" xfId="41963"/>
    <cellStyle name="Header2 2 2 3 2 4 3 3 3" xfId="27622"/>
    <cellStyle name="Header2 2 2 3 2 4 3 3 4" xfId="36812"/>
    <cellStyle name="Header2 2 2 3 2 4 3 4" xfId="17640"/>
    <cellStyle name="Header2 2 2 3 2 4 3 4 2" xfId="29457"/>
    <cellStyle name="Header2 2 2 3 2 4 3 4 2 2" xfId="39456"/>
    <cellStyle name="Header2 2 2 3 2 4 3 4 3" xfId="25215"/>
    <cellStyle name="Header2 2 2 3 2 4 3 4 4" xfId="34305"/>
    <cellStyle name="Header2 2 2 3 2 4 3 5" xfId="20956"/>
    <cellStyle name="Header2 2 2 3 2 4 3 5 2" xfId="32773"/>
    <cellStyle name="Header2 2 2 3 2 4 3 5 2 2" xfId="42772"/>
    <cellStyle name="Header2 2 2 3 2 4 3 5 3" xfId="37621"/>
    <cellStyle name="Header2 2 2 3 2 4 3 6" xfId="27950"/>
    <cellStyle name="Header2 2 2 3 2 4 3 6 2" xfId="37949"/>
    <cellStyle name="Header2 2 2 3 2 4 3 7" xfId="22209"/>
    <cellStyle name="Header2 2 2 3 2 4 4" xfId="15862"/>
    <cellStyle name="Header2 2 2 3 2 4 4 2" xfId="27679"/>
    <cellStyle name="Header2 2 2 3 2 4 4 2 2" xfId="37678"/>
    <cellStyle name="Header2 2 2 3 2 4 4 3" xfId="23740"/>
    <cellStyle name="Header2 2 2 3 2 4 4 4" xfId="32830"/>
    <cellStyle name="Header2 2 2 3 2 4 5" xfId="16717"/>
    <cellStyle name="Header2 2 2 3 2 4 5 2" xfId="28534"/>
    <cellStyle name="Header2 2 2 3 2 4 5 2 2" xfId="38533"/>
    <cellStyle name="Header2 2 2 3 2 4 5 3" xfId="24292"/>
    <cellStyle name="Header2 2 2 3 2 4 5 4" xfId="33382"/>
    <cellStyle name="Header2 2 2 3 2 4 6" xfId="16438"/>
    <cellStyle name="Header2 2 2 3 2 4 6 2" xfId="28255"/>
    <cellStyle name="Header2 2 2 3 2 4 6 2 2" xfId="38254"/>
    <cellStyle name="Header2 2 2 3 2 4 6 3" xfId="24013"/>
    <cellStyle name="Header2 2 2 3 2 4 6 4" xfId="33103"/>
    <cellStyle name="Header2 2 2 3 2 4 7" xfId="17067"/>
    <cellStyle name="Header2 2 2 3 2 4 7 2" xfId="28884"/>
    <cellStyle name="Header2 2 2 3 2 4 7 2 2" xfId="38883"/>
    <cellStyle name="Header2 2 2 3 2 4 7 3" xfId="24642"/>
    <cellStyle name="Header2 2 2 3 2 4 7 4" xfId="33732"/>
    <cellStyle name="Header2 2 2 3 2 4 8" xfId="17370"/>
    <cellStyle name="Header2 2 2 3 2 4 8 2" xfId="29187"/>
    <cellStyle name="Header2 2 2 3 2 4 8 2 2" xfId="39186"/>
    <cellStyle name="Header2 2 2 3 2 4 8 3" xfId="24945"/>
    <cellStyle name="Header2 2 2 3 2 4 8 4" xfId="34035"/>
    <cellStyle name="Header2 2 2 3 2 4 9" xfId="18565"/>
    <cellStyle name="Header2 2 2 3 2 4 9 2" xfId="30382"/>
    <cellStyle name="Header2 2 2 3 2 4 9 2 2" xfId="40381"/>
    <cellStyle name="Header2 2 2 3 2 4 9 3" xfId="26040"/>
    <cellStyle name="Header2 2 2 3 2 4 9 4" xfId="35230"/>
    <cellStyle name="Header2 2 2 3 2 5" xfId="15549"/>
    <cellStyle name="Header2 2 2 3 2 5 2" xfId="19244"/>
    <cellStyle name="Header2 2 2 3 2 5 2 2" xfId="31061"/>
    <cellStyle name="Header2 2 2 3 2 5 2 2 2" xfId="41060"/>
    <cellStyle name="Header2 2 2 3 2 5 2 3" xfId="26719"/>
    <cellStyle name="Header2 2 2 3 2 5 2 4" xfId="35909"/>
    <cellStyle name="Header2 2 2 3 2 5 3" xfId="19850"/>
    <cellStyle name="Header2 2 2 3 2 5 3 2" xfId="31667"/>
    <cellStyle name="Header2 2 2 3 2 5 3 2 2" xfId="41666"/>
    <cellStyle name="Header2 2 2 3 2 5 3 3" xfId="27325"/>
    <cellStyle name="Header2 2 2 3 2 5 3 4" xfId="36515"/>
    <cellStyle name="Header2 2 2 3 2 5 4" xfId="17679"/>
    <cellStyle name="Header2 2 2 3 2 5 4 2" xfId="29496"/>
    <cellStyle name="Header2 2 2 3 2 5 4 2 2" xfId="39495"/>
    <cellStyle name="Header2 2 2 3 2 5 4 3" xfId="25254"/>
    <cellStyle name="Header2 2 2 3 2 5 4 4" xfId="34344"/>
    <cellStyle name="Header2 2 2 3 2 5 5" xfId="20659"/>
    <cellStyle name="Header2 2 2 3 2 5 5 2" xfId="32476"/>
    <cellStyle name="Header2 2 2 3 2 5 5 2 2" xfId="42475"/>
    <cellStyle name="Header2 2 2 3 2 5 5 3" xfId="37324"/>
    <cellStyle name="Header2 2 2 3 2 5 6" xfId="23427"/>
    <cellStyle name="Header2 2 2 3 2 5 6 2" xfId="21078"/>
    <cellStyle name="Header2 2 2 3 2 5 7" xfId="22896"/>
    <cellStyle name="Header2 2 2 3 2 5 7 2" xfId="21351"/>
    <cellStyle name="Header2 2 2 3 2 5 8" xfId="21597"/>
    <cellStyle name="Header2 2 2 3 2 6" xfId="16130"/>
    <cellStyle name="Header2 2 2 3 2 6 2" xfId="18967"/>
    <cellStyle name="Header2 2 2 3 2 6 2 2" xfId="30784"/>
    <cellStyle name="Header2 2 2 3 2 6 2 2 2" xfId="40783"/>
    <cellStyle name="Header2 2 2 3 2 6 2 3" xfId="26442"/>
    <cellStyle name="Header2 2 2 3 2 6 2 4" xfId="35632"/>
    <cellStyle name="Header2 2 2 3 2 6 3" xfId="19573"/>
    <cellStyle name="Header2 2 2 3 2 6 3 2" xfId="31390"/>
    <cellStyle name="Header2 2 2 3 2 6 3 2 2" xfId="41389"/>
    <cellStyle name="Header2 2 2 3 2 6 3 3" xfId="27048"/>
    <cellStyle name="Header2 2 2 3 2 6 3 4" xfId="36238"/>
    <cellStyle name="Header2 2 2 3 2 6 4" xfId="18028"/>
    <cellStyle name="Header2 2 2 3 2 6 4 2" xfId="29845"/>
    <cellStyle name="Header2 2 2 3 2 6 4 2 2" xfId="39844"/>
    <cellStyle name="Header2 2 2 3 2 6 4 3" xfId="25603"/>
    <cellStyle name="Header2 2 2 3 2 6 4 4" xfId="34693"/>
    <cellStyle name="Header2 2 2 3 2 6 5" xfId="20382"/>
    <cellStyle name="Header2 2 2 3 2 6 5 2" xfId="32199"/>
    <cellStyle name="Header2 2 2 3 2 6 5 2 2" xfId="42198"/>
    <cellStyle name="Header2 2 2 3 2 6 5 3" xfId="37047"/>
    <cellStyle name="Header2 2 2 3 2 6 6" xfId="27947"/>
    <cellStyle name="Header2 2 2 3 2 6 6 2" xfId="37946"/>
    <cellStyle name="Header2 2 2 3 2 6 7" xfId="21738"/>
    <cellStyle name="Header2 2 2 3 2 7" xfId="16407"/>
    <cellStyle name="Header2 2 2 3 2 7 2" xfId="28224"/>
    <cellStyle name="Header2 2 2 3 2 7 2 2" xfId="38223"/>
    <cellStyle name="Header2 2 2 3 2 7 3" xfId="23982"/>
    <cellStyle name="Header2 2 2 3 2 7 4" xfId="33072"/>
    <cellStyle name="Header2 2 2 3 2 8" xfId="16720"/>
    <cellStyle name="Header2 2 2 3 2 8 2" xfId="28537"/>
    <cellStyle name="Header2 2 2 3 2 8 2 2" xfId="38536"/>
    <cellStyle name="Header2 2 2 3 2 8 3" xfId="24295"/>
    <cellStyle name="Header2 2 2 3 2 8 4" xfId="33385"/>
    <cellStyle name="Header2 2 2 3 2 9" xfId="17021"/>
    <cellStyle name="Header2 2 2 3 2 9 2" xfId="28838"/>
    <cellStyle name="Header2 2 2 3 2 9 2 2" xfId="38837"/>
    <cellStyle name="Header2 2 2 3 2 9 3" xfId="24596"/>
    <cellStyle name="Header2 2 2 3 2 9 4" xfId="33686"/>
    <cellStyle name="Header2 2 2 3 3" xfId="7746"/>
    <cellStyle name="Header2 2 2 3 3 10" xfId="17068"/>
    <cellStyle name="Header2 2 2 3 3 10 2" xfId="28885"/>
    <cellStyle name="Header2 2 2 3 3 10 2 2" xfId="38884"/>
    <cellStyle name="Header2 2 2 3 3 10 3" xfId="24643"/>
    <cellStyle name="Header2 2 2 3 3 10 4" xfId="33733"/>
    <cellStyle name="Header2 2 2 3 3 11" xfId="17371"/>
    <cellStyle name="Header2 2 2 3 3 11 2" xfId="29188"/>
    <cellStyle name="Header2 2 2 3 3 11 2 2" xfId="39187"/>
    <cellStyle name="Header2 2 2 3 3 11 3" xfId="24946"/>
    <cellStyle name="Header2 2 2 3 3 11 4" xfId="34036"/>
    <cellStyle name="Header2 2 2 3 3 12" xfId="18564"/>
    <cellStyle name="Header2 2 2 3 3 12 2" xfId="30381"/>
    <cellStyle name="Header2 2 2 3 3 12 2 2" xfId="40380"/>
    <cellStyle name="Header2 2 2 3 3 12 3" xfId="26039"/>
    <cellStyle name="Header2 2 2 3 3 12 4" xfId="35229"/>
    <cellStyle name="Header2 2 2 3 3 13" xfId="17866"/>
    <cellStyle name="Header2 2 2 3 3 13 2" xfId="29683"/>
    <cellStyle name="Header2 2 2 3 3 13 2 2" xfId="39682"/>
    <cellStyle name="Header2 2 2 3 3 13 3" xfId="25441"/>
    <cellStyle name="Header2 2 2 3 3 13 4" xfId="34531"/>
    <cellStyle name="Header2 2 2 3 3 14" xfId="18213"/>
    <cellStyle name="Header2 2 2 3 3 14 2" xfId="30030"/>
    <cellStyle name="Header2 2 2 3 3 14 2 2" xfId="40029"/>
    <cellStyle name="Header2 2 2 3 3 14 3" xfId="34878"/>
    <cellStyle name="Header2 2 2 3 3 15" xfId="23356"/>
    <cellStyle name="Header2 2 2 3 3 15 2" xfId="21124"/>
    <cellStyle name="Header2 2 2 3 3 16" xfId="22750"/>
    <cellStyle name="Header2 2 2 3 3 2" xfId="7747"/>
    <cellStyle name="Header2 2 2 3 3 2 10" xfId="18933"/>
    <cellStyle name="Header2 2 2 3 3 2 10 2" xfId="30750"/>
    <cellStyle name="Header2 2 2 3 3 2 10 2 2" xfId="40749"/>
    <cellStyle name="Header2 2 2 3 3 2 10 3" xfId="26408"/>
    <cellStyle name="Header2 2 2 3 3 2 10 4" xfId="35598"/>
    <cellStyle name="Header2 2 2 3 3 2 11" xfId="20246"/>
    <cellStyle name="Header2 2 2 3 3 2 11 2" xfId="32063"/>
    <cellStyle name="Header2 2 2 3 3 2 11 2 2" xfId="42062"/>
    <cellStyle name="Header2 2 2 3 3 2 11 3" xfId="36911"/>
    <cellStyle name="Header2 2 2 3 3 2 12" xfId="23355"/>
    <cellStyle name="Header2 2 2 3 3 2 12 2" xfId="21125"/>
    <cellStyle name="Header2 2 2 3 3 2 13" xfId="22749"/>
    <cellStyle name="Header2 2 2 3 3 2 2" xfId="15554"/>
    <cellStyle name="Header2 2 2 3 3 2 2 2" xfId="19239"/>
    <cellStyle name="Header2 2 2 3 3 2 2 2 2" xfId="31056"/>
    <cellStyle name="Header2 2 2 3 3 2 2 2 2 2" xfId="41055"/>
    <cellStyle name="Header2 2 2 3 3 2 2 2 3" xfId="26714"/>
    <cellStyle name="Header2 2 2 3 3 2 2 2 4" xfId="35904"/>
    <cellStyle name="Header2 2 2 3 3 2 2 3" xfId="19845"/>
    <cellStyle name="Header2 2 2 3 3 2 2 3 2" xfId="31662"/>
    <cellStyle name="Header2 2 2 3 3 2 2 3 2 2" xfId="41661"/>
    <cellStyle name="Header2 2 2 3 3 2 2 3 3" xfId="27320"/>
    <cellStyle name="Header2 2 2 3 3 2 2 3 4" xfId="36510"/>
    <cellStyle name="Header2 2 2 3 3 2 2 4" xfId="17808"/>
    <cellStyle name="Header2 2 2 3 3 2 2 4 2" xfId="29625"/>
    <cellStyle name="Header2 2 2 3 3 2 2 4 2 2" xfId="39624"/>
    <cellStyle name="Header2 2 2 3 3 2 2 4 3" xfId="25383"/>
    <cellStyle name="Header2 2 2 3 3 2 2 4 4" xfId="34473"/>
    <cellStyle name="Header2 2 2 3 3 2 2 5" xfId="20654"/>
    <cellStyle name="Header2 2 2 3 3 2 2 5 2" xfId="32471"/>
    <cellStyle name="Header2 2 2 3 3 2 2 5 2 2" xfId="42470"/>
    <cellStyle name="Header2 2 2 3 3 2 2 5 3" xfId="37319"/>
    <cellStyle name="Header2 2 2 3 3 2 2 6" xfId="23432"/>
    <cellStyle name="Header2 2 2 3 3 2 2 6 2" xfId="21074"/>
    <cellStyle name="Header2 2 2 3 3 2 2 7" xfId="22892"/>
    <cellStyle name="Header2 2 2 3 3 2 2 7 2" xfId="21354"/>
    <cellStyle name="Header2 2 2 3 3 2 2 8" xfId="21600"/>
    <cellStyle name="Header2 2 2 3 3 2 3" xfId="16135"/>
    <cellStyle name="Header2 2 2 3 3 2 3 2" xfId="19540"/>
    <cellStyle name="Header2 2 2 3 3 2 3 2 2" xfId="31357"/>
    <cellStyle name="Header2 2 2 3 3 2 3 2 2 2" xfId="41356"/>
    <cellStyle name="Header2 2 2 3 3 2 3 2 3" xfId="27015"/>
    <cellStyle name="Header2 2 2 3 3 2 3 2 4" xfId="36205"/>
    <cellStyle name="Header2 2 2 3 3 2 3 3" xfId="20146"/>
    <cellStyle name="Header2 2 2 3 3 2 3 3 2" xfId="31963"/>
    <cellStyle name="Header2 2 2 3 3 2 3 3 2 2" xfId="41962"/>
    <cellStyle name="Header2 2 2 3 3 2 3 3 3" xfId="27621"/>
    <cellStyle name="Header2 2 2 3 3 2 3 3 4" xfId="36811"/>
    <cellStyle name="Header2 2 2 3 3 2 3 4" xfId="17879"/>
    <cellStyle name="Header2 2 2 3 3 2 3 4 2" xfId="29696"/>
    <cellStyle name="Header2 2 2 3 3 2 3 4 2 2" xfId="39695"/>
    <cellStyle name="Header2 2 2 3 3 2 3 4 3" xfId="25454"/>
    <cellStyle name="Header2 2 2 3 3 2 3 4 4" xfId="34544"/>
    <cellStyle name="Header2 2 2 3 3 2 3 5" xfId="20955"/>
    <cellStyle name="Header2 2 2 3 3 2 3 5 2" xfId="32772"/>
    <cellStyle name="Header2 2 2 3 3 2 3 5 2 2" xfId="42771"/>
    <cellStyle name="Header2 2 2 3 3 2 3 5 3" xfId="37620"/>
    <cellStyle name="Header2 2 2 3 3 2 3 6" xfId="27952"/>
    <cellStyle name="Header2 2 2 3 3 2 3 6 2" xfId="37951"/>
    <cellStyle name="Header2 2 2 3 3 2 3 7" xfId="21438"/>
    <cellStyle name="Header2 2 2 3 3 2 4" xfId="15863"/>
    <cellStyle name="Header2 2 2 3 3 2 4 2" xfId="27680"/>
    <cellStyle name="Header2 2 2 3 3 2 4 2 2" xfId="37679"/>
    <cellStyle name="Header2 2 2 3 3 2 4 3" xfId="23741"/>
    <cellStyle name="Header2 2 2 3 3 2 4 4" xfId="32831"/>
    <cellStyle name="Header2 2 2 3 3 2 5" xfId="16715"/>
    <cellStyle name="Header2 2 2 3 3 2 5 2" xfId="28532"/>
    <cellStyle name="Header2 2 2 3 3 2 5 2 2" xfId="38531"/>
    <cellStyle name="Header2 2 2 3 3 2 5 3" xfId="24290"/>
    <cellStyle name="Header2 2 2 3 3 2 5 4" xfId="33380"/>
    <cellStyle name="Header2 2 2 3 3 2 6" xfId="16437"/>
    <cellStyle name="Header2 2 2 3 3 2 6 2" xfId="28254"/>
    <cellStyle name="Header2 2 2 3 3 2 6 2 2" xfId="38253"/>
    <cellStyle name="Header2 2 2 3 3 2 6 3" xfId="24012"/>
    <cellStyle name="Header2 2 2 3 3 2 6 4" xfId="33102"/>
    <cellStyle name="Header2 2 2 3 3 2 7" xfId="17069"/>
    <cellStyle name="Header2 2 2 3 3 2 7 2" xfId="28886"/>
    <cellStyle name="Header2 2 2 3 3 2 7 2 2" xfId="38885"/>
    <cellStyle name="Header2 2 2 3 3 2 7 3" xfId="24644"/>
    <cellStyle name="Header2 2 2 3 3 2 7 4" xfId="33734"/>
    <cellStyle name="Header2 2 2 3 3 2 8" xfId="17372"/>
    <cellStyle name="Header2 2 2 3 3 2 8 2" xfId="29189"/>
    <cellStyle name="Header2 2 2 3 3 2 8 2 2" xfId="39188"/>
    <cellStyle name="Header2 2 2 3 3 2 8 3" xfId="24947"/>
    <cellStyle name="Header2 2 2 3 3 2 8 4" xfId="34037"/>
    <cellStyle name="Header2 2 2 3 3 2 9" xfId="18563"/>
    <cellStyle name="Header2 2 2 3 3 2 9 2" xfId="30380"/>
    <cellStyle name="Header2 2 2 3 3 2 9 2 2" xfId="40379"/>
    <cellStyle name="Header2 2 2 3 3 2 9 3" xfId="26038"/>
    <cellStyle name="Header2 2 2 3 3 2 9 4" xfId="35228"/>
    <cellStyle name="Header2 2 2 3 3 3" xfId="7748"/>
    <cellStyle name="Header2 2 2 3 3 3 10" xfId="17865"/>
    <cellStyle name="Header2 2 2 3 3 3 10 2" xfId="29682"/>
    <cellStyle name="Header2 2 2 3 3 3 10 2 2" xfId="39681"/>
    <cellStyle name="Header2 2 2 3 3 3 10 3" xfId="25440"/>
    <cellStyle name="Header2 2 2 3 3 3 10 4" xfId="34530"/>
    <cellStyle name="Header2 2 2 3 3 3 11" xfId="20343"/>
    <cellStyle name="Header2 2 2 3 3 3 11 2" xfId="32160"/>
    <cellStyle name="Header2 2 2 3 3 3 11 2 2" xfId="42159"/>
    <cellStyle name="Header2 2 2 3 3 3 11 3" xfId="37008"/>
    <cellStyle name="Header2 2 2 3 3 3 12" xfId="23354"/>
    <cellStyle name="Header2 2 2 3 3 3 12 2" xfId="21126"/>
    <cellStyle name="Header2 2 2 3 3 3 13" xfId="22748"/>
    <cellStyle name="Header2 2 2 3 3 3 2" xfId="15555"/>
    <cellStyle name="Header2 2 2 3 3 3 2 2" xfId="19238"/>
    <cellStyle name="Header2 2 2 3 3 3 2 2 2" xfId="31055"/>
    <cellStyle name="Header2 2 2 3 3 3 2 2 2 2" xfId="41054"/>
    <cellStyle name="Header2 2 2 3 3 3 2 2 3" xfId="26713"/>
    <cellStyle name="Header2 2 2 3 3 3 2 2 4" xfId="35903"/>
    <cellStyle name="Header2 2 2 3 3 3 2 3" xfId="19844"/>
    <cellStyle name="Header2 2 2 3 3 3 2 3 2" xfId="31661"/>
    <cellStyle name="Header2 2 2 3 3 3 2 3 2 2" xfId="41660"/>
    <cellStyle name="Header2 2 2 3 3 3 2 3 3" xfId="27319"/>
    <cellStyle name="Header2 2 2 3 3 3 2 3 4" xfId="36509"/>
    <cellStyle name="Header2 2 2 3 3 3 2 4" xfId="17680"/>
    <cellStyle name="Header2 2 2 3 3 3 2 4 2" xfId="29497"/>
    <cellStyle name="Header2 2 2 3 3 3 2 4 2 2" xfId="39496"/>
    <cellStyle name="Header2 2 2 3 3 3 2 4 3" xfId="25255"/>
    <cellStyle name="Header2 2 2 3 3 3 2 4 4" xfId="34345"/>
    <cellStyle name="Header2 2 2 3 3 3 2 5" xfId="20653"/>
    <cellStyle name="Header2 2 2 3 3 3 2 5 2" xfId="32470"/>
    <cellStyle name="Header2 2 2 3 3 3 2 5 2 2" xfId="42469"/>
    <cellStyle name="Header2 2 2 3 3 3 2 5 3" xfId="37318"/>
    <cellStyle name="Header2 2 2 3 3 3 2 6" xfId="23433"/>
    <cellStyle name="Header2 2 2 3 3 3 2 6 2" xfId="21073"/>
    <cellStyle name="Header2 2 2 3 3 3 2 7" xfId="22891"/>
    <cellStyle name="Header2 2 2 3 3 3 2 7 2" xfId="21355"/>
    <cellStyle name="Header2 2 2 3 3 3 2 8" xfId="22348"/>
    <cellStyle name="Header2 2 2 3 3 3 3" xfId="16136"/>
    <cellStyle name="Header2 2 2 3 3 3 3 2" xfId="18964"/>
    <cellStyle name="Header2 2 2 3 3 3 3 2 2" xfId="30781"/>
    <cellStyle name="Header2 2 2 3 3 3 3 2 2 2" xfId="40780"/>
    <cellStyle name="Header2 2 2 3 3 3 3 2 3" xfId="26439"/>
    <cellStyle name="Header2 2 2 3 3 3 3 2 4" xfId="35629"/>
    <cellStyle name="Header2 2 2 3 3 3 3 3" xfId="19570"/>
    <cellStyle name="Header2 2 2 3 3 3 3 3 2" xfId="31387"/>
    <cellStyle name="Header2 2 2 3 3 3 3 3 2 2" xfId="41386"/>
    <cellStyle name="Header2 2 2 3 3 3 3 3 3" xfId="27045"/>
    <cellStyle name="Header2 2 2 3 3 3 3 3 4" xfId="36235"/>
    <cellStyle name="Header2 2 2 3 3 3 3 4" xfId="17736"/>
    <cellStyle name="Header2 2 2 3 3 3 3 4 2" xfId="29553"/>
    <cellStyle name="Header2 2 2 3 3 3 3 4 2 2" xfId="39552"/>
    <cellStyle name="Header2 2 2 3 3 3 3 4 3" xfId="25311"/>
    <cellStyle name="Header2 2 2 3 3 3 3 4 4" xfId="34401"/>
    <cellStyle name="Header2 2 2 3 3 3 3 5" xfId="20379"/>
    <cellStyle name="Header2 2 2 3 3 3 3 5 2" xfId="32196"/>
    <cellStyle name="Header2 2 2 3 3 3 3 5 2 2" xfId="42195"/>
    <cellStyle name="Header2 2 2 3 3 3 3 5 3" xfId="37044"/>
    <cellStyle name="Header2 2 2 3 3 3 3 6" xfId="27953"/>
    <cellStyle name="Header2 2 2 3 3 3 3 6 2" xfId="37952"/>
    <cellStyle name="Header2 2 2 3 3 3 3 7" xfId="21741"/>
    <cellStyle name="Header2 2 2 3 3 3 4" xfId="16410"/>
    <cellStyle name="Header2 2 2 3 3 3 4 2" xfId="28227"/>
    <cellStyle name="Header2 2 2 3 3 3 4 2 2" xfId="38226"/>
    <cellStyle name="Header2 2 2 3 3 3 4 3" xfId="23985"/>
    <cellStyle name="Header2 2 2 3 3 3 4 4" xfId="33075"/>
    <cellStyle name="Header2 2 2 3 3 3 5" xfId="16714"/>
    <cellStyle name="Header2 2 2 3 3 3 5 2" xfId="28531"/>
    <cellStyle name="Header2 2 2 3 3 3 5 2 2" xfId="38530"/>
    <cellStyle name="Header2 2 2 3 3 3 5 3" xfId="24289"/>
    <cellStyle name="Header2 2 2 3 3 3 5 4" xfId="33379"/>
    <cellStyle name="Header2 2 2 3 3 3 6" xfId="16436"/>
    <cellStyle name="Header2 2 2 3 3 3 6 2" xfId="28253"/>
    <cellStyle name="Header2 2 2 3 3 3 6 2 2" xfId="38252"/>
    <cellStyle name="Header2 2 2 3 3 3 6 3" xfId="24011"/>
    <cellStyle name="Header2 2 2 3 3 3 6 4" xfId="33101"/>
    <cellStyle name="Header2 2 2 3 3 3 7" xfId="17070"/>
    <cellStyle name="Header2 2 2 3 3 3 7 2" xfId="28887"/>
    <cellStyle name="Header2 2 2 3 3 3 7 2 2" xfId="38886"/>
    <cellStyle name="Header2 2 2 3 3 3 7 3" xfId="24645"/>
    <cellStyle name="Header2 2 2 3 3 3 7 4" xfId="33735"/>
    <cellStyle name="Header2 2 2 3 3 3 8" xfId="17373"/>
    <cellStyle name="Header2 2 2 3 3 3 8 2" xfId="29190"/>
    <cellStyle name="Header2 2 2 3 3 3 8 2 2" xfId="39189"/>
    <cellStyle name="Header2 2 2 3 3 3 8 3" xfId="24948"/>
    <cellStyle name="Header2 2 2 3 3 3 8 4" xfId="34038"/>
    <cellStyle name="Header2 2 2 3 3 3 9" xfId="18562"/>
    <cellStyle name="Header2 2 2 3 3 3 9 2" xfId="30379"/>
    <cellStyle name="Header2 2 2 3 3 3 9 2 2" xfId="40378"/>
    <cellStyle name="Header2 2 2 3 3 3 9 3" xfId="26037"/>
    <cellStyle name="Header2 2 2 3 3 3 9 4" xfId="35227"/>
    <cellStyle name="Header2 2 2 3 3 4" xfId="7749"/>
    <cellStyle name="Header2 2 2 3 3 4 10" xfId="17864"/>
    <cellStyle name="Header2 2 2 3 3 4 10 2" xfId="29681"/>
    <cellStyle name="Header2 2 2 3 3 4 10 2 2" xfId="39680"/>
    <cellStyle name="Header2 2 2 3 3 4 10 3" xfId="25439"/>
    <cellStyle name="Header2 2 2 3 3 4 10 4" xfId="34529"/>
    <cellStyle name="Header2 2 2 3 3 4 11" xfId="18214"/>
    <cellStyle name="Header2 2 2 3 3 4 11 2" xfId="30031"/>
    <cellStyle name="Header2 2 2 3 3 4 11 2 2" xfId="40030"/>
    <cellStyle name="Header2 2 2 3 3 4 11 3" xfId="34879"/>
    <cellStyle name="Header2 2 2 3 3 4 12" xfId="23353"/>
    <cellStyle name="Header2 2 2 3 3 4 12 2" xfId="21127"/>
    <cellStyle name="Header2 2 2 3 3 4 13" xfId="22747"/>
    <cellStyle name="Header2 2 2 3 3 4 2" xfId="15556"/>
    <cellStyle name="Header2 2 2 3 3 4 2 2" xfId="19237"/>
    <cellStyle name="Header2 2 2 3 3 4 2 2 2" xfId="31054"/>
    <cellStyle name="Header2 2 2 3 3 4 2 2 2 2" xfId="41053"/>
    <cellStyle name="Header2 2 2 3 3 4 2 2 3" xfId="26712"/>
    <cellStyle name="Header2 2 2 3 3 4 2 2 4" xfId="35902"/>
    <cellStyle name="Header2 2 2 3 3 4 2 3" xfId="19843"/>
    <cellStyle name="Header2 2 2 3 3 4 2 3 2" xfId="31660"/>
    <cellStyle name="Header2 2 2 3 3 4 2 3 2 2" xfId="41659"/>
    <cellStyle name="Header2 2 2 3 3 4 2 3 3" xfId="27318"/>
    <cellStyle name="Header2 2 2 3 3 4 2 3 4" xfId="36508"/>
    <cellStyle name="Header2 2 2 3 3 4 2 4" xfId="17946"/>
    <cellStyle name="Header2 2 2 3 3 4 2 4 2" xfId="29763"/>
    <cellStyle name="Header2 2 2 3 3 4 2 4 2 2" xfId="39762"/>
    <cellStyle name="Header2 2 2 3 3 4 2 4 3" xfId="25521"/>
    <cellStyle name="Header2 2 2 3 3 4 2 4 4" xfId="34611"/>
    <cellStyle name="Header2 2 2 3 3 4 2 5" xfId="20652"/>
    <cellStyle name="Header2 2 2 3 3 4 2 5 2" xfId="32469"/>
    <cellStyle name="Header2 2 2 3 3 4 2 5 2 2" xfId="42468"/>
    <cellStyle name="Header2 2 2 3 3 4 2 5 3" xfId="37317"/>
    <cellStyle name="Header2 2 2 3 3 4 2 6" xfId="23434"/>
    <cellStyle name="Header2 2 2 3 3 4 2 6 2" xfId="21915"/>
    <cellStyle name="Header2 2 2 3 3 4 2 7" xfId="23079"/>
    <cellStyle name="Header2 2 2 3 3 4 2 7 2" xfId="21287"/>
    <cellStyle name="Header2 2 2 3 3 4 2 8" xfId="22349"/>
    <cellStyle name="Header2 2 2 3 3 4 3" xfId="16137"/>
    <cellStyle name="Header2 2 2 3 3 4 3 2" xfId="18963"/>
    <cellStyle name="Header2 2 2 3 3 4 3 2 2" xfId="30780"/>
    <cellStyle name="Header2 2 2 3 3 4 3 2 2 2" xfId="40779"/>
    <cellStyle name="Header2 2 2 3 3 4 3 2 3" xfId="26438"/>
    <cellStyle name="Header2 2 2 3 3 4 3 2 4" xfId="35628"/>
    <cellStyle name="Header2 2 2 3 3 4 3 3" xfId="19569"/>
    <cellStyle name="Header2 2 2 3 3 4 3 3 2" xfId="31386"/>
    <cellStyle name="Header2 2 2 3 3 4 3 3 2 2" xfId="41385"/>
    <cellStyle name="Header2 2 2 3 3 4 3 3 3" xfId="27044"/>
    <cellStyle name="Header2 2 2 3 3 4 3 3 4" xfId="36234"/>
    <cellStyle name="Header2 2 2 3 3 4 3 4" xfId="17842"/>
    <cellStyle name="Header2 2 2 3 3 4 3 4 2" xfId="29659"/>
    <cellStyle name="Header2 2 2 3 3 4 3 4 2 2" xfId="39658"/>
    <cellStyle name="Header2 2 2 3 3 4 3 4 3" xfId="25417"/>
    <cellStyle name="Header2 2 2 3 3 4 3 4 4" xfId="34507"/>
    <cellStyle name="Header2 2 2 3 3 4 3 5" xfId="20378"/>
    <cellStyle name="Header2 2 2 3 3 4 3 5 2" xfId="32195"/>
    <cellStyle name="Header2 2 2 3 3 4 3 5 2 2" xfId="42194"/>
    <cellStyle name="Header2 2 2 3 3 4 3 5 3" xfId="37043"/>
    <cellStyle name="Header2 2 2 3 3 4 3 6" xfId="27954"/>
    <cellStyle name="Header2 2 2 3 3 4 3 6 2" xfId="37953"/>
    <cellStyle name="Header2 2 2 3 3 4 3 7" xfId="22482"/>
    <cellStyle name="Header2 2 2 3 3 4 4" xfId="16411"/>
    <cellStyle name="Header2 2 2 3 3 4 4 2" xfId="28228"/>
    <cellStyle name="Header2 2 2 3 3 4 4 2 2" xfId="38227"/>
    <cellStyle name="Header2 2 2 3 3 4 4 3" xfId="23986"/>
    <cellStyle name="Header2 2 2 3 3 4 4 4" xfId="33076"/>
    <cellStyle name="Header2 2 2 3 3 4 5" xfId="16713"/>
    <cellStyle name="Header2 2 2 3 3 4 5 2" xfId="28530"/>
    <cellStyle name="Header2 2 2 3 3 4 5 2 2" xfId="38529"/>
    <cellStyle name="Header2 2 2 3 3 4 5 3" xfId="24288"/>
    <cellStyle name="Header2 2 2 3 3 4 5 4" xfId="33378"/>
    <cellStyle name="Header2 2 2 3 3 4 6" xfId="16435"/>
    <cellStyle name="Header2 2 2 3 3 4 6 2" xfId="28252"/>
    <cellStyle name="Header2 2 2 3 3 4 6 2 2" xfId="38251"/>
    <cellStyle name="Header2 2 2 3 3 4 6 3" xfId="24010"/>
    <cellStyle name="Header2 2 2 3 3 4 6 4" xfId="33100"/>
    <cellStyle name="Header2 2 2 3 3 4 7" xfId="17071"/>
    <cellStyle name="Header2 2 2 3 3 4 7 2" xfId="28888"/>
    <cellStyle name="Header2 2 2 3 3 4 7 2 2" xfId="38887"/>
    <cellStyle name="Header2 2 2 3 3 4 7 3" xfId="24646"/>
    <cellStyle name="Header2 2 2 3 3 4 7 4" xfId="33736"/>
    <cellStyle name="Header2 2 2 3 3 4 8" xfId="17374"/>
    <cellStyle name="Header2 2 2 3 3 4 8 2" xfId="29191"/>
    <cellStyle name="Header2 2 2 3 3 4 8 2 2" xfId="39190"/>
    <cellStyle name="Header2 2 2 3 3 4 8 3" xfId="24949"/>
    <cellStyle name="Header2 2 2 3 3 4 8 4" xfId="34039"/>
    <cellStyle name="Header2 2 2 3 3 4 9" xfId="18561"/>
    <cellStyle name="Header2 2 2 3 3 4 9 2" xfId="30378"/>
    <cellStyle name="Header2 2 2 3 3 4 9 2 2" xfId="40377"/>
    <cellStyle name="Header2 2 2 3 3 4 9 3" xfId="26036"/>
    <cellStyle name="Header2 2 2 3 3 4 9 4" xfId="35226"/>
    <cellStyle name="Header2 2 2 3 3 5" xfId="15553"/>
    <cellStyle name="Header2 2 2 3 3 5 2" xfId="19240"/>
    <cellStyle name="Header2 2 2 3 3 5 2 2" xfId="31057"/>
    <cellStyle name="Header2 2 2 3 3 5 2 2 2" xfId="41056"/>
    <cellStyle name="Header2 2 2 3 3 5 2 3" xfId="26715"/>
    <cellStyle name="Header2 2 2 3 3 5 2 4" xfId="35905"/>
    <cellStyle name="Header2 2 2 3 3 5 3" xfId="19846"/>
    <cellStyle name="Header2 2 2 3 3 5 3 2" xfId="31663"/>
    <cellStyle name="Header2 2 2 3 3 5 3 2 2" xfId="41662"/>
    <cellStyle name="Header2 2 2 3 3 5 3 3" xfId="27321"/>
    <cellStyle name="Header2 2 2 3 3 5 3 4" xfId="36511"/>
    <cellStyle name="Header2 2 2 3 3 5 4" xfId="18131"/>
    <cellStyle name="Header2 2 2 3 3 5 4 2" xfId="29948"/>
    <cellStyle name="Header2 2 2 3 3 5 4 2 2" xfId="39947"/>
    <cellStyle name="Header2 2 2 3 3 5 4 3" xfId="25706"/>
    <cellStyle name="Header2 2 2 3 3 5 4 4" xfId="34796"/>
    <cellStyle name="Header2 2 2 3 3 5 5" xfId="20655"/>
    <cellStyle name="Header2 2 2 3 3 5 5 2" xfId="32472"/>
    <cellStyle name="Header2 2 2 3 3 5 5 2 2" xfId="42471"/>
    <cellStyle name="Header2 2 2 3 3 5 5 3" xfId="37320"/>
    <cellStyle name="Header2 2 2 3 3 5 6" xfId="23431"/>
    <cellStyle name="Header2 2 2 3 3 5 6 2" xfId="21075"/>
    <cellStyle name="Header2 2 2 3 3 5 7" xfId="22893"/>
    <cellStyle name="Header2 2 2 3 3 5 7 2" xfId="22174"/>
    <cellStyle name="Header2 2 2 3 3 5 8" xfId="22347"/>
    <cellStyle name="Header2 2 2 3 3 6" xfId="16134"/>
    <cellStyle name="Header2 2 2 3 3 6 2" xfId="18965"/>
    <cellStyle name="Header2 2 2 3 3 6 2 2" xfId="30782"/>
    <cellStyle name="Header2 2 2 3 3 6 2 2 2" xfId="40781"/>
    <cellStyle name="Header2 2 2 3 3 6 2 3" xfId="26440"/>
    <cellStyle name="Header2 2 2 3 3 6 2 4" xfId="35630"/>
    <cellStyle name="Header2 2 2 3 3 6 3" xfId="19571"/>
    <cellStyle name="Header2 2 2 3 3 6 3 2" xfId="31388"/>
    <cellStyle name="Header2 2 2 3 3 6 3 2 2" xfId="41387"/>
    <cellStyle name="Header2 2 2 3 3 6 3 3" xfId="27046"/>
    <cellStyle name="Header2 2 2 3 3 6 3 4" xfId="36236"/>
    <cellStyle name="Header2 2 2 3 3 6 4" xfId="18196"/>
    <cellStyle name="Header2 2 2 3 3 6 4 2" xfId="30013"/>
    <cellStyle name="Header2 2 2 3 3 6 4 2 2" xfId="40012"/>
    <cellStyle name="Header2 2 2 3 3 6 4 3" xfId="25771"/>
    <cellStyle name="Header2 2 2 3 3 6 4 4" xfId="34861"/>
    <cellStyle name="Header2 2 2 3 3 6 5" xfId="20380"/>
    <cellStyle name="Header2 2 2 3 3 6 5 2" xfId="32197"/>
    <cellStyle name="Header2 2 2 3 3 6 5 2 2" xfId="42196"/>
    <cellStyle name="Header2 2 2 3 3 6 5 3" xfId="37045"/>
    <cellStyle name="Header2 2 2 3 3 6 6" xfId="27951"/>
    <cellStyle name="Header2 2 2 3 3 6 6 2" xfId="37950"/>
    <cellStyle name="Header2 2 2 3 3 6 7" xfId="21740"/>
    <cellStyle name="Header2 2 2 3 3 7" xfId="16409"/>
    <cellStyle name="Header2 2 2 3 3 7 2" xfId="28226"/>
    <cellStyle name="Header2 2 2 3 3 7 2 2" xfId="38225"/>
    <cellStyle name="Header2 2 2 3 3 7 3" xfId="23984"/>
    <cellStyle name="Header2 2 2 3 3 7 4" xfId="33074"/>
    <cellStyle name="Header2 2 2 3 3 8" xfId="16716"/>
    <cellStyle name="Header2 2 2 3 3 8 2" xfId="28533"/>
    <cellStyle name="Header2 2 2 3 3 8 2 2" xfId="38532"/>
    <cellStyle name="Header2 2 2 3 3 8 3" xfId="24291"/>
    <cellStyle name="Header2 2 2 3 3 8 4" xfId="33381"/>
    <cellStyle name="Header2 2 2 3 3 9" xfId="17020"/>
    <cellStyle name="Header2 2 2 3 3 9 2" xfId="28837"/>
    <cellStyle name="Header2 2 2 3 3 9 2 2" xfId="38836"/>
    <cellStyle name="Header2 2 2 3 3 9 3" xfId="24595"/>
    <cellStyle name="Header2 2 2 3 3 9 4" xfId="33685"/>
    <cellStyle name="Header2 2 2 3 4" xfId="7750"/>
    <cellStyle name="Header2 2 2 3 4 10" xfId="18834"/>
    <cellStyle name="Header2 2 2 3 4 10 2" xfId="30651"/>
    <cellStyle name="Header2 2 2 3 4 10 2 2" xfId="40650"/>
    <cellStyle name="Header2 2 2 3 4 10 3" xfId="26309"/>
    <cellStyle name="Header2 2 2 3 4 10 4" xfId="35499"/>
    <cellStyle name="Header2 2 2 3 4 11" xfId="20245"/>
    <cellStyle name="Header2 2 2 3 4 11 2" xfId="32062"/>
    <cellStyle name="Header2 2 2 3 4 11 2 2" xfId="42061"/>
    <cellStyle name="Header2 2 2 3 4 11 3" xfId="36910"/>
    <cellStyle name="Header2 2 2 3 4 12" xfId="23352"/>
    <cellStyle name="Header2 2 2 3 4 12 2" xfId="21128"/>
    <cellStyle name="Header2 2 2 3 4 13" xfId="22746"/>
    <cellStyle name="Header2 2 2 3 4 2" xfId="15557"/>
    <cellStyle name="Header2 2 2 3 4 2 2" xfId="19236"/>
    <cellStyle name="Header2 2 2 3 4 2 2 2" xfId="31053"/>
    <cellStyle name="Header2 2 2 3 4 2 2 2 2" xfId="41052"/>
    <cellStyle name="Header2 2 2 3 4 2 2 3" xfId="26711"/>
    <cellStyle name="Header2 2 2 3 4 2 2 4" xfId="35901"/>
    <cellStyle name="Header2 2 2 3 4 2 3" xfId="19842"/>
    <cellStyle name="Header2 2 2 3 4 2 3 2" xfId="31659"/>
    <cellStyle name="Header2 2 2 3 4 2 3 2 2" xfId="41658"/>
    <cellStyle name="Header2 2 2 3 4 2 3 3" xfId="27317"/>
    <cellStyle name="Header2 2 2 3 4 2 3 4" xfId="36507"/>
    <cellStyle name="Header2 2 2 3 4 2 4" xfId="18132"/>
    <cellStyle name="Header2 2 2 3 4 2 4 2" xfId="29949"/>
    <cellStyle name="Header2 2 2 3 4 2 4 2 2" xfId="39948"/>
    <cellStyle name="Header2 2 2 3 4 2 4 3" xfId="25707"/>
    <cellStyle name="Header2 2 2 3 4 2 4 4" xfId="34797"/>
    <cellStyle name="Header2 2 2 3 4 2 5" xfId="20651"/>
    <cellStyle name="Header2 2 2 3 4 2 5 2" xfId="32468"/>
    <cellStyle name="Header2 2 2 3 4 2 5 2 2" xfId="42467"/>
    <cellStyle name="Header2 2 2 3 4 2 5 3" xfId="37316"/>
    <cellStyle name="Header2 2 2 3 4 2 6" xfId="23435"/>
    <cellStyle name="Header2 2 2 3 4 2 6 2" xfId="21072"/>
    <cellStyle name="Header2 2 2 3 4 2 7" xfId="22890"/>
    <cellStyle name="Header2 2 2 3 4 2 7 2" xfId="21356"/>
    <cellStyle name="Header2 2 2 3 4 2 8" xfId="22350"/>
    <cellStyle name="Header2 2 2 3 4 3" xfId="16138"/>
    <cellStyle name="Header2 2 2 3 4 3 2" xfId="19510"/>
    <cellStyle name="Header2 2 2 3 4 3 2 2" xfId="31327"/>
    <cellStyle name="Header2 2 2 3 4 3 2 2 2" xfId="41326"/>
    <cellStyle name="Header2 2 2 3 4 3 2 3" xfId="26985"/>
    <cellStyle name="Header2 2 2 3 4 3 2 4" xfId="36175"/>
    <cellStyle name="Header2 2 2 3 4 3 3" xfId="20116"/>
    <cellStyle name="Header2 2 2 3 4 3 3 2" xfId="31933"/>
    <cellStyle name="Header2 2 2 3 4 3 3 2 2" xfId="41932"/>
    <cellStyle name="Header2 2 2 3 4 3 3 3" xfId="27591"/>
    <cellStyle name="Header2 2 2 3 4 3 3 4" xfId="36781"/>
    <cellStyle name="Header2 2 2 3 4 3 4" xfId="18046"/>
    <cellStyle name="Header2 2 2 3 4 3 4 2" xfId="29863"/>
    <cellStyle name="Header2 2 2 3 4 3 4 2 2" xfId="39862"/>
    <cellStyle name="Header2 2 2 3 4 3 4 3" xfId="25621"/>
    <cellStyle name="Header2 2 2 3 4 3 4 4" xfId="34711"/>
    <cellStyle name="Header2 2 2 3 4 3 5" xfId="20925"/>
    <cellStyle name="Header2 2 2 3 4 3 5 2" xfId="32742"/>
    <cellStyle name="Header2 2 2 3 4 3 5 2 2" xfId="42741"/>
    <cellStyle name="Header2 2 2 3 4 3 5 3" xfId="37590"/>
    <cellStyle name="Header2 2 2 3 4 3 6" xfId="27955"/>
    <cellStyle name="Header2 2 2 3 4 3 6 2" xfId="37954"/>
    <cellStyle name="Header2 2 2 3 4 3 7" xfId="22220"/>
    <cellStyle name="Header2 2 2 3 4 4" xfId="15878"/>
    <cellStyle name="Header2 2 2 3 4 4 2" xfId="27695"/>
    <cellStyle name="Header2 2 2 3 4 4 2 2" xfId="37694"/>
    <cellStyle name="Header2 2 2 3 4 4 3" xfId="23756"/>
    <cellStyle name="Header2 2 2 3 4 4 4" xfId="32846"/>
    <cellStyle name="Header2 2 2 3 4 5" xfId="16712"/>
    <cellStyle name="Header2 2 2 3 4 5 2" xfId="28529"/>
    <cellStyle name="Header2 2 2 3 4 5 2 2" xfId="38528"/>
    <cellStyle name="Header2 2 2 3 4 5 3" xfId="24287"/>
    <cellStyle name="Header2 2 2 3 4 5 4" xfId="33377"/>
    <cellStyle name="Header2 2 2 3 4 6" xfId="16986"/>
    <cellStyle name="Header2 2 2 3 4 6 2" xfId="28803"/>
    <cellStyle name="Header2 2 2 3 4 6 2 2" xfId="38802"/>
    <cellStyle name="Header2 2 2 3 4 6 3" xfId="24561"/>
    <cellStyle name="Header2 2 2 3 4 6 4" xfId="33651"/>
    <cellStyle name="Header2 2 2 3 4 7" xfId="17072"/>
    <cellStyle name="Header2 2 2 3 4 7 2" xfId="28889"/>
    <cellStyle name="Header2 2 2 3 4 7 2 2" xfId="38888"/>
    <cellStyle name="Header2 2 2 3 4 7 3" xfId="24647"/>
    <cellStyle name="Header2 2 2 3 4 7 4" xfId="33737"/>
    <cellStyle name="Header2 2 2 3 4 8" xfId="17375"/>
    <cellStyle name="Header2 2 2 3 4 8 2" xfId="29192"/>
    <cellStyle name="Header2 2 2 3 4 8 2 2" xfId="39191"/>
    <cellStyle name="Header2 2 2 3 4 8 3" xfId="24950"/>
    <cellStyle name="Header2 2 2 3 4 8 4" xfId="34040"/>
    <cellStyle name="Header2 2 2 3 4 9" xfId="18560"/>
    <cellStyle name="Header2 2 2 3 4 9 2" xfId="30377"/>
    <cellStyle name="Header2 2 2 3 4 9 2 2" xfId="40376"/>
    <cellStyle name="Header2 2 2 3 4 9 3" xfId="26035"/>
    <cellStyle name="Header2 2 2 3 4 9 4" xfId="35225"/>
    <cellStyle name="Header2 2 2 3 5" xfId="15548"/>
    <cellStyle name="Header2 2 2 3 5 2" xfId="19245"/>
    <cellStyle name="Header2 2 2 3 5 2 2" xfId="31062"/>
    <cellStyle name="Header2 2 2 3 5 2 2 2" xfId="41061"/>
    <cellStyle name="Header2 2 2 3 5 2 3" xfId="26720"/>
    <cellStyle name="Header2 2 2 3 5 2 4" xfId="35910"/>
    <cellStyle name="Header2 2 2 3 5 3" xfId="19851"/>
    <cellStyle name="Header2 2 2 3 5 3 2" xfId="31668"/>
    <cellStyle name="Header2 2 2 3 5 3 2 2" xfId="41667"/>
    <cellStyle name="Header2 2 2 3 5 3 3" xfId="27326"/>
    <cellStyle name="Header2 2 2 3 5 3 4" xfId="36516"/>
    <cellStyle name="Header2 2 2 3 5 4" xfId="18915"/>
    <cellStyle name="Header2 2 2 3 5 4 2" xfId="30732"/>
    <cellStyle name="Header2 2 2 3 5 4 2 2" xfId="40731"/>
    <cellStyle name="Header2 2 2 3 5 4 3" xfId="26390"/>
    <cellStyle name="Header2 2 2 3 5 4 4" xfId="35580"/>
    <cellStyle name="Header2 2 2 3 5 5" xfId="20660"/>
    <cellStyle name="Header2 2 2 3 5 5 2" xfId="32477"/>
    <cellStyle name="Header2 2 2 3 5 5 2 2" xfId="42476"/>
    <cellStyle name="Header2 2 2 3 5 5 3" xfId="37325"/>
    <cellStyle name="Header2 2 2 3 5 6" xfId="23426"/>
    <cellStyle name="Header2 2 2 3 5 6 2" xfId="21917"/>
    <cellStyle name="Header2 2 2 3 5 7" xfId="23081"/>
    <cellStyle name="Header2 2 2 3 5 7 2" xfId="21285"/>
    <cellStyle name="Header2 2 2 3 5 8" xfId="21596"/>
    <cellStyle name="Header2 2 2 3 6" xfId="16129"/>
    <cellStyle name="Header2 2 2 3 6 2" xfId="18968"/>
    <cellStyle name="Header2 2 2 3 6 2 2" xfId="30785"/>
    <cellStyle name="Header2 2 2 3 6 2 2 2" xfId="40784"/>
    <cellStyle name="Header2 2 2 3 6 2 3" xfId="26443"/>
    <cellStyle name="Header2 2 2 3 6 2 4" xfId="35633"/>
    <cellStyle name="Header2 2 2 3 6 3" xfId="19574"/>
    <cellStyle name="Header2 2 2 3 6 3 2" xfId="31391"/>
    <cellStyle name="Header2 2 2 3 6 3 2 2" xfId="41390"/>
    <cellStyle name="Header2 2 2 3 6 3 3" xfId="27049"/>
    <cellStyle name="Header2 2 2 3 6 3 4" xfId="36239"/>
    <cellStyle name="Header2 2 2 3 6 4" xfId="17841"/>
    <cellStyle name="Header2 2 2 3 6 4 2" xfId="29658"/>
    <cellStyle name="Header2 2 2 3 6 4 2 2" xfId="39657"/>
    <cellStyle name="Header2 2 2 3 6 4 3" xfId="25416"/>
    <cellStyle name="Header2 2 2 3 6 4 4" xfId="34506"/>
    <cellStyle name="Header2 2 2 3 6 5" xfId="20383"/>
    <cellStyle name="Header2 2 2 3 6 5 2" xfId="32200"/>
    <cellStyle name="Header2 2 2 3 6 5 2 2" xfId="42199"/>
    <cellStyle name="Header2 2 2 3 6 5 3" xfId="37048"/>
    <cellStyle name="Header2 2 2 3 6 6" xfId="27946"/>
    <cellStyle name="Header2 2 2 3 6 6 2" xfId="37945"/>
    <cellStyle name="Header2 2 2 3 6 7" xfId="21737"/>
    <cellStyle name="Header2 2 2 3 7" xfId="16406"/>
    <cellStyle name="Header2 2 2 3 7 2" xfId="28223"/>
    <cellStyle name="Header2 2 2 3 7 2 2" xfId="38222"/>
    <cellStyle name="Header2 2 2 3 7 3" xfId="23981"/>
    <cellStyle name="Header2 2 2 3 7 4" xfId="33071"/>
    <cellStyle name="Header2 2 2 3 8" xfId="16721"/>
    <cellStyle name="Header2 2 2 3 8 2" xfId="28538"/>
    <cellStyle name="Header2 2 2 3 8 2 2" xfId="38537"/>
    <cellStyle name="Header2 2 2 3 8 3" xfId="24296"/>
    <cellStyle name="Header2 2 2 3 8 4" xfId="33386"/>
    <cellStyle name="Header2 2 2 3 9" xfId="16441"/>
    <cellStyle name="Header2 2 2 3 9 2" xfId="28258"/>
    <cellStyle name="Header2 2 2 3 9 2 2" xfId="38257"/>
    <cellStyle name="Header2 2 2 3 9 3" xfId="24016"/>
    <cellStyle name="Header2 2 2 3 9 4" xfId="33106"/>
    <cellStyle name="Header2 2 2 4" xfId="7751"/>
    <cellStyle name="Header2 2 2 4 10" xfId="16711"/>
    <cellStyle name="Header2 2 2 4 10 2" xfId="28528"/>
    <cellStyle name="Header2 2 2 4 10 2 2" xfId="38527"/>
    <cellStyle name="Header2 2 2 4 10 3" xfId="24286"/>
    <cellStyle name="Header2 2 2 4 10 4" xfId="33376"/>
    <cellStyle name="Header2 2 2 4 11" xfId="16434"/>
    <cellStyle name="Header2 2 2 4 11 2" xfId="28251"/>
    <cellStyle name="Header2 2 2 4 11 2 2" xfId="38250"/>
    <cellStyle name="Header2 2 2 4 11 3" xfId="24009"/>
    <cellStyle name="Header2 2 2 4 11 4" xfId="33099"/>
    <cellStyle name="Header2 2 2 4 12" xfId="17073"/>
    <cellStyle name="Header2 2 2 4 12 2" xfId="28890"/>
    <cellStyle name="Header2 2 2 4 12 2 2" xfId="38889"/>
    <cellStyle name="Header2 2 2 4 12 3" xfId="24648"/>
    <cellStyle name="Header2 2 2 4 12 4" xfId="33738"/>
    <cellStyle name="Header2 2 2 4 13" xfId="17376"/>
    <cellStyle name="Header2 2 2 4 13 2" xfId="29193"/>
    <cellStyle name="Header2 2 2 4 13 2 2" xfId="39192"/>
    <cellStyle name="Header2 2 2 4 13 3" xfId="24951"/>
    <cellStyle name="Header2 2 2 4 13 4" xfId="34041"/>
    <cellStyle name="Header2 2 2 4 14" xfId="18559"/>
    <cellStyle name="Header2 2 2 4 14 2" xfId="30376"/>
    <cellStyle name="Header2 2 2 4 14 2 2" xfId="40375"/>
    <cellStyle name="Header2 2 2 4 14 3" xfId="26034"/>
    <cellStyle name="Header2 2 2 4 14 4" xfId="35224"/>
    <cellStyle name="Header2 2 2 4 15" xfId="17863"/>
    <cellStyle name="Header2 2 2 4 15 2" xfId="29680"/>
    <cellStyle name="Header2 2 2 4 15 2 2" xfId="39679"/>
    <cellStyle name="Header2 2 2 4 15 3" xfId="25438"/>
    <cellStyle name="Header2 2 2 4 15 4" xfId="34528"/>
    <cellStyle name="Header2 2 2 4 16" xfId="20342"/>
    <cellStyle name="Header2 2 2 4 16 2" xfId="32159"/>
    <cellStyle name="Header2 2 2 4 16 2 2" xfId="42158"/>
    <cellStyle name="Header2 2 2 4 16 3" xfId="37007"/>
    <cellStyle name="Header2 2 2 4 17" xfId="23351"/>
    <cellStyle name="Header2 2 2 4 17 2" xfId="21942"/>
    <cellStyle name="Header2 2 2 4 18" xfId="22745"/>
    <cellStyle name="Header2 2 2 4 2" xfId="7752"/>
    <cellStyle name="Header2 2 2 4 2 10" xfId="17074"/>
    <cellStyle name="Header2 2 2 4 2 10 2" xfId="28891"/>
    <cellStyle name="Header2 2 2 4 2 10 2 2" xfId="38890"/>
    <cellStyle name="Header2 2 2 4 2 10 3" xfId="24649"/>
    <cellStyle name="Header2 2 2 4 2 10 4" xfId="33739"/>
    <cellStyle name="Header2 2 2 4 2 11" xfId="17377"/>
    <cellStyle name="Header2 2 2 4 2 11 2" xfId="29194"/>
    <cellStyle name="Header2 2 2 4 2 11 2 2" xfId="39193"/>
    <cellStyle name="Header2 2 2 4 2 11 3" xfId="24952"/>
    <cellStyle name="Header2 2 2 4 2 11 4" xfId="34042"/>
    <cellStyle name="Header2 2 2 4 2 12" xfId="18558"/>
    <cellStyle name="Header2 2 2 4 2 12 2" xfId="30375"/>
    <cellStyle name="Header2 2 2 4 2 12 2 2" xfId="40374"/>
    <cellStyle name="Header2 2 2 4 2 12 3" xfId="26033"/>
    <cellStyle name="Header2 2 2 4 2 12 4" xfId="35223"/>
    <cellStyle name="Header2 2 2 4 2 13" xfId="18932"/>
    <cellStyle name="Header2 2 2 4 2 13 2" xfId="30749"/>
    <cellStyle name="Header2 2 2 4 2 13 2 2" xfId="40748"/>
    <cellStyle name="Header2 2 2 4 2 13 3" xfId="26407"/>
    <cellStyle name="Header2 2 2 4 2 13 4" xfId="35597"/>
    <cellStyle name="Header2 2 2 4 2 14" xfId="20248"/>
    <cellStyle name="Header2 2 2 4 2 14 2" xfId="32065"/>
    <cellStyle name="Header2 2 2 4 2 14 2 2" xfId="42064"/>
    <cellStyle name="Header2 2 2 4 2 14 3" xfId="36913"/>
    <cellStyle name="Header2 2 2 4 2 15" xfId="23350"/>
    <cellStyle name="Header2 2 2 4 2 15 2" xfId="21129"/>
    <cellStyle name="Header2 2 2 4 2 16" xfId="22744"/>
    <cellStyle name="Header2 2 2 4 2 2" xfId="7753"/>
    <cellStyle name="Header2 2 2 4 2 2 10" xfId="17862"/>
    <cellStyle name="Header2 2 2 4 2 2 10 2" xfId="29679"/>
    <cellStyle name="Header2 2 2 4 2 2 10 2 2" xfId="39678"/>
    <cellStyle name="Header2 2 2 4 2 2 10 3" xfId="25437"/>
    <cellStyle name="Header2 2 2 4 2 2 10 4" xfId="34527"/>
    <cellStyle name="Header2 2 2 4 2 2 11" xfId="20345"/>
    <cellStyle name="Header2 2 2 4 2 2 11 2" xfId="32162"/>
    <cellStyle name="Header2 2 2 4 2 2 11 2 2" xfId="42161"/>
    <cellStyle name="Header2 2 2 4 2 2 11 3" xfId="37010"/>
    <cellStyle name="Header2 2 2 4 2 2 12" xfId="23349"/>
    <cellStyle name="Header2 2 2 4 2 2 12 2" xfId="21130"/>
    <cellStyle name="Header2 2 2 4 2 2 13" xfId="22743"/>
    <cellStyle name="Header2 2 2 4 2 2 2" xfId="15560"/>
    <cellStyle name="Header2 2 2 4 2 2 2 2" xfId="19233"/>
    <cellStyle name="Header2 2 2 4 2 2 2 2 2" xfId="31050"/>
    <cellStyle name="Header2 2 2 4 2 2 2 2 2 2" xfId="41049"/>
    <cellStyle name="Header2 2 2 4 2 2 2 2 3" xfId="26708"/>
    <cellStyle name="Header2 2 2 4 2 2 2 2 4" xfId="35898"/>
    <cellStyle name="Header2 2 2 4 2 2 2 3" xfId="19839"/>
    <cellStyle name="Header2 2 2 4 2 2 2 3 2" xfId="31656"/>
    <cellStyle name="Header2 2 2 4 2 2 2 3 2 2" xfId="41655"/>
    <cellStyle name="Header2 2 2 4 2 2 2 3 3" xfId="27314"/>
    <cellStyle name="Header2 2 2 4 2 2 2 3 4" xfId="36504"/>
    <cellStyle name="Header2 2 2 4 2 2 2 4" xfId="17682"/>
    <cellStyle name="Header2 2 2 4 2 2 2 4 2" xfId="29499"/>
    <cellStyle name="Header2 2 2 4 2 2 2 4 2 2" xfId="39498"/>
    <cellStyle name="Header2 2 2 4 2 2 2 4 3" xfId="25257"/>
    <cellStyle name="Header2 2 2 4 2 2 2 4 4" xfId="34347"/>
    <cellStyle name="Header2 2 2 4 2 2 2 5" xfId="20648"/>
    <cellStyle name="Header2 2 2 4 2 2 2 5 2" xfId="32465"/>
    <cellStyle name="Header2 2 2 4 2 2 2 5 2 2" xfId="42464"/>
    <cellStyle name="Header2 2 2 4 2 2 2 5 3" xfId="37313"/>
    <cellStyle name="Header2 2 2 4 2 2 2 6" xfId="23438"/>
    <cellStyle name="Header2 2 2 4 2 2 2 6 2" xfId="21914"/>
    <cellStyle name="Header2 2 2 4 2 2 2 7" xfId="23078"/>
    <cellStyle name="Header2 2 2 4 2 2 2 7 2" xfId="22055"/>
    <cellStyle name="Header2 2 2 4 2 2 2 8" xfId="21601"/>
    <cellStyle name="Header2 2 2 4 2 2 3" xfId="16141"/>
    <cellStyle name="Header2 2 2 4 2 2 3 2" xfId="18961"/>
    <cellStyle name="Header2 2 2 4 2 2 3 2 2" xfId="30778"/>
    <cellStyle name="Header2 2 2 4 2 2 3 2 2 2" xfId="40777"/>
    <cellStyle name="Header2 2 2 4 2 2 3 2 3" xfId="26436"/>
    <cellStyle name="Header2 2 2 4 2 2 3 2 4" xfId="35626"/>
    <cellStyle name="Header2 2 2 4 2 2 3 3" xfId="19567"/>
    <cellStyle name="Header2 2 2 4 2 2 3 3 2" xfId="31384"/>
    <cellStyle name="Header2 2 2 4 2 2 3 3 2 2" xfId="41383"/>
    <cellStyle name="Header2 2 2 4 2 2 3 3 3" xfId="27042"/>
    <cellStyle name="Header2 2 2 4 2 2 3 3 4" xfId="36232"/>
    <cellStyle name="Header2 2 2 4 2 2 3 4" xfId="18029"/>
    <cellStyle name="Header2 2 2 4 2 2 3 4 2" xfId="29846"/>
    <cellStyle name="Header2 2 2 4 2 2 3 4 2 2" xfId="39845"/>
    <cellStyle name="Header2 2 2 4 2 2 3 4 3" xfId="25604"/>
    <cellStyle name="Header2 2 2 4 2 2 3 4 4" xfId="34694"/>
    <cellStyle name="Header2 2 2 4 2 2 3 5" xfId="20376"/>
    <cellStyle name="Header2 2 2 4 2 2 3 5 2" xfId="32193"/>
    <cellStyle name="Header2 2 2 4 2 2 3 5 2 2" xfId="42192"/>
    <cellStyle name="Header2 2 2 4 2 2 3 5 3" xfId="37041"/>
    <cellStyle name="Header2 2 2 4 2 2 3 6" xfId="27958"/>
    <cellStyle name="Header2 2 2 4 2 2 3 6 2" xfId="37957"/>
    <cellStyle name="Header2 2 2 4 2 2 3 7" xfId="21743"/>
    <cellStyle name="Header2 2 2 4 2 2 4" xfId="16413"/>
    <cellStyle name="Header2 2 2 4 2 2 4 2" xfId="28230"/>
    <cellStyle name="Header2 2 2 4 2 2 4 2 2" xfId="38229"/>
    <cellStyle name="Header2 2 2 4 2 2 4 3" xfId="23988"/>
    <cellStyle name="Header2 2 2 4 2 2 4 4" xfId="33078"/>
    <cellStyle name="Header2 2 2 4 2 2 5" xfId="16709"/>
    <cellStyle name="Header2 2 2 4 2 2 5 2" xfId="28526"/>
    <cellStyle name="Header2 2 2 4 2 2 5 2 2" xfId="38525"/>
    <cellStyle name="Header2 2 2 4 2 2 5 3" xfId="24284"/>
    <cellStyle name="Header2 2 2 4 2 2 5 4" xfId="33374"/>
    <cellStyle name="Header2 2 2 4 2 2 6" xfId="17018"/>
    <cellStyle name="Header2 2 2 4 2 2 6 2" xfId="28835"/>
    <cellStyle name="Header2 2 2 4 2 2 6 2 2" xfId="38834"/>
    <cellStyle name="Header2 2 2 4 2 2 6 3" xfId="24593"/>
    <cellStyle name="Header2 2 2 4 2 2 6 4" xfId="33683"/>
    <cellStyle name="Header2 2 2 4 2 2 7" xfId="17075"/>
    <cellStyle name="Header2 2 2 4 2 2 7 2" xfId="28892"/>
    <cellStyle name="Header2 2 2 4 2 2 7 2 2" xfId="38891"/>
    <cellStyle name="Header2 2 2 4 2 2 7 3" xfId="24650"/>
    <cellStyle name="Header2 2 2 4 2 2 7 4" xfId="33740"/>
    <cellStyle name="Header2 2 2 4 2 2 8" xfId="17378"/>
    <cellStyle name="Header2 2 2 4 2 2 8 2" xfId="29195"/>
    <cellStyle name="Header2 2 2 4 2 2 8 2 2" xfId="39194"/>
    <cellStyle name="Header2 2 2 4 2 2 8 3" xfId="24953"/>
    <cellStyle name="Header2 2 2 4 2 2 8 4" xfId="34043"/>
    <cellStyle name="Header2 2 2 4 2 2 9" xfId="18557"/>
    <cellStyle name="Header2 2 2 4 2 2 9 2" xfId="30374"/>
    <cellStyle name="Header2 2 2 4 2 2 9 2 2" xfId="40373"/>
    <cellStyle name="Header2 2 2 4 2 2 9 3" xfId="26032"/>
    <cellStyle name="Header2 2 2 4 2 2 9 4" xfId="35222"/>
    <cellStyle name="Header2 2 2 4 2 3" xfId="7754"/>
    <cellStyle name="Header2 2 2 4 2 3 10" xfId="18833"/>
    <cellStyle name="Header2 2 2 4 2 3 10 2" xfId="30650"/>
    <cellStyle name="Header2 2 2 4 2 3 10 2 2" xfId="40649"/>
    <cellStyle name="Header2 2 2 4 2 3 10 3" xfId="26308"/>
    <cellStyle name="Header2 2 2 4 2 3 10 4" xfId="35498"/>
    <cellStyle name="Header2 2 2 4 2 3 11" xfId="18215"/>
    <cellStyle name="Header2 2 2 4 2 3 11 2" xfId="30032"/>
    <cellStyle name="Header2 2 2 4 2 3 11 2 2" xfId="40031"/>
    <cellStyle name="Header2 2 2 4 2 3 11 3" xfId="34880"/>
    <cellStyle name="Header2 2 2 4 2 3 12" xfId="23348"/>
    <cellStyle name="Header2 2 2 4 2 3 12 2" xfId="21131"/>
    <cellStyle name="Header2 2 2 4 2 3 13" xfId="22742"/>
    <cellStyle name="Header2 2 2 4 2 3 2" xfId="15561"/>
    <cellStyle name="Header2 2 2 4 2 3 2 2" xfId="19232"/>
    <cellStyle name="Header2 2 2 4 2 3 2 2 2" xfId="31049"/>
    <cellStyle name="Header2 2 2 4 2 3 2 2 2 2" xfId="41048"/>
    <cellStyle name="Header2 2 2 4 2 3 2 2 3" xfId="26707"/>
    <cellStyle name="Header2 2 2 4 2 3 2 2 4" xfId="35897"/>
    <cellStyle name="Header2 2 2 4 2 3 2 3" xfId="19838"/>
    <cellStyle name="Header2 2 2 4 2 3 2 3 2" xfId="31655"/>
    <cellStyle name="Header2 2 2 4 2 3 2 3 2 2" xfId="41654"/>
    <cellStyle name="Header2 2 2 4 2 3 2 3 3" xfId="27313"/>
    <cellStyle name="Header2 2 2 4 2 3 2 3 4" xfId="36503"/>
    <cellStyle name="Header2 2 2 4 2 3 2 4" xfId="17810"/>
    <cellStyle name="Header2 2 2 4 2 3 2 4 2" xfId="29627"/>
    <cellStyle name="Header2 2 2 4 2 3 2 4 2 2" xfId="39626"/>
    <cellStyle name="Header2 2 2 4 2 3 2 4 3" xfId="25385"/>
    <cellStyle name="Header2 2 2 4 2 3 2 4 4" xfId="34475"/>
    <cellStyle name="Header2 2 2 4 2 3 2 5" xfId="20647"/>
    <cellStyle name="Header2 2 2 4 2 3 2 5 2" xfId="32464"/>
    <cellStyle name="Header2 2 2 4 2 3 2 5 2 2" xfId="42463"/>
    <cellStyle name="Header2 2 2 4 2 3 2 5 3" xfId="37312"/>
    <cellStyle name="Header2 2 2 4 2 3 2 6" xfId="23439"/>
    <cellStyle name="Header2 2 2 4 2 3 2 6 2" xfId="21069"/>
    <cellStyle name="Header2 2 2 4 2 3 2 7" xfId="22887"/>
    <cellStyle name="Header2 2 2 4 2 3 2 7 2" xfId="21358"/>
    <cellStyle name="Header2 2 2 4 2 3 2 8" xfId="22353"/>
    <cellStyle name="Header2 2 2 4 2 3 3" xfId="16142"/>
    <cellStyle name="Header2 2 2 4 2 3 3 2" xfId="19509"/>
    <cellStyle name="Header2 2 2 4 2 3 3 2 2" xfId="31326"/>
    <cellStyle name="Header2 2 2 4 2 3 3 2 2 2" xfId="41325"/>
    <cellStyle name="Header2 2 2 4 2 3 3 2 3" xfId="26984"/>
    <cellStyle name="Header2 2 2 4 2 3 3 2 4" xfId="36174"/>
    <cellStyle name="Header2 2 2 4 2 3 3 3" xfId="20115"/>
    <cellStyle name="Header2 2 2 4 2 3 3 3 2" xfId="31932"/>
    <cellStyle name="Header2 2 2 4 2 3 3 3 2 2" xfId="41931"/>
    <cellStyle name="Header2 2 2 4 2 3 3 3 3" xfId="27590"/>
    <cellStyle name="Header2 2 2 4 2 3 3 3 4" xfId="36780"/>
    <cellStyle name="Header2 2 2 4 2 3 3 4" xfId="17752"/>
    <cellStyle name="Header2 2 2 4 2 3 3 4 2" xfId="29569"/>
    <cellStyle name="Header2 2 2 4 2 3 3 4 2 2" xfId="39568"/>
    <cellStyle name="Header2 2 2 4 2 3 3 4 3" xfId="25327"/>
    <cellStyle name="Header2 2 2 4 2 3 3 4 4" xfId="34417"/>
    <cellStyle name="Header2 2 2 4 2 3 3 5" xfId="20924"/>
    <cellStyle name="Header2 2 2 4 2 3 3 5 2" xfId="32741"/>
    <cellStyle name="Header2 2 2 4 2 3 3 5 2 2" xfId="42740"/>
    <cellStyle name="Header2 2 2 4 2 3 3 5 3" xfId="37589"/>
    <cellStyle name="Header2 2 2 4 2 3 3 6" xfId="27959"/>
    <cellStyle name="Header2 2 2 4 2 3 3 6 2" xfId="37958"/>
    <cellStyle name="Header2 2 2 4 2 3 3 7" xfId="21458"/>
    <cellStyle name="Header2 2 2 4 2 3 4" xfId="15843"/>
    <cellStyle name="Header2 2 2 4 2 3 4 2" xfId="27660"/>
    <cellStyle name="Header2 2 2 4 2 3 4 2 2" xfId="37659"/>
    <cellStyle name="Header2 2 2 4 2 3 4 3" xfId="23721"/>
    <cellStyle name="Header2 2 2 4 2 3 4 4" xfId="32811"/>
    <cellStyle name="Header2 2 2 4 2 3 5" xfId="16708"/>
    <cellStyle name="Header2 2 2 4 2 3 5 2" xfId="28525"/>
    <cellStyle name="Header2 2 2 4 2 3 5 2 2" xfId="38524"/>
    <cellStyle name="Header2 2 2 4 2 3 5 3" xfId="24283"/>
    <cellStyle name="Header2 2 2 4 2 3 5 4" xfId="33373"/>
    <cellStyle name="Header2 2 2 4 2 3 6" xfId="16985"/>
    <cellStyle name="Header2 2 2 4 2 3 6 2" xfId="28802"/>
    <cellStyle name="Header2 2 2 4 2 3 6 2 2" xfId="38801"/>
    <cellStyle name="Header2 2 2 4 2 3 6 3" xfId="24560"/>
    <cellStyle name="Header2 2 2 4 2 3 6 4" xfId="33650"/>
    <cellStyle name="Header2 2 2 4 2 3 7" xfId="17076"/>
    <cellStyle name="Header2 2 2 4 2 3 7 2" xfId="28893"/>
    <cellStyle name="Header2 2 2 4 2 3 7 2 2" xfId="38892"/>
    <cellStyle name="Header2 2 2 4 2 3 7 3" xfId="24651"/>
    <cellStyle name="Header2 2 2 4 2 3 7 4" xfId="33741"/>
    <cellStyle name="Header2 2 2 4 2 3 8" xfId="17379"/>
    <cellStyle name="Header2 2 2 4 2 3 8 2" xfId="29196"/>
    <cellStyle name="Header2 2 2 4 2 3 8 2 2" xfId="39195"/>
    <cellStyle name="Header2 2 2 4 2 3 8 3" xfId="24954"/>
    <cellStyle name="Header2 2 2 4 2 3 8 4" xfId="34044"/>
    <cellStyle name="Header2 2 2 4 2 3 9" xfId="18556"/>
    <cellStyle name="Header2 2 2 4 2 3 9 2" xfId="30373"/>
    <cellStyle name="Header2 2 2 4 2 3 9 2 2" xfId="40372"/>
    <cellStyle name="Header2 2 2 4 2 3 9 3" xfId="26031"/>
    <cellStyle name="Header2 2 2 4 2 3 9 4" xfId="35221"/>
    <cellStyle name="Header2 2 2 4 2 4" xfId="7755"/>
    <cellStyle name="Header2 2 2 4 2 4 10" xfId="17861"/>
    <cellStyle name="Header2 2 2 4 2 4 10 2" xfId="29678"/>
    <cellStyle name="Header2 2 2 4 2 4 10 2 2" xfId="39677"/>
    <cellStyle name="Header2 2 2 4 2 4 10 3" xfId="25436"/>
    <cellStyle name="Header2 2 2 4 2 4 10 4" xfId="34526"/>
    <cellStyle name="Header2 2 2 4 2 4 11" xfId="18216"/>
    <cellStyle name="Header2 2 2 4 2 4 11 2" xfId="30033"/>
    <cellStyle name="Header2 2 2 4 2 4 11 2 2" xfId="40032"/>
    <cellStyle name="Header2 2 2 4 2 4 11 3" xfId="34881"/>
    <cellStyle name="Header2 2 2 4 2 4 12" xfId="23347"/>
    <cellStyle name="Header2 2 2 4 2 4 12 2" xfId="21132"/>
    <cellStyle name="Header2 2 2 4 2 4 13" xfId="22741"/>
    <cellStyle name="Header2 2 2 4 2 4 2" xfId="15562"/>
    <cellStyle name="Header2 2 2 4 2 4 2 2" xfId="19231"/>
    <cellStyle name="Header2 2 2 4 2 4 2 2 2" xfId="31048"/>
    <cellStyle name="Header2 2 2 4 2 4 2 2 2 2" xfId="41047"/>
    <cellStyle name="Header2 2 2 4 2 4 2 2 3" xfId="26706"/>
    <cellStyle name="Header2 2 2 4 2 4 2 2 4" xfId="35896"/>
    <cellStyle name="Header2 2 2 4 2 4 2 3" xfId="19837"/>
    <cellStyle name="Header2 2 2 4 2 4 2 3 2" xfId="31654"/>
    <cellStyle name="Header2 2 2 4 2 4 2 3 2 2" xfId="41653"/>
    <cellStyle name="Header2 2 2 4 2 4 2 3 3" xfId="27312"/>
    <cellStyle name="Header2 2 2 4 2 4 2 3 4" xfId="36502"/>
    <cellStyle name="Header2 2 2 4 2 4 2 4" xfId="17683"/>
    <cellStyle name="Header2 2 2 4 2 4 2 4 2" xfId="29500"/>
    <cellStyle name="Header2 2 2 4 2 4 2 4 2 2" xfId="39499"/>
    <cellStyle name="Header2 2 2 4 2 4 2 4 3" xfId="25258"/>
    <cellStyle name="Header2 2 2 4 2 4 2 4 4" xfId="34348"/>
    <cellStyle name="Header2 2 2 4 2 4 2 5" xfId="20646"/>
    <cellStyle name="Header2 2 2 4 2 4 2 5 2" xfId="32463"/>
    <cellStyle name="Header2 2 2 4 2 4 2 5 2 2" xfId="42462"/>
    <cellStyle name="Header2 2 2 4 2 4 2 5 3" xfId="37311"/>
    <cellStyle name="Header2 2 2 4 2 4 2 6" xfId="23440"/>
    <cellStyle name="Header2 2 2 4 2 4 2 6 2" xfId="21068"/>
    <cellStyle name="Header2 2 2 4 2 4 2 7" xfId="22886"/>
    <cellStyle name="Header2 2 2 4 2 4 2 7 2" xfId="21359"/>
    <cellStyle name="Header2 2 2 4 2 4 2 8" xfId="22354"/>
    <cellStyle name="Header2 2 2 4 2 4 3" xfId="16143"/>
    <cellStyle name="Header2 2 2 4 2 4 3 2" xfId="18960"/>
    <cellStyle name="Header2 2 2 4 2 4 3 2 2" xfId="30777"/>
    <cellStyle name="Header2 2 2 4 2 4 3 2 2 2" xfId="40776"/>
    <cellStyle name="Header2 2 2 4 2 4 3 2 3" xfId="26435"/>
    <cellStyle name="Header2 2 2 4 2 4 3 2 4" xfId="35625"/>
    <cellStyle name="Header2 2 2 4 2 4 3 3" xfId="19566"/>
    <cellStyle name="Header2 2 2 4 2 4 3 3 2" xfId="31383"/>
    <cellStyle name="Header2 2 2 4 2 4 3 3 2 2" xfId="41382"/>
    <cellStyle name="Header2 2 2 4 2 4 3 3 3" xfId="27041"/>
    <cellStyle name="Header2 2 2 4 2 4 3 3 4" xfId="36231"/>
    <cellStyle name="Header2 2 2 4 2 4 3 4" xfId="17738"/>
    <cellStyle name="Header2 2 2 4 2 4 3 4 2" xfId="29555"/>
    <cellStyle name="Header2 2 2 4 2 4 3 4 2 2" xfId="39554"/>
    <cellStyle name="Header2 2 2 4 2 4 3 4 3" xfId="25313"/>
    <cellStyle name="Header2 2 2 4 2 4 3 4 4" xfId="34403"/>
    <cellStyle name="Header2 2 2 4 2 4 3 5" xfId="20375"/>
    <cellStyle name="Header2 2 2 4 2 4 3 5 2" xfId="32192"/>
    <cellStyle name="Header2 2 2 4 2 4 3 5 2 2" xfId="42191"/>
    <cellStyle name="Header2 2 2 4 2 4 3 5 3" xfId="37040"/>
    <cellStyle name="Header2 2 2 4 2 4 3 6" xfId="27960"/>
    <cellStyle name="Header2 2 2 4 2 4 3 6 2" xfId="37959"/>
    <cellStyle name="Header2 2 2 4 2 4 3 7" xfId="21744"/>
    <cellStyle name="Header2 2 2 4 2 4 4" xfId="15851"/>
    <cellStyle name="Header2 2 2 4 2 4 4 2" xfId="27668"/>
    <cellStyle name="Header2 2 2 4 2 4 4 2 2" xfId="37667"/>
    <cellStyle name="Header2 2 2 4 2 4 4 3" xfId="23729"/>
    <cellStyle name="Header2 2 2 4 2 4 4 4" xfId="32819"/>
    <cellStyle name="Header2 2 2 4 2 4 5" xfId="16707"/>
    <cellStyle name="Header2 2 2 4 2 4 5 2" xfId="28524"/>
    <cellStyle name="Header2 2 2 4 2 4 5 2 2" xfId="38523"/>
    <cellStyle name="Header2 2 2 4 2 4 5 3" xfId="24282"/>
    <cellStyle name="Header2 2 2 4 2 4 5 4" xfId="33372"/>
    <cellStyle name="Header2 2 2 4 2 4 6" xfId="16433"/>
    <cellStyle name="Header2 2 2 4 2 4 6 2" xfId="28250"/>
    <cellStyle name="Header2 2 2 4 2 4 6 2 2" xfId="38249"/>
    <cellStyle name="Header2 2 2 4 2 4 6 3" xfId="24008"/>
    <cellStyle name="Header2 2 2 4 2 4 6 4" xfId="33098"/>
    <cellStyle name="Header2 2 2 4 2 4 7" xfId="17077"/>
    <cellStyle name="Header2 2 2 4 2 4 7 2" xfId="28894"/>
    <cellStyle name="Header2 2 2 4 2 4 7 2 2" xfId="38893"/>
    <cellStyle name="Header2 2 2 4 2 4 7 3" xfId="24652"/>
    <cellStyle name="Header2 2 2 4 2 4 7 4" xfId="33742"/>
    <cellStyle name="Header2 2 2 4 2 4 8" xfId="17380"/>
    <cellStyle name="Header2 2 2 4 2 4 8 2" xfId="29197"/>
    <cellStyle name="Header2 2 2 4 2 4 8 2 2" xfId="39196"/>
    <cellStyle name="Header2 2 2 4 2 4 8 3" xfId="24955"/>
    <cellStyle name="Header2 2 2 4 2 4 8 4" xfId="34045"/>
    <cellStyle name="Header2 2 2 4 2 4 9" xfId="18555"/>
    <cellStyle name="Header2 2 2 4 2 4 9 2" xfId="30372"/>
    <cellStyle name="Header2 2 2 4 2 4 9 2 2" xfId="40371"/>
    <cellStyle name="Header2 2 2 4 2 4 9 3" xfId="26030"/>
    <cellStyle name="Header2 2 2 4 2 4 9 4" xfId="35220"/>
    <cellStyle name="Header2 2 2 4 2 5" xfId="15559"/>
    <cellStyle name="Header2 2 2 4 2 5 2" xfId="19234"/>
    <cellStyle name="Header2 2 2 4 2 5 2 2" xfId="31051"/>
    <cellStyle name="Header2 2 2 4 2 5 2 2 2" xfId="41050"/>
    <cellStyle name="Header2 2 2 4 2 5 2 3" xfId="26709"/>
    <cellStyle name="Header2 2 2 4 2 5 2 4" xfId="35899"/>
    <cellStyle name="Header2 2 2 4 2 5 3" xfId="19840"/>
    <cellStyle name="Header2 2 2 4 2 5 3 2" xfId="31657"/>
    <cellStyle name="Header2 2 2 4 2 5 3 2 2" xfId="41656"/>
    <cellStyle name="Header2 2 2 4 2 5 3 3" xfId="27315"/>
    <cellStyle name="Header2 2 2 4 2 5 3 4" xfId="36505"/>
    <cellStyle name="Header2 2 2 4 2 5 4" xfId="17809"/>
    <cellStyle name="Header2 2 2 4 2 5 4 2" xfId="29626"/>
    <cellStyle name="Header2 2 2 4 2 5 4 2 2" xfId="39625"/>
    <cellStyle name="Header2 2 2 4 2 5 4 3" xfId="25384"/>
    <cellStyle name="Header2 2 2 4 2 5 4 4" xfId="34474"/>
    <cellStyle name="Header2 2 2 4 2 5 5" xfId="20649"/>
    <cellStyle name="Header2 2 2 4 2 5 5 2" xfId="32466"/>
    <cellStyle name="Header2 2 2 4 2 5 5 2 2" xfId="42465"/>
    <cellStyle name="Header2 2 2 4 2 5 5 3" xfId="37314"/>
    <cellStyle name="Header2 2 2 4 2 5 6" xfId="23437"/>
    <cellStyle name="Header2 2 2 4 2 5 6 2" xfId="21070"/>
    <cellStyle name="Header2 2 2 4 2 5 7" xfId="22888"/>
    <cellStyle name="Header2 2 2 4 2 5 7 2" xfId="21357"/>
    <cellStyle name="Header2 2 2 4 2 5 8" xfId="22352"/>
    <cellStyle name="Header2 2 2 4 2 6" xfId="16140"/>
    <cellStyle name="Header2 2 2 4 2 6 2" xfId="19539"/>
    <cellStyle name="Header2 2 2 4 2 6 2 2" xfId="31356"/>
    <cellStyle name="Header2 2 2 4 2 6 2 2 2" xfId="41355"/>
    <cellStyle name="Header2 2 2 4 2 6 2 3" xfId="27014"/>
    <cellStyle name="Header2 2 2 4 2 6 2 4" xfId="36204"/>
    <cellStyle name="Header2 2 2 4 2 6 3" xfId="20145"/>
    <cellStyle name="Header2 2 2 4 2 6 3 2" xfId="31962"/>
    <cellStyle name="Header2 2 2 4 2 6 3 2 2" xfId="41961"/>
    <cellStyle name="Header2 2 2 4 2 6 3 3" xfId="27620"/>
    <cellStyle name="Header2 2 2 4 2 6 3 4" xfId="36810"/>
    <cellStyle name="Header2 2 2 4 2 6 4" xfId="17746"/>
    <cellStyle name="Header2 2 2 4 2 6 4 2" xfId="29563"/>
    <cellStyle name="Header2 2 2 4 2 6 4 2 2" xfId="39562"/>
    <cellStyle name="Header2 2 2 4 2 6 4 3" xfId="25321"/>
    <cellStyle name="Header2 2 2 4 2 6 4 4" xfId="34411"/>
    <cellStyle name="Header2 2 2 4 2 6 5" xfId="20954"/>
    <cellStyle name="Header2 2 2 4 2 6 5 2" xfId="32771"/>
    <cellStyle name="Header2 2 2 4 2 6 5 2 2" xfId="42770"/>
    <cellStyle name="Header2 2 2 4 2 6 5 3" xfId="37619"/>
    <cellStyle name="Header2 2 2 4 2 6 6" xfId="27957"/>
    <cellStyle name="Header2 2 2 4 2 6 6 2" xfId="37956"/>
    <cellStyle name="Header2 2 2 4 2 6 7" xfId="22210"/>
    <cellStyle name="Header2 2 2 4 2 7" xfId="15864"/>
    <cellStyle name="Header2 2 2 4 2 7 2" xfId="27681"/>
    <cellStyle name="Header2 2 2 4 2 7 2 2" xfId="37680"/>
    <cellStyle name="Header2 2 2 4 2 7 3" xfId="23742"/>
    <cellStyle name="Header2 2 2 4 2 7 4" xfId="32832"/>
    <cellStyle name="Header2 2 2 4 2 8" xfId="16710"/>
    <cellStyle name="Header2 2 2 4 2 8 2" xfId="28527"/>
    <cellStyle name="Header2 2 2 4 2 8 2 2" xfId="38526"/>
    <cellStyle name="Header2 2 2 4 2 8 3" xfId="24285"/>
    <cellStyle name="Header2 2 2 4 2 8 4" xfId="33375"/>
    <cellStyle name="Header2 2 2 4 2 9" xfId="17019"/>
    <cellStyle name="Header2 2 2 4 2 9 2" xfId="28836"/>
    <cellStyle name="Header2 2 2 4 2 9 2 2" xfId="38835"/>
    <cellStyle name="Header2 2 2 4 2 9 3" xfId="24594"/>
    <cellStyle name="Header2 2 2 4 2 9 4" xfId="33684"/>
    <cellStyle name="Header2 2 2 4 3" xfId="7756"/>
    <cellStyle name="Header2 2 2 4 3 10" xfId="17078"/>
    <cellStyle name="Header2 2 2 4 3 10 2" xfId="28895"/>
    <cellStyle name="Header2 2 2 4 3 10 2 2" xfId="38894"/>
    <cellStyle name="Header2 2 2 4 3 10 3" xfId="24653"/>
    <cellStyle name="Header2 2 2 4 3 10 4" xfId="33743"/>
    <cellStyle name="Header2 2 2 4 3 11" xfId="17381"/>
    <cellStyle name="Header2 2 2 4 3 11 2" xfId="29198"/>
    <cellStyle name="Header2 2 2 4 3 11 2 2" xfId="39197"/>
    <cellStyle name="Header2 2 2 4 3 11 3" xfId="24956"/>
    <cellStyle name="Header2 2 2 4 3 11 4" xfId="34046"/>
    <cellStyle name="Header2 2 2 4 3 12" xfId="18554"/>
    <cellStyle name="Header2 2 2 4 3 12 2" xfId="30371"/>
    <cellStyle name="Header2 2 2 4 3 12 2 2" xfId="40370"/>
    <cellStyle name="Header2 2 2 4 3 12 3" xfId="26029"/>
    <cellStyle name="Header2 2 2 4 3 12 4" xfId="35219"/>
    <cellStyle name="Header2 2 2 4 3 13" xfId="17860"/>
    <cellStyle name="Header2 2 2 4 3 13 2" xfId="29677"/>
    <cellStyle name="Header2 2 2 4 3 13 2 2" xfId="39676"/>
    <cellStyle name="Header2 2 2 4 3 13 3" xfId="25435"/>
    <cellStyle name="Header2 2 2 4 3 13 4" xfId="34525"/>
    <cellStyle name="Header2 2 2 4 3 14" xfId="20243"/>
    <cellStyle name="Header2 2 2 4 3 14 2" xfId="32060"/>
    <cellStyle name="Header2 2 2 4 3 14 2 2" xfId="42059"/>
    <cellStyle name="Header2 2 2 4 3 14 3" xfId="36908"/>
    <cellStyle name="Header2 2 2 4 3 15" xfId="23346"/>
    <cellStyle name="Header2 2 2 4 3 15 2" xfId="21133"/>
    <cellStyle name="Header2 2 2 4 3 16" xfId="22740"/>
    <cellStyle name="Header2 2 2 4 3 2" xfId="7757"/>
    <cellStyle name="Header2 2 2 4 3 2 10" xfId="17859"/>
    <cellStyle name="Header2 2 2 4 3 2 10 2" xfId="29676"/>
    <cellStyle name="Header2 2 2 4 3 2 10 2 2" xfId="39675"/>
    <cellStyle name="Header2 2 2 4 3 2 10 3" xfId="25434"/>
    <cellStyle name="Header2 2 2 4 3 2 10 4" xfId="34524"/>
    <cellStyle name="Header2 2 2 4 3 2 11" xfId="20341"/>
    <cellStyle name="Header2 2 2 4 3 2 11 2" xfId="32158"/>
    <cellStyle name="Header2 2 2 4 3 2 11 2 2" xfId="42157"/>
    <cellStyle name="Header2 2 2 4 3 2 11 3" xfId="37006"/>
    <cellStyle name="Header2 2 2 4 3 2 12" xfId="23345"/>
    <cellStyle name="Header2 2 2 4 3 2 12 2" xfId="21134"/>
    <cellStyle name="Header2 2 2 4 3 2 13" xfId="22739"/>
    <cellStyle name="Header2 2 2 4 3 2 2" xfId="15564"/>
    <cellStyle name="Header2 2 2 4 3 2 2 2" xfId="19229"/>
    <cellStyle name="Header2 2 2 4 3 2 2 2 2" xfId="31046"/>
    <cellStyle name="Header2 2 2 4 3 2 2 2 2 2" xfId="41045"/>
    <cellStyle name="Header2 2 2 4 3 2 2 2 3" xfId="26704"/>
    <cellStyle name="Header2 2 2 4 3 2 2 2 4" xfId="35894"/>
    <cellStyle name="Header2 2 2 4 3 2 2 3" xfId="19835"/>
    <cellStyle name="Header2 2 2 4 3 2 2 3 2" xfId="31652"/>
    <cellStyle name="Header2 2 2 4 3 2 2 3 2 2" xfId="41651"/>
    <cellStyle name="Header2 2 2 4 3 2 2 3 3" xfId="27310"/>
    <cellStyle name="Header2 2 2 4 3 2 2 3 4" xfId="36500"/>
    <cellStyle name="Header2 2 2 4 3 2 2 4" xfId="17684"/>
    <cellStyle name="Header2 2 2 4 3 2 2 4 2" xfId="29501"/>
    <cellStyle name="Header2 2 2 4 3 2 2 4 2 2" xfId="39500"/>
    <cellStyle name="Header2 2 2 4 3 2 2 4 3" xfId="25259"/>
    <cellStyle name="Header2 2 2 4 3 2 2 4 4" xfId="34349"/>
    <cellStyle name="Header2 2 2 4 3 2 2 5" xfId="20644"/>
    <cellStyle name="Header2 2 2 4 3 2 2 5 2" xfId="32461"/>
    <cellStyle name="Header2 2 2 4 3 2 2 5 2 2" xfId="42460"/>
    <cellStyle name="Header2 2 2 4 3 2 2 5 3" xfId="37309"/>
    <cellStyle name="Header2 2 2 4 3 2 2 6" xfId="23442"/>
    <cellStyle name="Header2 2 2 4 3 2 2 6 2" xfId="21913"/>
    <cellStyle name="Header2 2 2 4 3 2 2 7" xfId="23077"/>
    <cellStyle name="Header2 2 2 4 3 2 2 7 2" xfId="21288"/>
    <cellStyle name="Header2 2 2 4 3 2 2 8" xfId="22356"/>
    <cellStyle name="Header2 2 2 4 3 2 3" xfId="16145"/>
    <cellStyle name="Header2 2 2 4 3 2 3 2" xfId="18958"/>
    <cellStyle name="Header2 2 2 4 3 2 3 2 2" xfId="30775"/>
    <cellStyle name="Header2 2 2 4 3 2 3 2 2 2" xfId="40774"/>
    <cellStyle name="Header2 2 2 4 3 2 3 2 3" xfId="26433"/>
    <cellStyle name="Header2 2 2 4 3 2 3 2 4" xfId="35623"/>
    <cellStyle name="Header2 2 2 4 3 2 3 3" xfId="19564"/>
    <cellStyle name="Header2 2 2 4 3 2 3 3 2" xfId="31381"/>
    <cellStyle name="Header2 2 2 4 3 2 3 3 2 2" xfId="41380"/>
    <cellStyle name="Header2 2 2 4 3 2 3 3 3" xfId="27039"/>
    <cellStyle name="Header2 2 2 4 3 2 3 3 4" xfId="36229"/>
    <cellStyle name="Header2 2 2 4 3 2 3 4" xfId="17739"/>
    <cellStyle name="Header2 2 2 4 3 2 3 4 2" xfId="29556"/>
    <cellStyle name="Header2 2 2 4 3 2 3 4 2 2" xfId="39555"/>
    <cellStyle name="Header2 2 2 4 3 2 3 4 3" xfId="25314"/>
    <cellStyle name="Header2 2 2 4 3 2 3 4 4" xfId="34404"/>
    <cellStyle name="Header2 2 2 4 3 2 3 5" xfId="20373"/>
    <cellStyle name="Header2 2 2 4 3 2 3 5 2" xfId="32190"/>
    <cellStyle name="Header2 2 2 4 3 2 3 5 2 2" xfId="42189"/>
    <cellStyle name="Header2 2 2 4 3 2 3 5 3" xfId="37038"/>
    <cellStyle name="Header2 2 2 4 3 2 3 6" xfId="27962"/>
    <cellStyle name="Header2 2 2 4 3 2 3 6 2" xfId="37961"/>
    <cellStyle name="Header2 2 2 4 3 2 3 7" xfId="21746"/>
    <cellStyle name="Header2 2 2 4 3 2 4" xfId="16415"/>
    <cellStyle name="Header2 2 2 4 3 2 4 2" xfId="28232"/>
    <cellStyle name="Header2 2 2 4 3 2 4 2 2" xfId="38231"/>
    <cellStyle name="Header2 2 2 4 3 2 4 3" xfId="23990"/>
    <cellStyle name="Header2 2 2 4 3 2 4 4" xfId="33080"/>
    <cellStyle name="Header2 2 2 4 3 2 5" xfId="16705"/>
    <cellStyle name="Header2 2 2 4 3 2 5 2" xfId="28522"/>
    <cellStyle name="Header2 2 2 4 3 2 5 2 2" xfId="38521"/>
    <cellStyle name="Header2 2 2 4 3 2 5 3" xfId="24280"/>
    <cellStyle name="Header2 2 2 4 3 2 5 4" xfId="33370"/>
    <cellStyle name="Header2 2 2 4 3 2 6" xfId="16432"/>
    <cellStyle name="Header2 2 2 4 3 2 6 2" xfId="28249"/>
    <cellStyle name="Header2 2 2 4 3 2 6 2 2" xfId="38248"/>
    <cellStyle name="Header2 2 2 4 3 2 6 3" xfId="24007"/>
    <cellStyle name="Header2 2 2 4 3 2 6 4" xfId="33097"/>
    <cellStyle name="Header2 2 2 4 3 2 7" xfId="17079"/>
    <cellStyle name="Header2 2 2 4 3 2 7 2" xfId="28896"/>
    <cellStyle name="Header2 2 2 4 3 2 7 2 2" xfId="38895"/>
    <cellStyle name="Header2 2 2 4 3 2 7 3" xfId="24654"/>
    <cellStyle name="Header2 2 2 4 3 2 7 4" xfId="33744"/>
    <cellStyle name="Header2 2 2 4 3 2 8" xfId="17382"/>
    <cellStyle name="Header2 2 2 4 3 2 8 2" xfId="29199"/>
    <cellStyle name="Header2 2 2 4 3 2 8 2 2" xfId="39198"/>
    <cellStyle name="Header2 2 2 4 3 2 8 3" xfId="24957"/>
    <cellStyle name="Header2 2 2 4 3 2 8 4" xfId="34047"/>
    <cellStyle name="Header2 2 2 4 3 2 9" xfId="18553"/>
    <cellStyle name="Header2 2 2 4 3 2 9 2" xfId="30370"/>
    <cellStyle name="Header2 2 2 4 3 2 9 2 2" xfId="40369"/>
    <cellStyle name="Header2 2 2 4 3 2 9 3" xfId="26028"/>
    <cellStyle name="Header2 2 2 4 3 2 9 4" xfId="35218"/>
    <cellStyle name="Header2 2 2 4 3 3" xfId="7758"/>
    <cellStyle name="Header2 2 2 4 3 3 10" xfId="18832"/>
    <cellStyle name="Header2 2 2 4 3 3 10 2" xfId="30649"/>
    <cellStyle name="Header2 2 2 4 3 3 10 2 2" xfId="40648"/>
    <cellStyle name="Header2 2 2 4 3 3 10 3" xfId="26307"/>
    <cellStyle name="Header2 2 2 4 3 3 10 4" xfId="35497"/>
    <cellStyle name="Header2 2 2 4 3 3 11" xfId="18217"/>
    <cellStyle name="Header2 2 2 4 3 3 11 2" xfId="30034"/>
    <cellStyle name="Header2 2 2 4 3 3 11 2 2" xfId="40033"/>
    <cellStyle name="Header2 2 2 4 3 3 11 3" xfId="34882"/>
    <cellStyle name="Header2 2 2 4 3 3 12" xfId="23344"/>
    <cellStyle name="Header2 2 2 4 3 3 12 2" xfId="21135"/>
    <cellStyle name="Header2 2 2 4 3 3 13" xfId="22738"/>
    <cellStyle name="Header2 2 2 4 3 3 2" xfId="15565"/>
    <cellStyle name="Header2 2 2 4 3 3 2 2" xfId="19228"/>
    <cellStyle name="Header2 2 2 4 3 3 2 2 2" xfId="31045"/>
    <cellStyle name="Header2 2 2 4 3 3 2 2 2 2" xfId="41044"/>
    <cellStyle name="Header2 2 2 4 3 3 2 2 3" xfId="26703"/>
    <cellStyle name="Header2 2 2 4 3 3 2 2 4" xfId="35893"/>
    <cellStyle name="Header2 2 2 4 3 3 2 3" xfId="19834"/>
    <cellStyle name="Header2 2 2 4 3 3 2 3 2" xfId="31651"/>
    <cellStyle name="Header2 2 2 4 3 3 2 3 2 2" xfId="41650"/>
    <cellStyle name="Header2 2 2 4 3 3 2 3 3" xfId="27309"/>
    <cellStyle name="Header2 2 2 4 3 3 2 3 4" xfId="36499"/>
    <cellStyle name="Header2 2 2 4 3 3 2 4" xfId="17948"/>
    <cellStyle name="Header2 2 2 4 3 3 2 4 2" xfId="29765"/>
    <cellStyle name="Header2 2 2 4 3 3 2 4 2 2" xfId="39764"/>
    <cellStyle name="Header2 2 2 4 3 3 2 4 3" xfId="25523"/>
    <cellStyle name="Header2 2 2 4 3 3 2 4 4" xfId="34613"/>
    <cellStyle name="Header2 2 2 4 3 3 2 5" xfId="20643"/>
    <cellStyle name="Header2 2 2 4 3 3 2 5 2" xfId="32460"/>
    <cellStyle name="Header2 2 2 4 3 3 2 5 2 2" xfId="42459"/>
    <cellStyle name="Header2 2 2 4 3 3 2 5 3" xfId="37308"/>
    <cellStyle name="Header2 2 2 4 3 3 2 6" xfId="23443"/>
    <cellStyle name="Header2 2 2 4 3 3 2 6 2" xfId="21066"/>
    <cellStyle name="Header2 2 2 4 3 3 2 7" xfId="22884"/>
    <cellStyle name="Header2 2 2 4 3 3 2 7 2" xfId="21360"/>
    <cellStyle name="Header2 2 2 4 3 3 2 8" xfId="22357"/>
    <cellStyle name="Header2 2 2 4 3 3 3" xfId="16146"/>
    <cellStyle name="Header2 2 2 4 3 3 3 2" xfId="19508"/>
    <cellStyle name="Header2 2 2 4 3 3 3 2 2" xfId="31325"/>
    <cellStyle name="Header2 2 2 4 3 3 3 2 2 2" xfId="41324"/>
    <cellStyle name="Header2 2 2 4 3 3 3 2 3" xfId="26983"/>
    <cellStyle name="Header2 2 2 4 3 3 3 2 4" xfId="36173"/>
    <cellStyle name="Header2 2 2 4 3 3 3 3" xfId="20114"/>
    <cellStyle name="Header2 2 2 4 3 3 3 3 2" xfId="31931"/>
    <cellStyle name="Header2 2 2 4 3 3 3 3 2 2" xfId="41930"/>
    <cellStyle name="Header2 2 2 4 3 3 3 3 3" xfId="27589"/>
    <cellStyle name="Header2 2 2 4 3 3 3 3 4" xfId="36779"/>
    <cellStyle name="Header2 2 2 4 3 3 3 4" xfId="17753"/>
    <cellStyle name="Header2 2 2 4 3 3 3 4 2" xfId="29570"/>
    <cellStyle name="Header2 2 2 4 3 3 3 4 2 2" xfId="39569"/>
    <cellStyle name="Header2 2 2 4 3 3 3 4 3" xfId="25328"/>
    <cellStyle name="Header2 2 2 4 3 3 3 4 4" xfId="34418"/>
    <cellStyle name="Header2 2 2 4 3 3 3 5" xfId="20923"/>
    <cellStyle name="Header2 2 2 4 3 3 3 5 2" xfId="32740"/>
    <cellStyle name="Header2 2 2 4 3 3 3 5 2 2" xfId="42739"/>
    <cellStyle name="Header2 2 2 4 3 3 3 5 3" xfId="37588"/>
    <cellStyle name="Header2 2 2 4 3 3 3 6" xfId="27963"/>
    <cellStyle name="Header2 2 2 4 3 3 3 6 2" xfId="37962"/>
    <cellStyle name="Header2 2 2 4 3 3 3 7" xfId="21459"/>
    <cellStyle name="Header2 2 2 4 3 3 4" xfId="15879"/>
    <cellStyle name="Header2 2 2 4 3 3 4 2" xfId="27696"/>
    <cellStyle name="Header2 2 2 4 3 3 4 2 2" xfId="37695"/>
    <cellStyle name="Header2 2 2 4 3 3 4 3" xfId="23757"/>
    <cellStyle name="Header2 2 2 4 3 3 4 4" xfId="32847"/>
    <cellStyle name="Header2 2 2 4 3 3 5" xfId="16704"/>
    <cellStyle name="Header2 2 2 4 3 3 5 2" xfId="28521"/>
    <cellStyle name="Header2 2 2 4 3 3 5 2 2" xfId="38520"/>
    <cellStyle name="Header2 2 2 4 3 3 5 3" xfId="24279"/>
    <cellStyle name="Header2 2 2 4 3 3 5 4" xfId="33369"/>
    <cellStyle name="Header2 2 2 4 3 3 6" xfId="16984"/>
    <cellStyle name="Header2 2 2 4 3 3 6 2" xfId="28801"/>
    <cellStyle name="Header2 2 2 4 3 3 6 2 2" xfId="38800"/>
    <cellStyle name="Header2 2 2 4 3 3 6 3" xfId="24559"/>
    <cellStyle name="Header2 2 2 4 3 3 6 4" xfId="33649"/>
    <cellStyle name="Header2 2 2 4 3 3 7" xfId="17080"/>
    <cellStyle name="Header2 2 2 4 3 3 7 2" xfId="28897"/>
    <cellStyle name="Header2 2 2 4 3 3 7 2 2" xfId="38896"/>
    <cellStyle name="Header2 2 2 4 3 3 7 3" xfId="24655"/>
    <cellStyle name="Header2 2 2 4 3 3 7 4" xfId="33745"/>
    <cellStyle name="Header2 2 2 4 3 3 8" xfId="17383"/>
    <cellStyle name="Header2 2 2 4 3 3 8 2" xfId="29200"/>
    <cellStyle name="Header2 2 2 4 3 3 8 2 2" xfId="39199"/>
    <cellStyle name="Header2 2 2 4 3 3 8 3" xfId="24958"/>
    <cellStyle name="Header2 2 2 4 3 3 8 4" xfId="34048"/>
    <cellStyle name="Header2 2 2 4 3 3 9" xfId="18552"/>
    <cellStyle name="Header2 2 2 4 3 3 9 2" xfId="30369"/>
    <cellStyle name="Header2 2 2 4 3 3 9 2 2" xfId="40368"/>
    <cellStyle name="Header2 2 2 4 3 3 9 3" xfId="26027"/>
    <cellStyle name="Header2 2 2 4 3 3 9 4" xfId="35217"/>
    <cellStyle name="Header2 2 2 4 3 4" xfId="7759"/>
    <cellStyle name="Header2 2 2 4 3 4 10" xfId="18931"/>
    <cellStyle name="Header2 2 2 4 3 4 10 2" xfId="30748"/>
    <cellStyle name="Header2 2 2 4 3 4 10 2 2" xfId="40747"/>
    <cellStyle name="Header2 2 2 4 3 4 10 3" xfId="26406"/>
    <cellStyle name="Header2 2 2 4 3 4 10 4" xfId="35596"/>
    <cellStyle name="Header2 2 2 4 3 4 11" xfId="20242"/>
    <cellStyle name="Header2 2 2 4 3 4 11 2" xfId="32059"/>
    <cellStyle name="Header2 2 2 4 3 4 11 2 2" xfId="42058"/>
    <cellStyle name="Header2 2 2 4 3 4 11 3" xfId="36907"/>
    <cellStyle name="Header2 2 2 4 3 4 12" xfId="23343"/>
    <cellStyle name="Header2 2 2 4 3 4 12 2" xfId="21136"/>
    <cellStyle name="Header2 2 2 4 3 4 13" xfId="22737"/>
    <cellStyle name="Header2 2 2 4 3 4 2" xfId="15566"/>
    <cellStyle name="Header2 2 2 4 3 4 2 2" xfId="19227"/>
    <cellStyle name="Header2 2 2 4 3 4 2 2 2" xfId="31044"/>
    <cellStyle name="Header2 2 2 4 3 4 2 2 2 2" xfId="41043"/>
    <cellStyle name="Header2 2 2 4 3 4 2 2 3" xfId="26702"/>
    <cellStyle name="Header2 2 2 4 3 4 2 2 4" xfId="35892"/>
    <cellStyle name="Header2 2 2 4 3 4 2 3" xfId="19833"/>
    <cellStyle name="Header2 2 2 4 3 4 2 3 2" xfId="31650"/>
    <cellStyle name="Header2 2 2 4 3 4 2 3 2 2" xfId="41649"/>
    <cellStyle name="Header2 2 2 4 3 4 2 3 3" xfId="27308"/>
    <cellStyle name="Header2 2 2 4 3 4 2 3 4" xfId="36498"/>
    <cellStyle name="Header2 2 2 4 3 4 2 4" xfId="17685"/>
    <cellStyle name="Header2 2 2 4 3 4 2 4 2" xfId="29502"/>
    <cellStyle name="Header2 2 2 4 3 4 2 4 2 2" xfId="39501"/>
    <cellStyle name="Header2 2 2 4 3 4 2 4 3" xfId="25260"/>
    <cellStyle name="Header2 2 2 4 3 4 2 4 4" xfId="34350"/>
    <cellStyle name="Header2 2 2 4 3 4 2 5" xfId="20642"/>
    <cellStyle name="Header2 2 2 4 3 4 2 5 2" xfId="32459"/>
    <cellStyle name="Header2 2 2 4 3 4 2 5 2 2" xfId="42458"/>
    <cellStyle name="Header2 2 2 4 3 4 2 5 3" xfId="37307"/>
    <cellStyle name="Header2 2 2 4 3 4 2 6" xfId="23444"/>
    <cellStyle name="Header2 2 2 4 3 4 2 6 2" xfId="21065"/>
    <cellStyle name="Header2 2 2 4 3 4 2 7" xfId="22883"/>
    <cellStyle name="Header2 2 2 4 3 4 2 7 2" xfId="21361"/>
    <cellStyle name="Header2 2 2 4 3 4 2 8" xfId="21602"/>
    <cellStyle name="Header2 2 2 4 3 4 3" xfId="16147"/>
    <cellStyle name="Header2 2 2 4 3 4 3 2" xfId="19538"/>
    <cellStyle name="Header2 2 2 4 3 4 3 2 2" xfId="31355"/>
    <cellStyle name="Header2 2 2 4 3 4 3 2 2 2" xfId="41354"/>
    <cellStyle name="Header2 2 2 4 3 4 3 2 3" xfId="27013"/>
    <cellStyle name="Header2 2 2 4 3 4 3 2 4" xfId="36203"/>
    <cellStyle name="Header2 2 2 4 3 4 3 3" xfId="20144"/>
    <cellStyle name="Header2 2 2 4 3 4 3 3 2" xfId="31961"/>
    <cellStyle name="Header2 2 2 4 3 4 3 3 2 2" xfId="41960"/>
    <cellStyle name="Header2 2 2 4 3 4 3 3 3" xfId="27619"/>
    <cellStyle name="Header2 2 2 4 3 4 3 3 4" xfId="36809"/>
    <cellStyle name="Header2 2 2 4 3 4 3 4" xfId="17880"/>
    <cellStyle name="Header2 2 2 4 3 4 3 4 2" xfId="29697"/>
    <cellStyle name="Header2 2 2 4 3 4 3 4 2 2" xfId="39696"/>
    <cellStyle name="Header2 2 2 4 3 4 3 4 3" xfId="25455"/>
    <cellStyle name="Header2 2 2 4 3 4 3 4 4" xfId="34545"/>
    <cellStyle name="Header2 2 2 4 3 4 3 5" xfId="20953"/>
    <cellStyle name="Header2 2 2 4 3 4 3 5 2" xfId="32770"/>
    <cellStyle name="Header2 2 2 4 3 4 3 5 2 2" xfId="42769"/>
    <cellStyle name="Header2 2 2 4 3 4 3 5 3" xfId="37618"/>
    <cellStyle name="Header2 2 2 4 3 4 3 6" xfId="27964"/>
    <cellStyle name="Header2 2 2 4 3 4 3 6 2" xfId="37963"/>
    <cellStyle name="Header2 2 2 4 3 4 3 7" xfId="22211"/>
    <cellStyle name="Header2 2 2 4 3 4 4" xfId="15828"/>
    <cellStyle name="Header2 2 2 4 3 4 4 2" xfId="27645"/>
    <cellStyle name="Header2 2 2 4 3 4 4 2 2" xfId="37644"/>
    <cellStyle name="Header2 2 2 4 3 4 4 3" xfId="23706"/>
    <cellStyle name="Header2 2 2 4 3 4 4 4" xfId="32796"/>
    <cellStyle name="Header2 2 2 4 3 4 5" xfId="16703"/>
    <cellStyle name="Header2 2 2 4 3 4 5 2" xfId="28520"/>
    <cellStyle name="Header2 2 2 4 3 4 5 2 2" xfId="38519"/>
    <cellStyle name="Header2 2 2 4 3 4 5 3" xfId="24278"/>
    <cellStyle name="Header2 2 2 4 3 4 5 4" xfId="33368"/>
    <cellStyle name="Header2 2 2 4 3 4 6" xfId="17016"/>
    <cellStyle name="Header2 2 2 4 3 4 6 2" xfId="28833"/>
    <cellStyle name="Header2 2 2 4 3 4 6 2 2" xfId="38832"/>
    <cellStyle name="Header2 2 2 4 3 4 6 3" xfId="24591"/>
    <cellStyle name="Header2 2 2 4 3 4 6 4" xfId="33681"/>
    <cellStyle name="Header2 2 2 4 3 4 7" xfId="17081"/>
    <cellStyle name="Header2 2 2 4 3 4 7 2" xfId="28898"/>
    <cellStyle name="Header2 2 2 4 3 4 7 2 2" xfId="38897"/>
    <cellStyle name="Header2 2 2 4 3 4 7 3" xfId="24656"/>
    <cellStyle name="Header2 2 2 4 3 4 7 4" xfId="33746"/>
    <cellStyle name="Header2 2 2 4 3 4 8" xfId="17384"/>
    <cellStyle name="Header2 2 2 4 3 4 8 2" xfId="29201"/>
    <cellStyle name="Header2 2 2 4 3 4 8 2 2" xfId="39200"/>
    <cellStyle name="Header2 2 2 4 3 4 8 3" xfId="24959"/>
    <cellStyle name="Header2 2 2 4 3 4 8 4" xfId="34049"/>
    <cellStyle name="Header2 2 2 4 3 4 9" xfId="18551"/>
    <cellStyle name="Header2 2 2 4 3 4 9 2" xfId="30368"/>
    <cellStyle name="Header2 2 2 4 3 4 9 2 2" xfId="40367"/>
    <cellStyle name="Header2 2 2 4 3 4 9 3" xfId="26026"/>
    <cellStyle name="Header2 2 2 4 3 4 9 4" xfId="35216"/>
    <cellStyle name="Header2 2 2 4 3 5" xfId="15563"/>
    <cellStyle name="Header2 2 2 4 3 5 2" xfId="19230"/>
    <cellStyle name="Header2 2 2 4 3 5 2 2" xfId="31047"/>
    <cellStyle name="Header2 2 2 4 3 5 2 2 2" xfId="41046"/>
    <cellStyle name="Header2 2 2 4 3 5 2 3" xfId="26705"/>
    <cellStyle name="Header2 2 2 4 3 5 2 4" xfId="35895"/>
    <cellStyle name="Header2 2 2 4 3 5 3" xfId="19836"/>
    <cellStyle name="Header2 2 2 4 3 5 3 2" xfId="31653"/>
    <cellStyle name="Header2 2 2 4 3 5 3 2 2" xfId="41652"/>
    <cellStyle name="Header2 2 2 4 3 5 3 3" xfId="27311"/>
    <cellStyle name="Header2 2 2 4 3 5 3 4" xfId="36501"/>
    <cellStyle name="Header2 2 2 4 3 5 4" xfId="17947"/>
    <cellStyle name="Header2 2 2 4 3 5 4 2" xfId="29764"/>
    <cellStyle name="Header2 2 2 4 3 5 4 2 2" xfId="39763"/>
    <cellStyle name="Header2 2 2 4 3 5 4 3" xfId="25522"/>
    <cellStyle name="Header2 2 2 4 3 5 4 4" xfId="34612"/>
    <cellStyle name="Header2 2 2 4 3 5 5" xfId="20645"/>
    <cellStyle name="Header2 2 2 4 3 5 5 2" xfId="32462"/>
    <cellStyle name="Header2 2 2 4 3 5 5 2 2" xfId="42461"/>
    <cellStyle name="Header2 2 2 4 3 5 5 3" xfId="37310"/>
    <cellStyle name="Header2 2 2 4 3 5 6" xfId="23441"/>
    <cellStyle name="Header2 2 2 4 3 5 6 2" xfId="21067"/>
    <cellStyle name="Header2 2 2 4 3 5 7" xfId="22885"/>
    <cellStyle name="Header2 2 2 4 3 5 7 2" xfId="22176"/>
    <cellStyle name="Header2 2 2 4 3 5 8" xfId="22355"/>
    <cellStyle name="Header2 2 2 4 3 6" xfId="16144"/>
    <cellStyle name="Header2 2 2 4 3 6 2" xfId="18959"/>
    <cellStyle name="Header2 2 2 4 3 6 2 2" xfId="30776"/>
    <cellStyle name="Header2 2 2 4 3 6 2 2 2" xfId="40775"/>
    <cellStyle name="Header2 2 2 4 3 6 2 3" xfId="26434"/>
    <cellStyle name="Header2 2 2 4 3 6 2 4" xfId="35624"/>
    <cellStyle name="Header2 2 2 4 3 6 3" xfId="19565"/>
    <cellStyle name="Header2 2 2 4 3 6 3 2" xfId="31382"/>
    <cellStyle name="Header2 2 2 4 3 6 3 2 2" xfId="41381"/>
    <cellStyle name="Header2 2 2 4 3 6 3 3" xfId="27040"/>
    <cellStyle name="Header2 2 2 4 3 6 3 4" xfId="36230"/>
    <cellStyle name="Header2 2 2 4 3 6 4" xfId="18923"/>
    <cellStyle name="Header2 2 2 4 3 6 4 2" xfId="30740"/>
    <cellStyle name="Header2 2 2 4 3 6 4 2 2" xfId="40739"/>
    <cellStyle name="Header2 2 2 4 3 6 4 3" xfId="26398"/>
    <cellStyle name="Header2 2 2 4 3 6 4 4" xfId="35588"/>
    <cellStyle name="Header2 2 2 4 3 6 5" xfId="20374"/>
    <cellStyle name="Header2 2 2 4 3 6 5 2" xfId="32191"/>
    <cellStyle name="Header2 2 2 4 3 6 5 2 2" xfId="42190"/>
    <cellStyle name="Header2 2 2 4 3 6 5 3" xfId="37039"/>
    <cellStyle name="Header2 2 2 4 3 6 6" xfId="27961"/>
    <cellStyle name="Header2 2 2 4 3 6 6 2" xfId="37960"/>
    <cellStyle name="Header2 2 2 4 3 6 7" xfId="21745"/>
    <cellStyle name="Header2 2 2 4 3 7" xfId="16414"/>
    <cellStyle name="Header2 2 2 4 3 7 2" xfId="28231"/>
    <cellStyle name="Header2 2 2 4 3 7 2 2" xfId="38230"/>
    <cellStyle name="Header2 2 2 4 3 7 3" xfId="23989"/>
    <cellStyle name="Header2 2 2 4 3 7 4" xfId="33079"/>
    <cellStyle name="Header2 2 2 4 3 8" xfId="16706"/>
    <cellStyle name="Header2 2 2 4 3 8 2" xfId="28523"/>
    <cellStyle name="Header2 2 2 4 3 8 2 2" xfId="38522"/>
    <cellStyle name="Header2 2 2 4 3 8 3" xfId="24281"/>
    <cellStyle name="Header2 2 2 4 3 8 4" xfId="33371"/>
    <cellStyle name="Header2 2 2 4 3 9" xfId="17017"/>
    <cellStyle name="Header2 2 2 4 3 9 2" xfId="28834"/>
    <cellStyle name="Header2 2 2 4 3 9 2 2" xfId="38833"/>
    <cellStyle name="Header2 2 2 4 3 9 3" xfId="24592"/>
    <cellStyle name="Header2 2 2 4 3 9 4" xfId="33682"/>
    <cellStyle name="Header2 2 2 4 4" xfId="7760"/>
    <cellStyle name="Header2 2 2 4 4 10" xfId="18831"/>
    <cellStyle name="Header2 2 2 4 4 10 2" xfId="30648"/>
    <cellStyle name="Header2 2 2 4 4 10 2 2" xfId="40647"/>
    <cellStyle name="Header2 2 2 4 4 10 3" xfId="26306"/>
    <cellStyle name="Header2 2 2 4 4 10 4" xfId="35496"/>
    <cellStyle name="Header2 2 2 4 4 11" xfId="20340"/>
    <cellStyle name="Header2 2 2 4 4 11 2" xfId="32157"/>
    <cellStyle name="Header2 2 2 4 4 11 2 2" xfId="42156"/>
    <cellStyle name="Header2 2 2 4 4 11 3" xfId="37005"/>
    <cellStyle name="Header2 2 2 4 4 12" xfId="23342"/>
    <cellStyle name="Header2 2 2 4 4 12 2" xfId="21137"/>
    <cellStyle name="Header2 2 2 4 4 13" xfId="22736"/>
    <cellStyle name="Header2 2 2 4 4 2" xfId="15567"/>
    <cellStyle name="Header2 2 2 4 4 2 2" xfId="19226"/>
    <cellStyle name="Header2 2 2 4 4 2 2 2" xfId="31043"/>
    <cellStyle name="Header2 2 2 4 4 2 2 2 2" xfId="41042"/>
    <cellStyle name="Header2 2 2 4 4 2 2 3" xfId="26701"/>
    <cellStyle name="Header2 2 2 4 4 2 2 4" xfId="35891"/>
    <cellStyle name="Header2 2 2 4 4 2 3" xfId="19832"/>
    <cellStyle name="Header2 2 2 4 4 2 3 2" xfId="31649"/>
    <cellStyle name="Header2 2 2 4 4 2 3 2 2" xfId="41648"/>
    <cellStyle name="Header2 2 2 4 4 2 3 3" xfId="27307"/>
    <cellStyle name="Header2 2 2 4 4 2 3 4" xfId="36497"/>
    <cellStyle name="Header2 2 2 4 4 2 4" xfId="17949"/>
    <cellStyle name="Header2 2 2 4 4 2 4 2" xfId="29766"/>
    <cellStyle name="Header2 2 2 4 4 2 4 2 2" xfId="39765"/>
    <cellStyle name="Header2 2 2 4 4 2 4 3" xfId="25524"/>
    <cellStyle name="Header2 2 2 4 4 2 4 4" xfId="34614"/>
    <cellStyle name="Header2 2 2 4 4 2 5" xfId="20641"/>
    <cellStyle name="Header2 2 2 4 4 2 5 2" xfId="32458"/>
    <cellStyle name="Header2 2 2 4 4 2 5 2 2" xfId="42457"/>
    <cellStyle name="Header2 2 2 4 4 2 5 3" xfId="37306"/>
    <cellStyle name="Header2 2 2 4 4 2 6" xfId="23445"/>
    <cellStyle name="Header2 2 2 4 4 2 6 2" xfId="21064"/>
    <cellStyle name="Header2 2 2 4 4 2 7" xfId="22882"/>
    <cellStyle name="Header2 2 2 4 4 2 7 2" xfId="21362"/>
    <cellStyle name="Header2 2 2 4 4 2 8" xfId="21603"/>
    <cellStyle name="Header2 2 2 4 4 3" xfId="16148"/>
    <cellStyle name="Header2 2 2 4 4 3 2" xfId="19507"/>
    <cellStyle name="Header2 2 2 4 4 3 2 2" xfId="31324"/>
    <cellStyle name="Header2 2 2 4 4 3 2 2 2" xfId="41323"/>
    <cellStyle name="Header2 2 2 4 4 3 2 3" xfId="26982"/>
    <cellStyle name="Header2 2 2 4 4 3 2 4" xfId="36172"/>
    <cellStyle name="Header2 2 2 4 4 3 3" xfId="20113"/>
    <cellStyle name="Header2 2 2 4 4 3 3 2" xfId="31930"/>
    <cellStyle name="Header2 2 2 4 4 3 3 2 2" xfId="41929"/>
    <cellStyle name="Header2 2 2 4 4 3 3 3" xfId="27588"/>
    <cellStyle name="Header2 2 2 4 4 3 3 4" xfId="36778"/>
    <cellStyle name="Header2 2 2 4 4 3 4" xfId="17643"/>
    <cellStyle name="Header2 2 2 4 4 3 4 2" xfId="29460"/>
    <cellStyle name="Header2 2 2 4 4 3 4 2 2" xfId="39459"/>
    <cellStyle name="Header2 2 2 4 4 3 4 3" xfId="25218"/>
    <cellStyle name="Header2 2 2 4 4 3 4 4" xfId="34308"/>
    <cellStyle name="Header2 2 2 4 4 3 5" xfId="20922"/>
    <cellStyle name="Header2 2 2 4 4 3 5 2" xfId="32739"/>
    <cellStyle name="Header2 2 2 4 4 3 5 2 2" xfId="42738"/>
    <cellStyle name="Header2 2 2 4 4 3 5 3" xfId="37587"/>
    <cellStyle name="Header2 2 2 4 4 3 6" xfId="27965"/>
    <cellStyle name="Header2 2 2 4 4 3 6 2" xfId="37964"/>
    <cellStyle name="Header2 2 2 4 4 3 7" xfId="21460"/>
    <cellStyle name="Header2 2 2 4 4 4" xfId="15844"/>
    <cellStyle name="Header2 2 2 4 4 4 2" xfId="27661"/>
    <cellStyle name="Header2 2 2 4 4 4 2 2" xfId="37660"/>
    <cellStyle name="Header2 2 2 4 4 4 3" xfId="23722"/>
    <cellStyle name="Header2 2 2 4 4 4 4" xfId="32812"/>
    <cellStyle name="Header2 2 2 4 4 5" xfId="16702"/>
    <cellStyle name="Header2 2 2 4 4 5 2" xfId="28519"/>
    <cellStyle name="Header2 2 2 4 4 5 2 2" xfId="38518"/>
    <cellStyle name="Header2 2 2 4 4 5 3" xfId="24277"/>
    <cellStyle name="Header2 2 2 4 4 5 4" xfId="33367"/>
    <cellStyle name="Header2 2 2 4 4 6" xfId="16983"/>
    <cellStyle name="Header2 2 2 4 4 6 2" xfId="28800"/>
    <cellStyle name="Header2 2 2 4 4 6 2 2" xfId="38799"/>
    <cellStyle name="Header2 2 2 4 4 6 3" xfId="24558"/>
    <cellStyle name="Header2 2 2 4 4 6 4" xfId="33648"/>
    <cellStyle name="Header2 2 2 4 4 7" xfId="17082"/>
    <cellStyle name="Header2 2 2 4 4 7 2" xfId="28899"/>
    <cellStyle name="Header2 2 2 4 4 7 2 2" xfId="38898"/>
    <cellStyle name="Header2 2 2 4 4 7 3" xfId="24657"/>
    <cellStyle name="Header2 2 2 4 4 7 4" xfId="33747"/>
    <cellStyle name="Header2 2 2 4 4 8" xfId="17385"/>
    <cellStyle name="Header2 2 2 4 4 8 2" xfId="29202"/>
    <cellStyle name="Header2 2 2 4 4 8 2 2" xfId="39201"/>
    <cellStyle name="Header2 2 2 4 4 8 3" xfId="24960"/>
    <cellStyle name="Header2 2 2 4 4 8 4" xfId="34050"/>
    <cellStyle name="Header2 2 2 4 4 9" xfId="18550"/>
    <cellStyle name="Header2 2 2 4 4 9 2" xfId="30367"/>
    <cellStyle name="Header2 2 2 4 4 9 2 2" xfId="40366"/>
    <cellStyle name="Header2 2 2 4 4 9 3" xfId="26025"/>
    <cellStyle name="Header2 2 2 4 4 9 4" xfId="35215"/>
    <cellStyle name="Header2 2 2 4 5" xfId="7761"/>
    <cellStyle name="Header2 2 2 4 5 10" xfId="18930"/>
    <cellStyle name="Header2 2 2 4 5 10 2" xfId="30747"/>
    <cellStyle name="Header2 2 2 4 5 10 2 2" xfId="40746"/>
    <cellStyle name="Header2 2 2 4 5 10 3" xfId="26405"/>
    <cellStyle name="Header2 2 2 4 5 10 4" xfId="35595"/>
    <cellStyle name="Header2 2 2 4 5 11" xfId="18218"/>
    <cellStyle name="Header2 2 2 4 5 11 2" xfId="30035"/>
    <cellStyle name="Header2 2 2 4 5 11 2 2" xfId="40034"/>
    <cellStyle name="Header2 2 2 4 5 11 3" xfId="34883"/>
    <cellStyle name="Header2 2 2 4 5 12" xfId="23341"/>
    <cellStyle name="Header2 2 2 4 5 12 2" xfId="21943"/>
    <cellStyle name="Header2 2 2 4 5 13" xfId="22735"/>
    <cellStyle name="Header2 2 2 4 5 2" xfId="15568"/>
    <cellStyle name="Header2 2 2 4 5 2 2" xfId="19225"/>
    <cellStyle name="Header2 2 2 4 5 2 2 2" xfId="31042"/>
    <cellStyle name="Header2 2 2 4 5 2 2 2 2" xfId="41041"/>
    <cellStyle name="Header2 2 2 4 5 2 2 3" xfId="26700"/>
    <cellStyle name="Header2 2 2 4 5 2 2 4" xfId="35890"/>
    <cellStyle name="Header2 2 2 4 5 2 3" xfId="19831"/>
    <cellStyle name="Header2 2 2 4 5 2 3 2" xfId="31648"/>
    <cellStyle name="Header2 2 2 4 5 2 3 2 2" xfId="41647"/>
    <cellStyle name="Header2 2 2 4 5 2 3 3" xfId="27306"/>
    <cellStyle name="Header2 2 2 4 5 2 3 4" xfId="36496"/>
    <cellStyle name="Header2 2 2 4 5 2 4" xfId="17950"/>
    <cellStyle name="Header2 2 2 4 5 2 4 2" xfId="29767"/>
    <cellStyle name="Header2 2 2 4 5 2 4 2 2" xfId="39766"/>
    <cellStyle name="Header2 2 2 4 5 2 4 3" xfId="25525"/>
    <cellStyle name="Header2 2 2 4 5 2 4 4" xfId="34615"/>
    <cellStyle name="Header2 2 2 4 5 2 5" xfId="20640"/>
    <cellStyle name="Header2 2 2 4 5 2 5 2" xfId="32457"/>
    <cellStyle name="Header2 2 2 4 5 2 5 2 2" xfId="42456"/>
    <cellStyle name="Header2 2 2 4 5 2 5 3" xfId="37305"/>
    <cellStyle name="Header2 2 2 4 5 2 6" xfId="23446"/>
    <cellStyle name="Header2 2 2 4 5 2 6 2" xfId="21912"/>
    <cellStyle name="Header2 2 2 4 5 2 7" xfId="23076"/>
    <cellStyle name="Header2 2 2 4 5 2 7 2" xfId="22056"/>
    <cellStyle name="Header2 2 2 4 5 2 8" xfId="22358"/>
    <cellStyle name="Header2 2 2 4 5 3" xfId="16149"/>
    <cellStyle name="Header2 2 2 4 5 3 2" xfId="19537"/>
    <cellStyle name="Header2 2 2 4 5 3 2 2" xfId="31354"/>
    <cellStyle name="Header2 2 2 4 5 3 2 2 2" xfId="41353"/>
    <cellStyle name="Header2 2 2 4 5 3 2 3" xfId="27012"/>
    <cellStyle name="Header2 2 2 4 5 3 2 4" xfId="36202"/>
    <cellStyle name="Header2 2 2 4 5 3 3" xfId="20143"/>
    <cellStyle name="Header2 2 2 4 5 3 3 2" xfId="31960"/>
    <cellStyle name="Header2 2 2 4 5 3 3 2 2" xfId="41959"/>
    <cellStyle name="Header2 2 2 4 5 3 3 3" xfId="27618"/>
    <cellStyle name="Header2 2 2 4 5 3 3 4" xfId="36808"/>
    <cellStyle name="Header2 2 2 4 5 3 4" xfId="17747"/>
    <cellStyle name="Header2 2 2 4 5 3 4 2" xfId="29564"/>
    <cellStyle name="Header2 2 2 4 5 3 4 2 2" xfId="39563"/>
    <cellStyle name="Header2 2 2 4 5 3 4 3" xfId="25322"/>
    <cellStyle name="Header2 2 2 4 5 3 4 4" xfId="34412"/>
    <cellStyle name="Header2 2 2 4 5 3 5" xfId="20952"/>
    <cellStyle name="Header2 2 2 4 5 3 5 2" xfId="32769"/>
    <cellStyle name="Header2 2 2 4 5 3 5 2 2" xfId="42768"/>
    <cellStyle name="Header2 2 2 4 5 3 5 3" xfId="37617"/>
    <cellStyle name="Header2 2 2 4 5 3 6" xfId="27966"/>
    <cellStyle name="Header2 2 2 4 5 3 6 2" xfId="37965"/>
    <cellStyle name="Header2 2 2 4 5 3 7" xfId="22212"/>
    <cellStyle name="Header2 2 2 4 5 4" xfId="15829"/>
    <cellStyle name="Header2 2 2 4 5 4 2" xfId="27646"/>
    <cellStyle name="Header2 2 2 4 5 4 2 2" xfId="37645"/>
    <cellStyle name="Header2 2 2 4 5 4 3" xfId="23707"/>
    <cellStyle name="Header2 2 2 4 5 4 4" xfId="32797"/>
    <cellStyle name="Header2 2 2 4 5 5" xfId="16701"/>
    <cellStyle name="Header2 2 2 4 5 5 2" xfId="28518"/>
    <cellStyle name="Header2 2 2 4 5 5 2 2" xfId="38517"/>
    <cellStyle name="Header2 2 2 4 5 5 3" xfId="24276"/>
    <cellStyle name="Header2 2 2 4 5 5 4" xfId="33366"/>
    <cellStyle name="Header2 2 2 4 5 6" xfId="16431"/>
    <cellStyle name="Header2 2 2 4 5 6 2" xfId="28248"/>
    <cellStyle name="Header2 2 2 4 5 6 2 2" xfId="38247"/>
    <cellStyle name="Header2 2 2 4 5 6 3" xfId="24006"/>
    <cellStyle name="Header2 2 2 4 5 6 4" xfId="33096"/>
    <cellStyle name="Header2 2 2 4 5 7" xfId="17083"/>
    <cellStyle name="Header2 2 2 4 5 7 2" xfId="28900"/>
    <cellStyle name="Header2 2 2 4 5 7 2 2" xfId="38899"/>
    <cellStyle name="Header2 2 2 4 5 7 3" xfId="24658"/>
    <cellStyle name="Header2 2 2 4 5 7 4" xfId="33748"/>
    <cellStyle name="Header2 2 2 4 5 8" xfId="17386"/>
    <cellStyle name="Header2 2 2 4 5 8 2" xfId="29203"/>
    <cellStyle name="Header2 2 2 4 5 8 2 2" xfId="39202"/>
    <cellStyle name="Header2 2 2 4 5 8 3" xfId="24961"/>
    <cellStyle name="Header2 2 2 4 5 8 4" xfId="34051"/>
    <cellStyle name="Header2 2 2 4 5 9" xfId="18549"/>
    <cellStyle name="Header2 2 2 4 5 9 2" xfId="30366"/>
    <cellStyle name="Header2 2 2 4 5 9 2 2" xfId="40365"/>
    <cellStyle name="Header2 2 2 4 5 9 3" xfId="26024"/>
    <cellStyle name="Header2 2 2 4 5 9 4" xfId="35214"/>
    <cellStyle name="Header2 2 2 4 6" xfId="7762"/>
    <cellStyle name="Header2 2 2 4 6 10" xfId="18830"/>
    <cellStyle name="Header2 2 2 4 6 10 2" xfId="30647"/>
    <cellStyle name="Header2 2 2 4 6 10 2 2" xfId="40646"/>
    <cellStyle name="Header2 2 2 4 6 10 3" xfId="26305"/>
    <cellStyle name="Header2 2 2 4 6 10 4" xfId="35495"/>
    <cellStyle name="Header2 2 2 4 6 11" xfId="20241"/>
    <cellStyle name="Header2 2 2 4 6 11 2" xfId="32058"/>
    <cellStyle name="Header2 2 2 4 6 11 2 2" xfId="42057"/>
    <cellStyle name="Header2 2 2 4 6 11 3" xfId="36906"/>
    <cellStyle name="Header2 2 2 4 6 12" xfId="23340"/>
    <cellStyle name="Header2 2 2 4 6 12 2" xfId="21138"/>
    <cellStyle name="Header2 2 2 4 6 13" xfId="22734"/>
    <cellStyle name="Header2 2 2 4 6 2" xfId="15569"/>
    <cellStyle name="Header2 2 2 4 6 2 2" xfId="19224"/>
    <cellStyle name="Header2 2 2 4 6 2 2 2" xfId="31041"/>
    <cellStyle name="Header2 2 2 4 6 2 2 2 2" xfId="41040"/>
    <cellStyle name="Header2 2 2 4 6 2 2 3" xfId="26699"/>
    <cellStyle name="Header2 2 2 4 6 2 2 4" xfId="35889"/>
    <cellStyle name="Header2 2 2 4 6 2 3" xfId="19830"/>
    <cellStyle name="Header2 2 2 4 6 2 3 2" xfId="31647"/>
    <cellStyle name="Header2 2 2 4 6 2 3 2 2" xfId="41646"/>
    <cellStyle name="Header2 2 2 4 6 2 3 3" xfId="27305"/>
    <cellStyle name="Header2 2 2 4 6 2 3 4" xfId="36495"/>
    <cellStyle name="Header2 2 2 4 6 2 4" xfId="17811"/>
    <cellStyle name="Header2 2 2 4 6 2 4 2" xfId="29628"/>
    <cellStyle name="Header2 2 2 4 6 2 4 2 2" xfId="39627"/>
    <cellStyle name="Header2 2 2 4 6 2 4 3" xfId="25386"/>
    <cellStyle name="Header2 2 2 4 6 2 4 4" xfId="34476"/>
    <cellStyle name="Header2 2 2 4 6 2 5" xfId="20639"/>
    <cellStyle name="Header2 2 2 4 6 2 5 2" xfId="32456"/>
    <cellStyle name="Header2 2 2 4 6 2 5 2 2" xfId="42455"/>
    <cellStyle name="Header2 2 2 4 6 2 5 3" xfId="37304"/>
    <cellStyle name="Header2 2 2 4 6 2 6" xfId="23447"/>
    <cellStyle name="Header2 2 2 4 6 2 6 2" xfId="21063"/>
    <cellStyle name="Header2 2 2 4 6 2 7" xfId="22881"/>
    <cellStyle name="Header2 2 2 4 6 2 7 2" xfId="22177"/>
    <cellStyle name="Header2 2 2 4 6 2 8" xfId="21604"/>
    <cellStyle name="Header2 2 2 4 6 3" xfId="16150"/>
    <cellStyle name="Header2 2 2 4 6 3 2" xfId="19506"/>
    <cellStyle name="Header2 2 2 4 6 3 2 2" xfId="31323"/>
    <cellStyle name="Header2 2 2 4 6 3 2 2 2" xfId="41322"/>
    <cellStyle name="Header2 2 2 4 6 3 2 3" xfId="26981"/>
    <cellStyle name="Header2 2 2 4 6 3 2 4" xfId="36171"/>
    <cellStyle name="Header2 2 2 4 6 3 3" xfId="20112"/>
    <cellStyle name="Header2 2 2 4 6 3 3 2" xfId="31929"/>
    <cellStyle name="Header2 2 2 4 6 3 3 2 2" xfId="41928"/>
    <cellStyle name="Header2 2 2 4 6 3 3 3" xfId="27587"/>
    <cellStyle name="Header2 2 2 4 6 3 3 4" xfId="36777"/>
    <cellStyle name="Header2 2 2 4 6 3 4" xfId="18047"/>
    <cellStyle name="Header2 2 2 4 6 3 4 2" xfId="29864"/>
    <cellStyle name="Header2 2 2 4 6 3 4 2 2" xfId="39863"/>
    <cellStyle name="Header2 2 2 4 6 3 4 3" xfId="25622"/>
    <cellStyle name="Header2 2 2 4 6 3 4 4" xfId="34712"/>
    <cellStyle name="Header2 2 2 4 6 3 5" xfId="20921"/>
    <cellStyle name="Header2 2 2 4 6 3 5 2" xfId="32738"/>
    <cellStyle name="Header2 2 2 4 6 3 5 2 2" xfId="42737"/>
    <cellStyle name="Header2 2 2 4 6 3 5 3" xfId="37586"/>
    <cellStyle name="Header2 2 2 4 6 3 6" xfId="27967"/>
    <cellStyle name="Header2 2 2 4 6 3 6 2" xfId="37966"/>
    <cellStyle name="Header2 2 2 4 6 3 7" xfId="22221"/>
    <cellStyle name="Header2 2 2 4 6 4" xfId="15880"/>
    <cellStyle name="Header2 2 2 4 6 4 2" xfId="27697"/>
    <cellStyle name="Header2 2 2 4 6 4 2 2" xfId="37696"/>
    <cellStyle name="Header2 2 2 4 6 4 3" xfId="23758"/>
    <cellStyle name="Header2 2 2 4 6 4 4" xfId="32848"/>
    <cellStyle name="Header2 2 2 4 6 5" xfId="16700"/>
    <cellStyle name="Header2 2 2 4 6 5 2" xfId="28517"/>
    <cellStyle name="Header2 2 2 4 6 5 2 2" xfId="38516"/>
    <cellStyle name="Header2 2 2 4 6 5 3" xfId="24275"/>
    <cellStyle name="Header2 2 2 4 6 5 4" xfId="33365"/>
    <cellStyle name="Header2 2 2 4 6 6" xfId="16982"/>
    <cellStyle name="Header2 2 2 4 6 6 2" xfId="28799"/>
    <cellStyle name="Header2 2 2 4 6 6 2 2" xfId="38798"/>
    <cellStyle name="Header2 2 2 4 6 6 3" xfId="24557"/>
    <cellStyle name="Header2 2 2 4 6 6 4" xfId="33647"/>
    <cellStyle name="Header2 2 2 4 6 7" xfId="17084"/>
    <cellStyle name="Header2 2 2 4 6 7 2" xfId="28901"/>
    <cellStyle name="Header2 2 2 4 6 7 2 2" xfId="38900"/>
    <cellStyle name="Header2 2 2 4 6 7 3" xfId="24659"/>
    <cellStyle name="Header2 2 2 4 6 7 4" xfId="33749"/>
    <cellStyle name="Header2 2 2 4 6 8" xfId="17387"/>
    <cellStyle name="Header2 2 2 4 6 8 2" xfId="29204"/>
    <cellStyle name="Header2 2 2 4 6 8 2 2" xfId="39203"/>
    <cellStyle name="Header2 2 2 4 6 8 3" xfId="24962"/>
    <cellStyle name="Header2 2 2 4 6 8 4" xfId="34052"/>
    <cellStyle name="Header2 2 2 4 6 9" xfId="18548"/>
    <cellStyle name="Header2 2 2 4 6 9 2" xfId="30365"/>
    <cellStyle name="Header2 2 2 4 6 9 2 2" xfId="40364"/>
    <cellStyle name="Header2 2 2 4 6 9 3" xfId="26023"/>
    <cellStyle name="Header2 2 2 4 6 9 4" xfId="35213"/>
    <cellStyle name="Header2 2 2 4 7" xfId="15558"/>
    <cellStyle name="Header2 2 2 4 7 2" xfId="19235"/>
    <cellStyle name="Header2 2 2 4 7 2 2" xfId="31052"/>
    <cellStyle name="Header2 2 2 4 7 2 2 2" xfId="41051"/>
    <cellStyle name="Header2 2 2 4 7 2 3" xfId="26710"/>
    <cellStyle name="Header2 2 2 4 7 2 4" xfId="35900"/>
    <cellStyle name="Header2 2 2 4 7 3" xfId="19841"/>
    <cellStyle name="Header2 2 2 4 7 3 2" xfId="31658"/>
    <cellStyle name="Header2 2 2 4 7 3 2 2" xfId="41657"/>
    <cellStyle name="Header2 2 2 4 7 3 3" xfId="27316"/>
    <cellStyle name="Header2 2 2 4 7 3 4" xfId="36506"/>
    <cellStyle name="Header2 2 2 4 7 4" xfId="17681"/>
    <cellStyle name="Header2 2 2 4 7 4 2" xfId="29498"/>
    <cellStyle name="Header2 2 2 4 7 4 2 2" xfId="39497"/>
    <cellStyle name="Header2 2 2 4 7 4 3" xfId="25256"/>
    <cellStyle name="Header2 2 2 4 7 4 4" xfId="34346"/>
    <cellStyle name="Header2 2 2 4 7 5" xfId="20650"/>
    <cellStyle name="Header2 2 2 4 7 5 2" xfId="32467"/>
    <cellStyle name="Header2 2 2 4 7 5 2 2" xfId="42466"/>
    <cellStyle name="Header2 2 2 4 7 5 3" xfId="37315"/>
    <cellStyle name="Header2 2 2 4 7 6" xfId="23436"/>
    <cellStyle name="Header2 2 2 4 7 6 2" xfId="21071"/>
    <cellStyle name="Header2 2 2 4 7 7" xfId="22889"/>
    <cellStyle name="Header2 2 2 4 7 7 2" xfId="22175"/>
    <cellStyle name="Header2 2 2 4 7 8" xfId="22351"/>
    <cellStyle name="Header2 2 2 4 8" xfId="16139"/>
    <cellStyle name="Header2 2 2 4 8 2" xfId="18962"/>
    <cellStyle name="Header2 2 2 4 8 2 2" xfId="30779"/>
    <cellStyle name="Header2 2 2 4 8 2 2 2" xfId="40778"/>
    <cellStyle name="Header2 2 2 4 8 2 3" xfId="26437"/>
    <cellStyle name="Header2 2 2 4 8 2 4" xfId="35627"/>
    <cellStyle name="Header2 2 2 4 8 3" xfId="19568"/>
    <cellStyle name="Header2 2 2 4 8 3 2" xfId="31385"/>
    <cellStyle name="Header2 2 2 4 8 3 2 2" xfId="41384"/>
    <cellStyle name="Header2 2 2 4 8 3 3" xfId="27043"/>
    <cellStyle name="Header2 2 2 4 8 3 4" xfId="36233"/>
    <cellStyle name="Header2 2 2 4 8 4" xfId="17737"/>
    <cellStyle name="Header2 2 2 4 8 4 2" xfId="29554"/>
    <cellStyle name="Header2 2 2 4 8 4 2 2" xfId="39553"/>
    <cellStyle name="Header2 2 2 4 8 4 3" xfId="25312"/>
    <cellStyle name="Header2 2 2 4 8 4 4" xfId="34402"/>
    <cellStyle name="Header2 2 2 4 8 5" xfId="20377"/>
    <cellStyle name="Header2 2 2 4 8 5 2" xfId="32194"/>
    <cellStyle name="Header2 2 2 4 8 5 2 2" xfId="42193"/>
    <cellStyle name="Header2 2 2 4 8 5 3" xfId="37042"/>
    <cellStyle name="Header2 2 2 4 8 6" xfId="27956"/>
    <cellStyle name="Header2 2 2 4 8 6 2" xfId="37955"/>
    <cellStyle name="Header2 2 2 4 8 7" xfId="21742"/>
    <cellStyle name="Header2 2 2 4 9" xfId="16412"/>
    <cellStyle name="Header2 2 2 4 9 2" xfId="28229"/>
    <cellStyle name="Header2 2 2 4 9 2 2" xfId="38228"/>
    <cellStyle name="Header2 2 2 4 9 3" xfId="23987"/>
    <cellStyle name="Header2 2 2 4 9 4" xfId="33077"/>
    <cellStyle name="Header2 2 2 5" xfId="7763"/>
    <cellStyle name="Header2 2 2 5 10" xfId="16699"/>
    <cellStyle name="Header2 2 2 5 10 2" xfId="28516"/>
    <cellStyle name="Header2 2 2 5 10 2 2" xfId="38515"/>
    <cellStyle name="Header2 2 2 5 10 3" xfId="24274"/>
    <cellStyle name="Header2 2 2 5 10 4" xfId="33364"/>
    <cellStyle name="Header2 2 2 5 11" xfId="16981"/>
    <cellStyle name="Header2 2 2 5 11 2" xfId="28798"/>
    <cellStyle name="Header2 2 2 5 11 2 2" xfId="38797"/>
    <cellStyle name="Header2 2 2 5 11 3" xfId="24556"/>
    <cellStyle name="Header2 2 2 5 11 4" xfId="33646"/>
    <cellStyle name="Header2 2 2 5 12" xfId="17085"/>
    <cellStyle name="Header2 2 2 5 12 2" xfId="28902"/>
    <cellStyle name="Header2 2 2 5 12 2 2" xfId="38901"/>
    <cellStyle name="Header2 2 2 5 12 3" xfId="24660"/>
    <cellStyle name="Header2 2 2 5 12 4" xfId="33750"/>
    <cellStyle name="Header2 2 2 5 13" xfId="17388"/>
    <cellStyle name="Header2 2 2 5 13 2" xfId="29205"/>
    <cellStyle name="Header2 2 2 5 13 2 2" xfId="39204"/>
    <cellStyle name="Header2 2 2 5 13 3" xfId="24963"/>
    <cellStyle name="Header2 2 2 5 13 4" xfId="34053"/>
    <cellStyle name="Header2 2 2 5 14" xfId="18547"/>
    <cellStyle name="Header2 2 2 5 14 2" xfId="30364"/>
    <cellStyle name="Header2 2 2 5 14 2 2" xfId="40363"/>
    <cellStyle name="Header2 2 2 5 14 3" xfId="26022"/>
    <cellStyle name="Header2 2 2 5 14 4" xfId="35212"/>
    <cellStyle name="Header2 2 2 5 15" xfId="18829"/>
    <cellStyle name="Header2 2 2 5 15 2" xfId="30646"/>
    <cellStyle name="Header2 2 2 5 15 2 2" xfId="40645"/>
    <cellStyle name="Header2 2 2 5 15 3" xfId="26304"/>
    <cellStyle name="Header2 2 2 5 15 4" xfId="35494"/>
    <cellStyle name="Header2 2 2 5 16" xfId="20339"/>
    <cellStyle name="Header2 2 2 5 16 2" xfId="32156"/>
    <cellStyle name="Header2 2 2 5 16 2 2" xfId="42155"/>
    <cellStyle name="Header2 2 2 5 16 3" xfId="37004"/>
    <cellStyle name="Header2 2 2 5 17" xfId="23339"/>
    <cellStyle name="Header2 2 2 5 17 2" xfId="21139"/>
    <cellStyle name="Header2 2 2 5 18" xfId="22733"/>
    <cellStyle name="Header2 2 2 5 2" xfId="7764"/>
    <cellStyle name="Header2 2 2 5 2 10" xfId="17086"/>
    <cellStyle name="Header2 2 2 5 2 10 2" xfId="28903"/>
    <cellStyle name="Header2 2 2 5 2 10 2 2" xfId="38902"/>
    <cellStyle name="Header2 2 2 5 2 10 3" xfId="24661"/>
    <cellStyle name="Header2 2 2 5 2 10 4" xfId="33751"/>
    <cellStyle name="Header2 2 2 5 2 11" xfId="17389"/>
    <cellStyle name="Header2 2 2 5 2 11 2" xfId="29206"/>
    <cellStyle name="Header2 2 2 5 2 11 2 2" xfId="39205"/>
    <cellStyle name="Header2 2 2 5 2 11 3" xfId="24964"/>
    <cellStyle name="Header2 2 2 5 2 11 4" xfId="34054"/>
    <cellStyle name="Header2 2 2 5 2 12" xfId="18546"/>
    <cellStyle name="Header2 2 2 5 2 12 2" xfId="30363"/>
    <cellStyle name="Header2 2 2 5 2 12 2 2" xfId="40362"/>
    <cellStyle name="Header2 2 2 5 2 12 3" xfId="26021"/>
    <cellStyle name="Header2 2 2 5 2 12 4" xfId="35211"/>
    <cellStyle name="Header2 2 2 5 2 13" xfId="18828"/>
    <cellStyle name="Header2 2 2 5 2 13 2" xfId="30645"/>
    <cellStyle name="Header2 2 2 5 2 13 2 2" xfId="40644"/>
    <cellStyle name="Header2 2 2 5 2 13 3" xfId="26303"/>
    <cellStyle name="Header2 2 2 5 2 13 4" xfId="35493"/>
    <cellStyle name="Header2 2 2 5 2 14" xfId="20244"/>
    <cellStyle name="Header2 2 2 5 2 14 2" xfId="32061"/>
    <cellStyle name="Header2 2 2 5 2 14 2 2" xfId="42060"/>
    <cellStyle name="Header2 2 2 5 2 14 3" xfId="36909"/>
    <cellStyle name="Header2 2 2 5 2 15" xfId="23338"/>
    <cellStyle name="Header2 2 2 5 2 15 2" xfId="21140"/>
    <cellStyle name="Header2 2 2 5 2 16" xfId="22732"/>
    <cellStyle name="Header2 2 2 5 2 2" xfId="7765"/>
    <cellStyle name="Header2 2 2 5 2 2 10" xfId="17858"/>
    <cellStyle name="Header2 2 2 5 2 2 10 2" xfId="29675"/>
    <cellStyle name="Header2 2 2 5 2 2 10 2 2" xfId="39674"/>
    <cellStyle name="Header2 2 2 5 2 2 10 3" xfId="25433"/>
    <cellStyle name="Header2 2 2 5 2 2 10 4" xfId="34523"/>
    <cellStyle name="Header2 2 2 5 2 2 11" xfId="20361"/>
    <cellStyle name="Header2 2 2 5 2 2 11 2" xfId="32178"/>
    <cellStyle name="Header2 2 2 5 2 2 11 2 2" xfId="42177"/>
    <cellStyle name="Header2 2 2 5 2 2 11 3" xfId="37026"/>
    <cellStyle name="Header2 2 2 5 2 2 12" xfId="23337"/>
    <cellStyle name="Header2 2 2 5 2 2 12 2" xfId="21944"/>
    <cellStyle name="Header2 2 2 5 2 2 13" xfId="22731"/>
    <cellStyle name="Header2 2 2 5 2 2 2" xfId="15572"/>
    <cellStyle name="Header2 2 2 5 2 2 2 2" xfId="19221"/>
    <cellStyle name="Header2 2 2 5 2 2 2 2 2" xfId="31038"/>
    <cellStyle name="Header2 2 2 5 2 2 2 2 2 2" xfId="41037"/>
    <cellStyle name="Header2 2 2 5 2 2 2 2 3" xfId="26696"/>
    <cellStyle name="Header2 2 2 5 2 2 2 2 4" xfId="35886"/>
    <cellStyle name="Header2 2 2 5 2 2 2 3" xfId="19827"/>
    <cellStyle name="Header2 2 2 5 2 2 2 3 2" xfId="31644"/>
    <cellStyle name="Header2 2 2 5 2 2 2 3 2 2" xfId="41643"/>
    <cellStyle name="Header2 2 2 5 2 2 2 3 3" xfId="27302"/>
    <cellStyle name="Header2 2 2 5 2 2 2 3 4" xfId="36492"/>
    <cellStyle name="Header2 2 2 5 2 2 2 4" xfId="18134"/>
    <cellStyle name="Header2 2 2 5 2 2 2 4 2" xfId="29951"/>
    <cellStyle name="Header2 2 2 5 2 2 2 4 2 2" xfId="39950"/>
    <cellStyle name="Header2 2 2 5 2 2 2 4 3" xfId="25709"/>
    <cellStyle name="Header2 2 2 5 2 2 2 4 4" xfId="34799"/>
    <cellStyle name="Header2 2 2 5 2 2 2 5" xfId="20636"/>
    <cellStyle name="Header2 2 2 5 2 2 2 5 2" xfId="32453"/>
    <cellStyle name="Header2 2 2 5 2 2 2 5 2 2" xfId="42452"/>
    <cellStyle name="Header2 2 2 5 2 2 2 5 3" xfId="37301"/>
    <cellStyle name="Header2 2 2 5 2 2 2 6" xfId="23450"/>
    <cellStyle name="Header2 2 2 5 2 2 2 6 2" xfId="21911"/>
    <cellStyle name="Header2 2 2 5 2 2 2 7" xfId="23075"/>
    <cellStyle name="Header2 2 2 5 2 2 2 7 2" xfId="21289"/>
    <cellStyle name="Header2 2 2 5 2 2 2 8" xfId="21606"/>
    <cellStyle name="Header2 2 2 5 2 2 3" xfId="16153"/>
    <cellStyle name="Header2 2 2 5 2 2 3 2" xfId="18957"/>
    <cellStyle name="Header2 2 2 5 2 2 3 2 2" xfId="30774"/>
    <cellStyle name="Header2 2 2 5 2 2 3 2 2 2" xfId="40773"/>
    <cellStyle name="Header2 2 2 5 2 2 3 2 3" xfId="26432"/>
    <cellStyle name="Header2 2 2 5 2 2 3 2 4" xfId="35622"/>
    <cellStyle name="Header2 2 2 5 2 2 3 3" xfId="19563"/>
    <cellStyle name="Header2 2 2 5 2 2 3 3 2" xfId="31380"/>
    <cellStyle name="Header2 2 2 5 2 2 3 3 2 2" xfId="41379"/>
    <cellStyle name="Header2 2 2 5 2 2 3 3 3" xfId="27038"/>
    <cellStyle name="Header2 2 2 5 2 2 3 3 4" xfId="36228"/>
    <cellStyle name="Header2 2 2 5 2 2 3 4" xfId="17843"/>
    <cellStyle name="Header2 2 2 5 2 2 3 4 2" xfId="29660"/>
    <cellStyle name="Header2 2 2 5 2 2 3 4 2 2" xfId="39659"/>
    <cellStyle name="Header2 2 2 5 2 2 3 4 3" xfId="25418"/>
    <cellStyle name="Header2 2 2 5 2 2 3 4 4" xfId="34508"/>
    <cellStyle name="Header2 2 2 5 2 2 3 5" xfId="20372"/>
    <cellStyle name="Header2 2 2 5 2 2 3 5 2" xfId="32189"/>
    <cellStyle name="Header2 2 2 5 2 2 3 5 2 2" xfId="42188"/>
    <cellStyle name="Header2 2 2 5 2 2 3 5 3" xfId="37037"/>
    <cellStyle name="Header2 2 2 5 2 2 3 6" xfId="27970"/>
    <cellStyle name="Header2 2 2 5 2 2 3 6 2" xfId="37969"/>
    <cellStyle name="Header2 2 2 5 2 2 3 7" xfId="21747"/>
    <cellStyle name="Header2 2 2 5 2 2 4" xfId="16416"/>
    <cellStyle name="Header2 2 2 5 2 2 4 2" xfId="28233"/>
    <cellStyle name="Header2 2 2 5 2 2 4 2 2" xfId="38232"/>
    <cellStyle name="Header2 2 2 5 2 2 4 3" xfId="23991"/>
    <cellStyle name="Header2 2 2 5 2 2 4 4" xfId="33081"/>
    <cellStyle name="Header2 2 2 5 2 2 5" xfId="16697"/>
    <cellStyle name="Header2 2 2 5 2 2 5 2" xfId="28514"/>
    <cellStyle name="Header2 2 2 5 2 2 5 2 2" xfId="38513"/>
    <cellStyle name="Header2 2 2 5 2 2 5 3" xfId="24272"/>
    <cellStyle name="Header2 2 2 5 2 2 5 4" xfId="33362"/>
    <cellStyle name="Header2 2 2 5 2 2 6" xfId="16430"/>
    <cellStyle name="Header2 2 2 5 2 2 6 2" xfId="28247"/>
    <cellStyle name="Header2 2 2 5 2 2 6 2 2" xfId="38246"/>
    <cellStyle name="Header2 2 2 5 2 2 6 3" xfId="24005"/>
    <cellStyle name="Header2 2 2 5 2 2 6 4" xfId="33095"/>
    <cellStyle name="Header2 2 2 5 2 2 7" xfId="17087"/>
    <cellStyle name="Header2 2 2 5 2 2 7 2" xfId="28904"/>
    <cellStyle name="Header2 2 2 5 2 2 7 2 2" xfId="38903"/>
    <cellStyle name="Header2 2 2 5 2 2 7 3" xfId="24662"/>
    <cellStyle name="Header2 2 2 5 2 2 7 4" xfId="33752"/>
    <cellStyle name="Header2 2 2 5 2 2 8" xfId="17390"/>
    <cellStyle name="Header2 2 2 5 2 2 8 2" xfId="29207"/>
    <cellStyle name="Header2 2 2 5 2 2 8 2 2" xfId="39206"/>
    <cellStyle name="Header2 2 2 5 2 2 8 3" xfId="24965"/>
    <cellStyle name="Header2 2 2 5 2 2 8 4" xfId="34055"/>
    <cellStyle name="Header2 2 2 5 2 2 9" xfId="18545"/>
    <cellStyle name="Header2 2 2 5 2 2 9 2" xfId="30362"/>
    <cellStyle name="Header2 2 2 5 2 2 9 2 2" xfId="40361"/>
    <cellStyle name="Header2 2 2 5 2 2 9 3" xfId="26020"/>
    <cellStyle name="Header2 2 2 5 2 2 9 4" xfId="35210"/>
    <cellStyle name="Header2 2 2 5 2 3" xfId="7766"/>
    <cellStyle name="Header2 2 2 5 2 3 10" xfId="18827"/>
    <cellStyle name="Header2 2 2 5 2 3 10 2" xfId="30644"/>
    <cellStyle name="Header2 2 2 5 2 3 10 2 2" xfId="40643"/>
    <cellStyle name="Header2 2 2 5 2 3 10 3" xfId="26302"/>
    <cellStyle name="Header2 2 2 5 2 3 10 4" xfId="35492"/>
    <cellStyle name="Header2 2 2 5 2 3 11" xfId="18219"/>
    <cellStyle name="Header2 2 2 5 2 3 11 2" xfId="30036"/>
    <cellStyle name="Header2 2 2 5 2 3 11 2 2" xfId="40035"/>
    <cellStyle name="Header2 2 2 5 2 3 11 3" xfId="34884"/>
    <cellStyle name="Header2 2 2 5 2 3 12" xfId="23336"/>
    <cellStyle name="Header2 2 2 5 2 3 12 2" xfId="21141"/>
    <cellStyle name="Header2 2 2 5 2 3 13" xfId="22730"/>
    <cellStyle name="Header2 2 2 5 2 3 2" xfId="15573"/>
    <cellStyle name="Header2 2 2 5 2 3 2 2" xfId="19220"/>
    <cellStyle name="Header2 2 2 5 2 3 2 2 2" xfId="31037"/>
    <cellStyle name="Header2 2 2 5 2 3 2 2 2 2" xfId="41036"/>
    <cellStyle name="Header2 2 2 5 2 3 2 2 3" xfId="26695"/>
    <cellStyle name="Header2 2 2 5 2 3 2 2 4" xfId="35885"/>
    <cellStyle name="Header2 2 2 5 2 3 2 3" xfId="19826"/>
    <cellStyle name="Header2 2 2 5 2 3 2 3 2" xfId="31643"/>
    <cellStyle name="Header2 2 2 5 2 3 2 3 2 2" xfId="41642"/>
    <cellStyle name="Header2 2 2 5 2 3 2 3 3" xfId="27301"/>
    <cellStyle name="Header2 2 2 5 2 3 2 3 4" xfId="36491"/>
    <cellStyle name="Header2 2 2 5 2 3 2 4" xfId="17813"/>
    <cellStyle name="Header2 2 2 5 2 3 2 4 2" xfId="29630"/>
    <cellStyle name="Header2 2 2 5 2 3 2 4 2 2" xfId="39629"/>
    <cellStyle name="Header2 2 2 5 2 3 2 4 3" xfId="25388"/>
    <cellStyle name="Header2 2 2 5 2 3 2 4 4" xfId="34478"/>
    <cellStyle name="Header2 2 2 5 2 3 2 5" xfId="20635"/>
    <cellStyle name="Header2 2 2 5 2 3 2 5 2" xfId="32452"/>
    <cellStyle name="Header2 2 2 5 2 3 2 5 2 2" xfId="42451"/>
    <cellStyle name="Header2 2 2 5 2 3 2 5 3" xfId="37300"/>
    <cellStyle name="Header2 2 2 5 2 3 2 6" xfId="23451"/>
    <cellStyle name="Header2 2 2 5 2 3 2 6 2" xfId="21060"/>
    <cellStyle name="Header2 2 2 5 2 3 2 7" xfId="22878"/>
    <cellStyle name="Header2 2 2 5 2 3 2 7 2" xfId="21365"/>
    <cellStyle name="Header2 2 2 5 2 3 2 8" xfId="21607"/>
    <cellStyle name="Header2 2 2 5 2 3 3" xfId="16154"/>
    <cellStyle name="Header2 2 2 5 2 3 3 2" xfId="19503"/>
    <cellStyle name="Header2 2 2 5 2 3 3 2 2" xfId="31320"/>
    <cellStyle name="Header2 2 2 5 2 3 3 2 2 2" xfId="41319"/>
    <cellStyle name="Header2 2 2 5 2 3 3 2 3" xfId="26978"/>
    <cellStyle name="Header2 2 2 5 2 3 3 2 4" xfId="36168"/>
    <cellStyle name="Header2 2 2 5 2 3 3 3" xfId="20109"/>
    <cellStyle name="Header2 2 2 5 2 3 3 3 2" xfId="31926"/>
    <cellStyle name="Header2 2 2 5 2 3 3 3 2 2" xfId="41925"/>
    <cellStyle name="Header2 2 2 5 2 3 3 3 3" xfId="27584"/>
    <cellStyle name="Header2 2 2 5 2 3 3 3 4" xfId="36774"/>
    <cellStyle name="Header2 2 2 5 2 3 3 4" xfId="17755"/>
    <cellStyle name="Header2 2 2 5 2 3 3 4 2" xfId="29572"/>
    <cellStyle name="Header2 2 2 5 2 3 3 4 2 2" xfId="39571"/>
    <cellStyle name="Header2 2 2 5 2 3 3 4 3" xfId="25330"/>
    <cellStyle name="Header2 2 2 5 2 3 3 4 4" xfId="34420"/>
    <cellStyle name="Header2 2 2 5 2 3 3 5" xfId="20918"/>
    <cellStyle name="Header2 2 2 5 2 3 3 5 2" xfId="32735"/>
    <cellStyle name="Header2 2 2 5 2 3 3 5 2 2" xfId="42734"/>
    <cellStyle name="Header2 2 2 5 2 3 3 5 3" xfId="37583"/>
    <cellStyle name="Header2 2 2 5 2 3 3 6" xfId="27971"/>
    <cellStyle name="Header2 2 2 5 2 3 3 6 2" xfId="37970"/>
    <cellStyle name="Header2 2 2 5 2 3 3 7" xfId="21463"/>
    <cellStyle name="Header2 2 2 5 2 3 4" xfId="15883"/>
    <cellStyle name="Header2 2 2 5 2 3 4 2" xfId="27700"/>
    <cellStyle name="Header2 2 2 5 2 3 4 2 2" xfId="37699"/>
    <cellStyle name="Header2 2 2 5 2 3 4 3" xfId="23761"/>
    <cellStyle name="Header2 2 2 5 2 3 4 4" xfId="32851"/>
    <cellStyle name="Header2 2 2 5 2 3 5" xfId="16696"/>
    <cellStyle name="Header2 2 2 5 2 3 5 2" xfId="28513"/>
    <cellStyle name="Header2 2 2 5 2 3 5 2 2" xfId="38512"/>
    <cellStyle name="Header2 2 2 5 2 3 5 3" xfId="24271"/>
    <cellStyle name="Header2 2 2 5 2 3 5 4" xfId="33361"/>
    <cellStyle name="Header2 2 2 5 2 3 6" xfId="16979"/>
    <cellStyle name="Header2 2 2 5 2 3 6 2" xfId="28796"/>
    <cellStyle name="Header2 2 2 5 2 3 6 2 2" xfId="38795"/>
    <cellStyle name="Header2 2 2 5 2 3 6 3" xfId="24554"/>
    <cellStyle name="Header2 2 2 5 2 3 6 4" xfId="33644"/>
    <cellStyle name="Header2 2 2 5 2 3 7" xfId="17088"/>
    <cellStyle name="Header2 2 2 5 2 3 7 2" xfId="28905"/>
    <cellStyle name="Header2 2 2 5 2 3 7 2 2" xfId="38904"/>
    <cellStyle name="Header2 2 2 5 2 3 7 3" xfId="24663"/>
    <cellStyle name="Header2 2 2 5 2 3 7 4" xfId="33753"/>
    <cellStyle name="Header2 2 2 5 2 3 8" xfId="17391"/>
    <cellStyle name="Header2 2 2 5 2 3 8 2" xfId="29208"/>
    <cellStyle name="Header2 2 2 5 2 3 8 2 2" xfId="39207"/>
    <cellStyle name="Header2 2 2 5 2 3 8 3" xfId="24966"/>
    <cellStyle name="Header2 2 2 5 2 3 8 4" xfId="34056"/>
    <cellStyle name="Header2 2 2 5 2 3 9" xfId="18544"/>
    <cellStyle name="Header2 2 2 5 2 3 9 2" xfId="30361"/>
    <cellStyle name="Header2 2 2 5 2 3 9 2 2" xfId="40360"/>
    <cellStyle name="Header2 2 2 5 2 3 9 3" xfId="26019"/>
    <cellStyle name="Header2 2 2 5 2 3 9 4" xfId="35209"/>
    <cellStyle name="Header2 2 2 5 2 4" xfId="7767"/>
    <cellStyle name="Header2 2 2 5 2 4 10" xfId="18826"/>
    <cellStyle name="Header2 2 2 5 2 4 10 2" xfId="30643"/>
    <cellStyle name="Header2 2 2 5 2 4 10 2 2" xfId="40642"/>
    <cellStyle name="Header2 2 2 5 2 4 10 3" xfId="26301"/>
    <cellStyle name="Header2 2 2 5 2 4 10 4" xfId="35491"/>
    <cellStyle name="Header2 2 2 5 2 4 11" xfId="20240"/>
    <cellStyle name="Header2 2 2 5 2 4 11 2" xfId="32057"/>
    <cellStyle name="Header2 2 2 5 2 4 11 2 2" xfId="42056"/>
    <cellStyle name="Header2 2 2 5 2 4 11 3" xfId="36905"/>
    <cellStyle name="Header2 2 2 5 2 4 12" xfId="23335"/>
    <cellStyle name="Header2 2 2 5 2 4 12 2" xfId="21142"/>
    <cellStyle name="Header2 2 2 5 2 4 13" xfId="22729"/>
    <cellStyle name="Header2 2 2 5 2 4 2" xfId="15574"/>
    <cellStyle name="Header2 2 2 5 2 4 2 2" xfId="19219"/>
    <cellStyle name="Header2 2 2 5 2 4 2 2 2" xfId="31036"/>
    <cellStyle name="Header2 2 2 5 2 4 2 2 2 2" xfId="41035"/>
    <cellStyle name="Header2 2 2 5 2 4 2 2 3" xfId="26694"/>
    <cellStyle name="Header2 2 2 5 2 4 2 2 4" xfId="35884"/>
    <cellStyle name="Header2 2 2 5 2 4 2 3" xfId="19825"/>
    <cellStyle name="Header2 2 2 5 2 4 2 3 2" xfId="31642"/>
    <cellStyle name="Header2 2 2 5 2 4 2 3 2 2" xfId="41641"/>
    <cellStyle name="Header2 2 2 5 2 4 2 3 3" xfId="27300"/>
    <cellStyle name="Header2 2 2 5 2 4 2 3 4" xfId="36490"/>
    <cellStyle name="Header2 2 2 5 2 4 2 4" xfId="17951"/>
    <cellStyle name="Header2 2 2 5 2 4 2 4 2" xfId="29768"/>
    <cellStyle name="Header2 2 2 5 2 4 2 4 2 2" xfId="39767"/>
    <cellStyle name="Header2 2 2 5 2 4 2 4 3" xfId="25526"/>
    <cellStyle name="Header2 2 2 5 2 4 2 4 4" xfId="34616"/>
    <cellStyle name="Header2 2 2 5 2 4 2 5" xfId="20634"/>
    <cellStyle name="Header2 2 2 5 2 4 2 5 2" xfId="32451"/>
    <cellStyle name="Header2 2 2 5 2 4 2 5 2 2" xfId="42450"/>
    <cellStyle name="Header2 2 2 5 2 4 2 5 3" xfId="37299"/>
    <cellStyle name="Header2 2 2 5 2 4 2 6" xfId="23452"/>
    <cellStyle name="Header2 2 2 5 2 4 2 6 2" xfId="21059"/>
    <cellStyle name="Header2 2 2 5 2 4 2 7" xfId="22877"/>
    <cellStyle name="Header2 2 2 5 2 4 2 7 2" xfId="22178"/>
    <cellStyle name="Header2 2 2 5 2 4 2 8" xfId="22360"/>
    <cellStyle name="Header2 2 2 5 2 4 3" xfId="16155"/>
    <cellStyle name="Header2 2 2 5 2 4 3 2" xfId="19502"/>
    <cellStyle name="Header2 2 2 5 2 4 3 2 2" xfId="31319"/>
    <cellStyle name="Header2 2 2 5 2 4 3 2 2 2" xfId="41318"/>
    <cellStyle name="Header2 2 2 5 2 4 3 2 3" xfId="26977"/>
    <cellStyle name="Header2 2 2 5 2 4 3 2 4" xfId="36167"/>
    <cellStyle name="Header2 2 2 5 2 4 3 3" xfId="20108"/>
    <cellStyle name="Header2 2 2 5 2 4 3 3 2" xfId="31925"/>
    <cellStyle name="Header2 2 2 5 2 4 3 3 2 2" xfId="41924"/>
    <cellStyle name="Header2 2 2 5 2 4 3 3 3" xfId="27583"/>
    <cellStyle name="Header2 2 2 5 2 4 3 3 4" xfId="36773"/>
    <cellStyle name="Header2 2 2 5 2 4 3 4" xfId="17756"/>
    <cellStyle name="Header2 2 2 5 2 4 3 4 2" xfId="29573"/>
    <cellStyle name="Header2 2 2 5 2 4 3 4 2 2" xfId="39572"/>
    <cellStyle name="Header2 2 2 5 2 4 3 4 3" xfId="25331"/>
    <cellStyle name="Header2 2 2 5 2 4 3 4 4" xfId="34421"/>
    <cellStyle name="Header2 2 2 5 2 4 3 5" xfId="20917"/>
    <cellStyle name="Header2 2 2 5 2 4 3 5 2" xfId="32734"/>
    <cellStyle name="Header2 2 2 5 2 4 3 5 2 2" xfId="42733"/>
    <cellStyle name="Header2 2 2 5 2 4 3 5 3" xfId="37582"/>
    <cellStyle name="Header2 2 2 5 2 4 3 6" xfId="27972"/>
    <cellStyle name="Header2 2 2 5 2 4 3 6 2" xfId="37971"/>
    <cellStyle name="Header2 2 2 5 2 4 3 7" xfId="22222"/>
    <cellStyle name="Header2 2 2 5 2 4 4" xfId="15884"/>
    <cellStyle name="Header2 2 2 5 2 4 4 2" xfId="27701"/>
    <cellStyle name="Header2 2 2 5 2 4 4 2 2" xfId="37700"/>
    <cellStyle name="Header2 2 2 5 2 4 4 3" xfId="23762"/>
    <cellStyle name="Header2 2 2 5 2 4 4 4" xfId="32852"/>
    <cellStyle name="Header2 2 2 5 2 4 5" xfId="16695"/>
    <cellStyle name="Header2 2 2 5 2 4 5 2" xfId="28512"/>
    <cellStyle name="Header2 2 2 5 2 4 5 2 2" xfId="38511"/>
    <cellStyle name="Header2 2 2 5 2 4 5 3" xfId="24270"/>
    <cellStyle name="Header2 2 2 5 2 4 5 4" xfId="33360"/>
    <cellStyle name="Header2 2 2 5 2 4 6" xfId="16978"/>
    <cellStyle name="Header2 2 2 5 2 4 6 2" xfId="28795"/>
    <cellStyle name="Header2 2 2 5 2 4 6 2 2" xfId="38794"/>
    <cellStyle name="Header2 2 2 5 2 4 6 3" xfId="24553"/>
    <cellStyle name="Header2 2 2 5 2 4 6 4" xfId="33643"/>
    <cellStyle name="Header2 2 2 5 2 4 7" xfId="17089"/>
    <cellStyle name="Header2 2 2 5 2 4 7 2" xfId="28906"/>
    <cellStyle name="Header2 2 2 5 2 4 7 2 2" xfId="38905"/>
    <cellStyle name="Header2 2 2 5 2 4 7 3" xfId="24664"/>
    <cellStyle name="Header2 2 2 5 2 4 7 4" xfId="33754"/>
    <cellStyle name="Header2 2 2 5 2 4 8" xfId="17392"/>
    <cellStyle name="Header2 2 2 5 2 4 8 2" xfId="29209"/>
    <cellStyle name="Header2 2 2 5 2 4 8 2 2" xfId="39208"/>
    <cellStyle name="Header2 2 2 5 2 4 8 3" xfId="24967"/>
    <cellStyle name="Header2 2 2 5 2 4 8 4" xfId="34057"/>
    <cellStyle name="Header2 2 2 5 2 4 9" xfId="18543"/>
    <cellStyle name="Header2 2 2 5 2 4 9 2" xfId="30360"/>
    <cellStyle name="Header2 2 2 5 2 4 9 2 2" xfId="40359"/>
    <cellStyle name="Header2 2 2 5 2 4 9 3" xfId="26018"/>
    <cellStyle name="Header2 2 2 5 2 4 9 4" xfId="35208"/>
    <cellStyle name="Header2 2 2 5 2 5" xfId="15571"/>
    <cellStyle name="Header2 2 2 5 2 5 2" xfId="19222"/>
    <cellStyle name="Header2 2 2 5 2 5 2 2" xfId="31039"/>
    <cellStyle name="Header2 2 2 5 2 5 2 2 2" xfId="41038"/>
    <cellStyle name="Header2 2 2 5 2 5 2 3" xfId="26697"/>
    <cellStyle name="Header2 2 2 5 2 5 2 4" xfId="35887"/>
    <cellStyle name="Header2 2 2 5 2 5 3" xfId="19828"/>
    <cellStyle name="Header2 2 2 5 2 5 3 2" xfId="31645"/>
    <cellStyle name="Header2 2 2 5 2 5 3 2 2" xfId="41644"/>
    <cellStyle name="Header2 2 2 5 2 5 3 3" xfId="27303"/>
    <cellStyle name="Header2 2 2 5 2 5 3 4" xfId="36493"/>
    <cellStyle name="Header2 2 2 5 2 5 4" xfId="17812"/>
    <cellStyle name="Header2 2 2 5 2 5 4 2" xfId="29629"/>
    <cellStyle name="Header2 2 2 5 2 5 4 2 2" xfId="39628"/>
    <cellStyle name="Header2 2 2 5 2 5 4 3" xfId="25387"/>
    <cellStyle name="Header2 2 2 5 2 5 4 4" xfId="34477"/>
    <cellStyle name="Header2 2 2 5 2 5 5" xfId="20637"/>
    <cellStyle name="Header2 2 2 5 2 5 5 2" xfId="32454"/>
    <cellStyle name="Header2 2 2 5 2 5 5 2 2" xfId="42453"/>
    <cellStyle name="Header2 2 2 5 2 5 5 3" xfId="37302"/>
    <cellStyle name="Header2 2 2 5 2 5 6" xfId="23449"/>
    <cellStyle name="Header2 2 2 5 2 5 6 2" xfId="21061"/>
    <cellStyle name="Header2 2 2 5 2 5 7" xfId="22879"/>
    <cellStyle name="Header2 2 2 5 2 5 7 2" xfId="21364"/>
    <cellStyle name="Header2 2 2 5 2 5 8" xfId="21605"/>
    <cellStyle name="Header2 2 2 5 2 6" xfId="16152"/>
    <cellStyle name="Header2 2 2 5 2 6 2" xfId="19504"/>
    <cellStyle name="Header2 2 2 5 2 6 2 2" xfId="31321"/>
    <cellStyle name="Header2 2 2 5 2 6 2 2 2" xfId="41320"/>
    <cellStyle name="Header2 2 2 5 2 6 2 3" xfId="26979"/>
    <cellStyle name="Header2 2 2 5 2 6 2 4" xfId="36169"/>
    <cellStyle name="Header2 2 2 5 2 6 3" xfId="20110"/>
    <cellStyle name="Header2 2 2 5 2 6 3 2" xfId="31927"/>
    <cellStyle name="Header2 2 2 5 2 6 3 2 2" xfId="41926"/>
    <cellStyle name="Header2 2 2 5 2 6 3 3" xfId="27585"/>
    <cellStyle name="Header2 2 2 5 2 6 3 4" xfId="36775"/>
    <cellStyle name="Header2 2 2 5 2 6 4" xfId="18048"/>
    <cellStyle name="Header2 2 2 5 2 6 4 2" xfId="29865"/>
    <cellStyle name="Header2 2 2 5 2 6 4 2 2" xfId="39864"/>
    <cellStyle name="Header2 2 2 5 2 6 4 3" xfId="25623"/>
    <cellStyle name="Header2 2 2 5 2 6 4 4" xfId="34713"/>
    <cellStyle name="Header2 2 2 5 2 6 5" xfId="20919"/>
    <cellStyle name="Header2 2 2 5 2 6 5 2" xfId="32736"/>
    <cellStyle name="Header2 2 2 5 2 6 5 2 2" xfId="42735"/>
    <cellStyle name="Header2 2 2 5 2 6 5 3" xfId="37584"/>
    <cellStyle name="Header2 2 2 5 2 6 6" xfId="27969"/>
    <cellStyle name="Header2 2 2 5 2 6 6 2" xfId="37968"/>
    <cellStyle name="Header2 2 2 5 2 6 7" xfId="21462"/>
    <cellStyle name="Header2 2 2 5 2 7" xfId="15882"/>
    <cellStyle name="Header2 2 2 5 2 7 2" xfId="27699"/>
    <cellStyle name="Header2 2 2 5 2 7 2 2" xfId="37698"/>
    <cellStyle name="Header2 2 2 5 2 7 3" xfId="23760"/>
    <cellStyle name="Header2 2 2 5 2 7 4" xfId="32850"/>
    <cellStyle name="Header2 2 2 5 2 8" xfId="16698"/>
    <cellStyle name="Header2 2 2 5 2 8 2" xfId="28515"/>
    <cellStyle name="Header2 2 2 5 2 8 2 2" xfId="38514"/>
    <cellStyle name="Header2 2 2 5 2 8 3" xfId="24273"/>
    <cellStyle name="Header2 2 2 5 2 8 4" xfId="33363"/>
    <cellStyle name="Header2 2 2 5 2 9" xfId="16980"/>
    <cellStyle name="Header2 2 2 5 2 9 2" xfId="28797"/>
    <cellStyle name="Header2 2 2 5 2 9 2 2" xfId="38796"/>
    <cellStyle name="Header2 2 2 5 2 9 3" xfId="24555"/>
    <cellStyle name="Header2 2 2 5 2 9 4" xfId="33645"/>
    <cellStyle name="Header2 2 2 5 3" xfId="7768"/>
    <cellStyle name="Header2 2 2 5 3 10" xfId="17090"/>
    <cellStyle name="Header2 2 2 5 3 10 2" xfId="28907"/>
    <cellStyle name="Header2 2 2 5 3 10 2 2" xfId="38906"/>
    <cellStyle name="Header2 2 2 5 3 10 3" xfId="24665"/>
    <cellStyle name="Header2 2 2 5 3 10 4" xfId="33755"/>
    <cellStyle name="Header2 2 2 5 3 11" xfId="17393"/>
    <cellStyle name="Header2 2 2 5 3 11 2" xfId="29210"/>
    <cellStyle name="Header2 2 2 5 3 11 2 2" xfId="39209"/>
    <cellStyle name="Header2 2 2 5 3 11 3" xfId="24968"/>
    <cellStyle name="Header2 2 2 5 3 11 4" xfId="34058"/>
    <cellStyle name="Header2 2 2 5 3 12" xfId="18542"/>
    <cellStyle name="Header2 2 2 5 3 12 2" xfId="30359"/>
    <cellStyle name="Header2 2 2 5 3 12 2 2" xfId="40358"/>
    <cellStyle name="Header2 2 2 5 3 12 3" xfId="26017"/>
    <cellStyle name="Header2 2 2 5 3 12 4" xfId="35207"/>
    <cellStyle name="Header2 2 2 5 3 13" xfId="18825"/>
    <cellStyle name="Header2 2 2 5 3 13 2" xfId="30642"/>
    <cellStyle name="Header2 2 2 5 3 13 2 2" xfId="40641"/>
    <cellStyle name="Header2 2 2 5 3 13 3" xfId="26300"/>
    <cellStyle name="Header2 2 2 5 3 13 4" xfId="35490"/>
    <cellStyle name="Header2 2 2 5 3 14" xfId="20338"/>
    <cellStyle name="Header2 2 2 5 3 14 2" xfId="32155"/>
    <cellStyle name="Header2 2 2 5 3 14 2 2" xfId="42154"/>
    <cellStyle name="Header2 2 2 5 3 14 3" xfId="37003"/>
    <cellStyle name="Header2 2 2 5 3 15" xfId="23334"/>
    <cellStyle name="Header2 2 2 5 3 15 2" xfId="21143"/>
    <cellStyle name="Header2 2 2 5 3 16" xfId="22728"/>
    <cellStyle name="Header2 2 2 5 3 2" xfId="7769"/>
    <cellStyle name="Header2 2 2 5 3 2 10" xfId="18824"/>
    <cellStyle name="Header2 2 2 5 3 2 10 2" xfId="30641"/>
    <cellStyle name="Header2 2 2 5 3 2 10 2 2" xfId="40640"/>
    <cellStyle name="Header2 2 2 5 3 2 10 3" xfId="26299"/>
    <cellStyle name="Header2 2 2 5 3 2 10 4" xfId="35489"/>
    <cellStyle name="Header2 2 2 5 3 2 11" xfId="20249"/>
    <cellStyle name="Header2 2 2 5 3 2 11 2" xfId="32066"/>
    <cellStyle name="Header2 2 2 5 3 2 11 2 2" xfId="42065"/>
    <cellStyle name="Header2 2 2 5 3 2 11 3" xfId="36914"/>
    <cellStyle name="Header2 2 2 5 3 2 12" xfId="23333"/>
    <cellStyle name="Header2 2 2 5 3 2 12 2" xfId="21945"/>
    <cellStyle name="Header2 2 2 5 3 2 13" xfId="22727"/>
    <cellStyle name="Header2 2 2 5 3 2 2" xfId="15576"/>
    <cellStyle name="Header2 2 2 5 3 2 2 2" xfId="19217"/>
    <cellStyle name="Header2 2 2 5 3 2 2 2 2" xfId="31034"/>
    <cellStyle name="Header2 2 2 5 3 2 2 2 2 2" xfId="41033"/>
    <cellStyle name="Header2 2 2 5 3 2 2 2 3" xfId="26692"/>
    <cellStyle name="Header2 2 2 5 3 2 2 2 4" xfId="35882"/>
    <cellStyle name="Header2 2 2 5 3 2 2 3" xfId="19823"/>
    <cellStyle name="Header2 2 2 5 3 2 2 3 2" xfId="31640"/>
    <cellStyle name="Header2 2 2 5 3 2 2 3 2 2" xfId="41639"/>
    <cellStyle name="Header2 2 2 5 3 2 2 3 3" xfId="27298"/>
    <cellStyle name="Header2 2 2 5 3 2 2 3 4" xfId="36488"/>
    <cellStyle name="Header2 2 2 5 3 2 2 4" xfId="17953"/>
    <cellStyle name="Header2 2 2 5 3 2 2 4 2" xfId="29770"/>
    <cellStyle name="Header2 2 2 5 3 2 2 4 2 2" xfId="39769"/>
    <cellStyle name="Header2 2 2 5 3 2 2 4 3" xfId="25528"/>
    <cellStyle name="Header2 2 2 5 3 2 2 4 4" xfId="34618"/>
    <cellStyle name="Header2 2 2 5 3 2 2 5" xfId="20632"/>
    <cellStyle name="Header2 2 2 5 3 2 2 5 2" xfId="32449"/>
    <cellStyle name="Header2 2 2 5 3 2 2 5 2 2" xfId="42448"/>
    <cellStyle name="Header2 2 2 5 3 2 2 5 3" xfId="37297"/>
    <cellStyle name="Header2 2 2 5 3 2 2 6" xfId="23454"/>
    <cellStyle name="Header2 2 2 5 3 2 2 6 2" xfId="21910"/>
    <cellStyle name="Header2 2 2 5 3 2 2 7" xfId="23074"/>
    <cellStyle name="Header2 2 2 5 3 2 2 7 2" xfId="22057"/>
    <cellStyle name="Header2 2 2 5 3 2 2 8" xfId="22361"/>
    <cellStyle name="Header2 2 2 5 3 2 3" xfId="16157"/>
    <cellStyle name="Header2 2 2 5 3 2 3 2" xfId="19500"/>
    <cellStyle name="Header2 2 2 5 3 2 3 2 2" xfId="31317"/>
    <cellStyle name="Header2 2 2 5 3 2 3 2 2 2" xfId="41316"/>
    <cellStyle name="Header2 2 2 5 3 2 3 2 3" xfId="26975"/>
    <cellStyle name="Header2 2 2 5 3 2 3 2 4" xfId="36165"/>
    <cellStyle name="Header2 2 2 5 3 2 3 3" xfId="20106"/>
    <cellStyle name="Header2 2 2 5 3 2 3 3 2" xfId="31923"/>
    <cellStyle name="Header2 2 2 5 3 2 3 3 2 2" xfId="41922"/>
    <cellStyle name="Header2 2 2 5 3 2 3 3 3" xfId="27581"/>
    <cellStyle name="Header2 2 2 5 3 2 3 3 4" xfId="36771"/>
    <cellStyle name="Header2 2 2 5 3 2 3 4" xfId="17644"/>
    <cellStyle name="Header2 2 2 5 3 2 3 4 2" xfId="29461"/>
    <cellStyle name="Header2 2 2 5 3 2 3 4 2 2" xfId="39460"/>
    <cellStyle name="Header2 2 2 5 3 2 3 4 3" xfId="25219"/>
    <cellStyle name="Header2 2 2 5 3 2 3 4 4" xfId="34309"/>
    <cellStyle name="Header2 2 2 5 3 2 3 5" xfId="20915"/>
    <cellStyle name="Header2 2 2 5 3 2 3 5 2" xfId="32732"/>
    <cellStyle name="Header2 2 2 5 3 2 3 5 2 2" xfId="42731"/>
    <cellStyle name="Header2 2 2 5 3 2 3 5 3" xfId="37580"/>
    <cellStyle name="Header2 2 2 5 3 2 3 6" xfId="27974"/>
    <cellStyle name="Header2 2 2 5 3 2 3 6 2" xfId="37973"/>
    <cellStyle name="Header2 2 2 5 3 2 3 7" xfId="22223"/>
    <cellStyle name="Header2 2 2 5 3 2 4" xfId="15885"/>
    <cellStyle name="Header2 2 2 5 3 2 4 2" xfId="27702"/>
    <cellStyle name="Header2 2 2 5 3 2 4 2 2" xfId="37701"/>
    <cellStyle name="Header2 2 2 5 3 2 4 3" xfId="23763"/>
    <cellStyle name="Header2 2 2 5 3 2 4 4" xfId="32853"/>
    <cellStyle name="Header2 2 2 5 3 2 5" xfId="16693"/>
    <cellStyle name="Header2 2 2 5 3 2 5 2" xfId="28510"/>
    <cellStyle name="Header2 2 2 5 3 2 5 2 2" xfId="38509"/>
    <cellStyle name="Header2 2 2 5 3 2 5 3" xfId="24268"/>
    <cellStyle name="Header2 2 2 5 3 2 5 4" xfId="33358"/>
    <cellStyle name="Header2 2 2 5 3 2 6" xfId="16976"/>
    <cellStyle name="Header2 2 2 5 3 2 6 2" xfId="28793"/>
    <cellStyle name="Header2 2 2 5 3 2 6 2 2" xfId="38792"/>
    <cellStyle name="Header2 2 2 5 3 2 6 3" xfId="24551"/>
    <cellStyle name="Header2 2 2 5 3 2 6 4" xfId="33641"/>
    <cellStyle name="Header2 2 2 5 3 2 7" xfId="17091"/>
    <cellStyle name="Header2 2 2 5 3 2 7 2" xfId="28908"/>
    <cellStyle name="Header2 2 2 5 3 2 7 2 2" xfId="38907"/>
    <cellStyle name="Header2 2 2 5 3 2 7 3" xfId="24666"/>
    <cellStyle name="Header2 2 2 5 3 2 7 4" xfId="33756"/>
    <cellStyle name="Header2 2 2 5 3 2 8" xfId="17394"/>
    <cellStyle name="Header2 2 2 5 3 2 8 2" xfId="29211"/>
    <cellStyle name="Header2 2 2 5 3 2 8 2 2" xfId="39210"/>
    <cellStyle name="Header2 2 2 5 3 2 8 3" xfId="24969"/>
    <cellStyle name="Header2 2 2 5 3 2 8 4" xfId="34059"/>
    <cellStyle name="Header2 2 2 5 3 2 9" xfId="18541"/>
    <cellStyle name="Header2 2 2 5 3 2 9 2" xfId="30358"/>
    <cellStyle name="Header2 2 2 5 3 2 9 2 2" xfId="40357"/>
    <cellStyle name="Header2 2 2 5 3 2 9 3" xfId="26016"/>
    <cellStyle name="Header2 2 2 5 3 2 9 4" xfId="35206"/>
    <cellStyle name="Header2 2 2 5 3 3" xfId="7770"/>
    <cellStyle name="Header2 2 2 5 3 3 10" xfId="18823"/>
    <cellStyle name="Header2 2 2 5 3 3 10 2" xfId="30640"/>
    <cellStyle name="Header2 2 2 5 3 3 10 2 2" xfId="40639"/>
    <cellStyle name="Header2 2 2 5 3 3 10 3" xfId="26298"/>
    <cellStyle name="Header2 2 2 5 3 3 10 4" xfId="35488"/>
    <cellStyle name="Header2 2 2 5 3 3 11" xfId="20346"/>
    <cellStyle name="Header2 2 2 5 3 3 11 2" xfId="32163"/>
    <cellStyle name="Header2 2 2 5 3 3 11 2 2" xfId="42162"/>
    <cellStyle name="Header2 2 2 5 3 3 11 3" xfId="37011"/>
    <cellStyle name="Header2 2 2 5 3 3 12" xfId="23332"/>
    <cellStyle name="Header2 2 2 5 3 3 12 2" xfId="21144"/>
    <cellStyle name="Header2 2 2 5 3 3 13" xfId="22726"/>
    <cellStyle name="Header2 2 2 5 3 3 2" xfId="15577"/>
    <cellStyle name="Header2 2 2 5 3 3 2 2" xfId="19216"/>
    <cellStyle name="Header2 2 2 5 3 3 2 2 2" xfId="31033"/>
    <cellStyle name="Header2 2 2 5 3 3 2 2 2 2" xfId="41032"/>
    <cellStyle name="Header2 2 2 5 3 3 2 2 3" xfId="26691"/>
    <cellStyle name="Header2 2 2 5 3 3 2 2 4" xfId="35881"/>
    <cellStyle name="Header2 2 2 5 3 3 2 3" xfId="19822"/>
    <cellStyle name="Header2 2 2 5 3 3 2 3 2" xfId="31639"/>
    <cellStyle name="Header2 2 2 5 3 3 2 3 2 2" xfId="41638"/>
    <cellStyle name="Header2 2 2 5 3 3 2 3 3" xfId="27297"/>
    <cellStyle name="Header2 2 2 5 3 3 2 3 4" xfId="36487"/>
    <cellStyle name="Header2 2 2 5 3 3 2 4" xfId="17686"/>
    <cellStyle name="Header2 2 2 5 3 3 2 4 2" xfId="29503"/>
    <cellStyle name="Header2 2 2 5 3 3 2 4 2 2" xfId="39502"/>
    <cellStyle name="Header2 2 2 5 3 3 2 4 3" xfId="25261"/>
    <cellStyle name="Header2 2 2 5 3 3 2 4 4" xfId="34351"/>
    <cellStyle name="Header2 2 2 5 3 3 2 5" xfId="20631"/>
    <cellStyle name="Header2 2 2 5 3 3 2 5 2" xfId="32448"/>
    <cellStyle name="Header2 2 2 5 3 3 2 5 2 2" xfId="42447"/>
    <cellStyle name="Header2 2 2 5 3 3 2 5 3" xfId="37296"/>
    <cellStyle name="Header2 2 2 5 3 3 2 6" xfId="23455"/>
    <cellStyle name="Header2 2 2 5 3 3 2 6 2" xfId="21057"/>
    <cellStyle name="Header2 2 2 5 3 3 2 7" xfId="22875"/>
    <cellStyle name="Header2 2 2 5 3 3 2 7 2" xfId="21367"/>
    <cellStyle name="Header2 2 2 5 3 3 2 8" xfId="21609"/>
    <cellStyle name="Header2 2 2 5 3 3 3" xfId="16158"/>
    <cellStyle name="Header2 2 2 5 3 3 3 2" xfId="19499"/>
    <cellStyle name="Header2 2 2 5 3 3 3 2 2" xfId="31316"/>
    <cellStyle name="Header2 2 2 5 3 3 3 2 2 2" xfId="41315"/>
    <cellStyle name="Header2 2 2 5 3 3 3 2 3" xfId="26974"/>
    <cellStyle name="Header2 2 2 5 3 3 3 2 4" xfId="36164"/>
    <cellStyle name="Header2 2 2 5 3 3 3 3" xfId="20105"/>
    <cellStyle name="Header2 2 2 5 3 3 3 3 2" xfId="31922"/>
    <cellStyle name="Header2 2 2 5 3 3 3 3 2 2" xfId="41921"/>
    <cellStyle name="Header2 2 2 5 3 3 3 3 3" xfId="27580"/>
    <cellStyle name="Header2 2 2 5 3 3 3 3 4" xfId="36770"/>
    <cellStyle name="Header2 2 2 5 3 3 3 4" xfId="17757"/>
    <cellStyle name="Header2 2 2 5 3 3 3 4 2" xfId="29574"/>
    <cellStyle name="Header2 2 2 5 3 3 3 4 2 2" xfId="39573"/>
    <cellStyle name="Header2 2 2 5 3 3 3 4 3" xfId="25332"/>
    <cellStyle name="Header2 2 2 5 3 3 3 4 4" xfId="34422"/>
    <cellStyle name="Header2 2 2 5 3 3 3 5" xfId="20914"/>
    <cellStyle name="Header2 2 2 5 3 3 3 5 2" xfId="32731"/>
    <cellStyle name="Header2 2 2 5 3 3 3 5 2 2" xfId="42730"/>
    <cellStyle name="Header2 2 2 5 3 3 3 5 3" xfId="37579"/>
    <cellStyle name="Header2 2 2 5 3 3 3 6" xfId="27975"/>
    <cellStyle name="Header2 2 2 5 3 3 3 6 2" xfId="37974"/>
    <cellStyle name="Header2 2 2 5 3 3 3 7" xfId="21465"/>
    <cellStyle name="Header2 2 2 5 3 3 4" xfId="15886"/>
    <cellStyle name="Header2 2 2 5 3 3 4 2" xfId="27703"/>
    <cellStyle name="Header2 2 2 5 3 3 4 2 2" xfId="37702"/>
    <cellStyle name="Header2 2 2 5 3 3 4 3" xfId="23764"/>
    <cellStyle name="Header2 2 2 5 3 3 4 4" xfId="32854"/>
    <cellStyle name="Header2 2 2 5 3 3 5" xfId="16692"/>
    <cellStyle name="Header2 2 2 5 3 3 5 2" xfId="28509"/>
    <cellStyle name="Header2 2 2 5 3 3 5 2 2" xfId="38508"/>
    <cellStyle name="Header2 2 2 5 3 3 5 3" xfId="24267"/>
    <cellStyle name="Header2 2 2 5 3 3 5 4" xfId="33357"/>
    <cellStyle name="Header2 2 2 5 3 3 6" xfId="16975"/>
    <cellStyle name="Header2 2 2 5 3 3 6 2" xfId="28792"/>
    <cellStyle name="Header2 2 2 5 3 3 6 2 2" xfId="38791"/>
    <cellStyle name="Header2 2 2 5 3 3 6 3" xfId="24550"/>
    <cellStyle name="Header2 2 2 5 3 3 6 4" xfId="33640"/>
    <cellStyle name="Header2 2 2 5 3 3 7" xfId="17092"/>
    <cellStyle name="Header2 2 2 5 3 3 7 2" xfId="28909"/>
    <cellStyle name="Header2 2 2 5 3 3 7 2 2" xfId="38908"/>
    <cellStyle name="Header2 2 2 5 3 3 7 3" xfId="24667"/>
    <cellStyle name="Header2 2 2 5 3 3 7 4" xfId="33757"/>
    <cellStyle name="Header2 2 2 5 3 3 8" xfId="17395"/>
    <cellStyle name="Header2 2 2 5 3 3 8 2" xfId="29212"/>
    <cellStyle name="Header2 2 2 5 3 3 8 2 2" xfId="39211"/>
    <cellStyle name="Header2 2 2 5 3 3 8 3" xfId="24970"/>
    <cellStyle name="Header2 2 2 5 3 3 8 4" xfId="34060"/>
    <cellStyle name="Header2 2 2 5 3 3 9" xfId="18540"/>
    <cellStyle name="Header2 2 2 5 3 3 9 2" xfId="30357"/>
    <cellStyle name="Header2 2 2 5 3 3 9 2 2" xfId="40356"/>
    <cellStyle name="Header2 2 2 5 3 3 9 3" xfId="26015"/>
    <cellStyle name="Header2 2 2 5 3 3 9 4" xfId="35205"/>
    <cellStyle name="Header2 2 2 5 3 4" xfId="7771"/>
    <cellStyle name="Header2 2 2 5 3 4 10" xfId="18929"/>
    <cellStyle name="Header2 2 2 5 3 4 10 2" xfId="30746"/>
    <cellStyle name="Header2 2 2 5 3 4 10 2 2" xfId="40745"/>
    <cellStyle name="Header2 2 2 5 3 4 10 3" xfId="26404"/>
    <cellStyle name="Header2 2 2 5 3 4 10 4" xfId="35594"/>
    <cellStyle name="Header2 2 2 5 3 4 11" xfId="18220"/>
    <cellStyle name="Header2 2 2 5 3 4 11 2" xfId="30037"/>
    <cellStyle name="Header2 2 2 5 3 4 11 2 2" xfId="40036"/>
    <cellStyle name="Header2 2 2 5 3 4 11 3" xfId="34885"/>
    <cellStyle name="Header2 2 2 5 3 4 12" xfId="23331"/>
    <cellStyle name="Header2 2 2 5 3 4 12 2" xfId="21946"/>
    <cellStyle name="Header2 2 2 5 3 4 13" xfId="22725"/>
    <cellStyle name="Header2 2 2 5 3 4 2" xfId="15578"/>
    <cellStyle name="Header2 2 2 5 3 4 2 2" xfId="19215"/>
    <cellStyle name="Header2 2 2 5 3 4 2 2 2" xfId="31032"/>
    <cellStyle name="Header2 2 2 5 3 4 2 2 2 2" xfId="41031"/>
    <cellStyle name="Header2 2 2 5 3 4 2 2 3" xfId="26690"/>
    <cellStyle name="Header2 2 2 5 3 4 2 2 4" xfId="35880"/>
    <cellStyle name="Header2 2 2 5 3 4 2 3" xfId="19821"/>
    <cellStyle name="Header2 2 2 5 3 4 2 3 2" xfId="31638"/>
    <cellStyle name="Header2 2 2 5 3 4 2 3 2 2" xfId="41637"/>
    <cellStyle name="Header2 2 2 5 3 4 2 3 3" xfId="27296"/>
    <cellStyle name="Header2 2 2 5 3 4 2 3 4" xfId="36486"/>
    <cellStyle name="Header2 2 2 5 3 4 2 4" xfId="18135"/>
    <cellStyle name="Header2 2 2 5 3 4 2 4 2" xfId="29952"/>
    <cellStyle name="Header2 2 2 5 3 4 2 4 2 2" xfId="39951"/>
    <cellStyle name="Header2 2 2 5 3 4 2 4 3" xfId="25710"/>
    <cellStyle name="Header2 2 2 5 3 4 2 4 4" xfId="34800"/>
    <cellStyle name="Header2 2 2 5 3 4 2 5" xfId="20630"/>
    <cellStyle name="Header2 2 2 5 3 4 2 5 2" xfId="32447"/>
    <cellStyle name="Header2 2 2 5 3 4 2 5 2 2" xfId="42446"/>
    <cellStyle name="Header2 2 2 5 3 4 2 5 3" xfId="37295"/>
    <cellStyle name="Header2 2 2 5 3 4 2 6" xfId="23456"/>
    <cellStyle name="Header2 2 2 5 3 4 2 6 2" xfId="21056"/>
    <cellStyle name="Header2 2 2 5 3 4 2 7" xfId="22874"/>
    <cellStyle name="Header2 2 2 5 3 4 2 7 2" xfId="21368"/>
    <cellStyle name="Header2 2 2 5 3 4 2 8" xfId="22362"/>
    <cellStyle name="Header2 2 2 5 3 4 3" xfId="16159"/>
    <cellStyle name="Header2 2 2 5 3 4 3 2" xfId="19536"/>
    <cellStyle name="Header2 2 2 5 3 4 3 2 2" xfId="31353"/>
    <cellStyle name="Header2 2 2 5 3 4 3 2 2 2" xfId="41352"/>
    <cellStyle name="Header2 2 2 5 3 4 3 2 3" xfId="27011"/>
    <cellStyle name="Header2 2 2 5 3 4 3 2 4" xfId="36201"/>
    <cellStyle name="Header2 2 2 5 3 4 3 3" xfId="20142"/>
    <cellStyle name="Header2 2 2 5 3 4 3 3 2" xfId="31959"/>
    <cellStyle name="Header2 2 2 5 3 4 3 3 2 2" xfId="41958"/>
    <cellStyle name="Header2 2 2 5 3 4 3 3 3" xfId="27617"/>
    <cellStyle name="Header2 2 2 5 3 4 3 3 4" xfId="36807"/>
    <cellStyle name="Header2 2 2 5 3 4 3 4" xfId="17881"/>
    <cellStyle name="Header2 2 2 5 3 4 3 4 2" xfId="29698"/>
    <cellStyle name="Header2 2 2 5 3 4 3 4 2 2" xfId="39697"/>
    <cellStyle name="Header2 2 2 5 3 4 3 4 3" xfId="25456"/>
    <cellStyle name="Header2 2 2 5 3 4 3 4 4" xfId="34546"/>
    <cellStyle name="Header2 2 2 5 3 4 3 5" xfId="20951"/>
    <cellStyle name="Header2 2 2 5 3 4 3 5 2" xfId="32768"/>
    <cellStyle name="Header2 2 2 5 3 4 3 5 2 2" xfId="42767"/>
    <cellStyle name="Header2 2 2 5 3 4 3 5 3" xfId="37616"/>
    <cellStyle name="Header2 2 2 5 3 4 3 6" xfId="27976"/>
    <cellStyle name="Header2 2 2 5 3 4 3 6 2" xfId="37975"/>
    <cellStyle name="Header2 2 2 5 3 4 3 7" xfId="21439"/>
    <cellStyle name="Header2 2 2 5 3 4 4" xfId="15865"/>
    <cellStyle name="Header2 2 2 5 3 4 4 2" xfId="27682"/>
    <cellStyle name="Header2 2 2 5 3 4 4 2 2" xfId="37681"/>
    <cellStyle name="Header2 2 2 5 3 4 4 3" xfId="23743"/>
    <cellStyle name="Header2 2 2 5 3 4 4 4" xfId="32833"/>
    <cellStyle name="Header2 2 2 5 3 4 5" xfId="16691"/>
    <cellStyle name="Header2 2 2 5 3 4 5 2" xfId="28508"/>
    <cellStyle name="Header2 2 2 5 3 4 5 2 2" xfId="38507"/>
    <cellStyle name="Header2 2 2 5 3 4 5 3" xfId="24266"/>
    <cellStyle name="Header2 2 2 5 3 4 5 4" xfId="33356"/>
    <cellStyle name="Header2 2 2 5 3 4 6" xfId="16429"/>
    <cellStyle name="Header2 2 2 5 3 4 6 2" xfId="28246"/>
    <cellStyle name="Header2 2 2 5 3 4 6 2 2" xfId="38245"/>
    <cellStyle name="Header2 2 2 5 3 4 6 3" xfId="24004"/>
    <cellStyle name="Header2 2 2 5 3 4 6 4" xfId="33094"/>
    <cellStyle name="Header2 2 2 5 3 4 7" xfId="17093"/>
    <cellStyle name="Header2 2 2 5 3 4 7 2" xfId="28910"/>
    <cellStyle name="Header2 2 2 5 3 4 7 2 2" xfId="38909"/>
    <cellStyle name="Header2 2 2 5 3 4 7 3" xfId="24668"/>
    <cellStyle name="Header2 2 2 5 3 4 7 4" xfId="33758"/>
    <cellStyle name="Header2 2 2 5 3 4 8" xfId="17396"/>
    <cellStyle name="Header2 2 2 5 3 4 8 2" xfId="29213"/>
    <cellStyle name="Header2 2 2 5 3 4 8 2 2" xfId="39212"/>
    <cellStyle name="Header2 2 2 5 3 4 8 3" xfId="24971"/>
    <cellStyle name="Header2 2 2 5 3 4 8 4" xfId="34061"/>
    <cellStyle name="Header2 2 2 5 3 4 9" xfId="18539"/>
    <cellStyle name="Header2 2 2 5 3 4 9 2" xfId="30356"/>
    <cellStyle name="Header2 2 2 5 3 4 9 2 2" xfId="40355"/>
    <cellStyle name="Header2 2 2 5 3 4 9 3" xfId="26014"/>
    <cellStyle name="Header2 2 2 5 3 4 9 4" xfId="35204"/>
    <cellStyle name="Header2 2 2 5 3 5" xfId="15575"/>
    <cellStyle name="Header2 2 2 5 3 5 2" xfId="19218"/>
    <cellStyle name="Header2 2 2 5 3 5 2 2" xfId="31035"/>
    <cellStyle name="Header2 2 2 5 3 5 2 2 2" xfId="41034"/>
    <cellStyle name="Header2 2 2 5 3 5 2 3" xfId="26693"/>
    <cellStyle name="Header2 2 2 5 3 5 2 4" xfId="35883"/>
    <cellStyle name="Header2 2 2 5 3 5 3" xfId="19824"/>
    <cellStyle name="Header2 2 2 5 3 5 3 2" xfId="31641"/>
    <cellStyle name="Header2 2 2 5 3 5 3 2 2" xfId="41640"/>
    <cellStyle name="Header2 2 2 5 3 5 3 3" xfId="27299"/>
    <cellStyle name="Header2 2 2 5 3 5 3 4" xfId="36489"/>
    <cellStyle name="Header2 2 2 5 3 5 4" xfId="17952"/>
    <cellStyle name="Header2 2 2 5 3 5 4 2" xfId="29769"/>
    <cellStyle name="Header2 2 2 5 3 5 4 2 2" xfId="39768"/>
    <cellStyle name="Header2 2 2 5 3 5 4 3" xfId="25527"/>
    <cellStyle name="Header2 2 2 5 3 5 4 4" xfId="34617"/>
    <cellStyle name="Header2 2 2 5 3 5 5" xfId="20633"/>
    <cellStyle name="Header2 2 2 5 3 5 5 2" xfId="32450"/>
    <cellStyle name="Header2 2 2 5 3 5 5 2 2" xfId="42449"/>
    <cellStyle name="Header2 2 2 5 3 5 5 3" xfId="37298"/>
    <cellStyle name="Header2 2 2 5 3 5 6" xfId="23453"/>
    <cellStyle name="Header2 2 2 5 3 5 6 2" xfId="21058"/>
    <cellStyle name="Header2 2 2 5 3 5 7" xfId="22876"/>
    <cellStyle name="Header2 2 2 5 3 5 7 2" xfId="21366"/>
    <cellStyle name="Header2 2 2 5 3 5 8" xfId="21608"/>
    <cellStyle name="Header2 2 2 5 3 6" xfId="16156"/>
    <cellStyle name="Header2 2 2 5 3 6 2" xfId="19501"/>
    <cellStyle name="Header2 2 2 5 3 6 2 2" xfId="31318"/>
    <cellStyle name="Header2 2 2 5 3 6 2 2 2" xfId="41317"/>
    <cellStyle name="Header2 2 2 5 3 6 2 3" xfId="26976"/>
    <cellStyle name="Header2 2 2 5 3 6 2 4" xfId="36166"/>
    <cellStyle name="Header2 2 2 5 3 6 3" xfId="20107"/>
    <cellStyle name="Header2 2 2 5 3 6 3 2" xfId="31924"/>
    <cellStyle name="Header2 2 2 5 3 6 3 2 2" xfId="41923"/>
    <cellStyle name="Header2 2 2 5 3 6 3 3" xfId="27582"/>
    <cellStyle name="Header2 2 2 5 3 6 3 4" xfId="36772"/>
    <cellStyle name="Header2 2 2 5 3 6 4" xfId="17889"/>
    <cellStyle name="Header2 2 2 5 3 6 4 2" xfId="29706"/>
    <cellStyle name="Header2 2 2 5 3 6 4 2 2" xfId="39705"/>
    <cellStyle name="Header2 2 2 5 3 6 4 3" xfId="25464"/>
    <cellStyle name="Header2 2 2 5 3 6 4 4" xfId="34554"/>
    <cellStyle name="Header2 2 2 5 3 6 5" xfId="20916"/>
    <cellStyle name="Header2 2 2 5 3 6 5 2" xfId="32733"/>
    <cellStyle name="Header2 2 2 5 3 6 5 2 2" xfId="42732"/>
    <cellStyle name="Header2 2 2 5 3 6 5 3" xfId="37581"/>
    <cellStyle name="Header2 2 2 5 3 6 6" xfId="27973"/>
    <cellStyle name="Header2 2 2 5 3 6 6 2" xfId="37972"/>
    <cellStyle name="Header2 2 2 5 3 6 7" xfId="21464"/>
    <cellStyle name="Header2 2 2 5 3 7" xfId="15852"/>
    <cellStyle name="Header2 2 2 5 3 7 2" xfId="27669"/>
    <cellStyle name="Header2 2 2 5 3 7 2 2" xfId="37668"/>
    <cellStyle name="Header2 2 2 5 3 7 3" xfId="23730"/>
    <cellStyle name="Header2 2 2 5 3 7 4" xfId="32820"/>
    <cellStyle name="Header2 2 2 5 3 8" xfId="16694"/>
    <cellStyle name="Header2 2 2 5 3 8 2" xfId="28511"/>
    <cellStyle name="Header2 2 2 5 3 8 2 2" xfId="38510"/>
    <cellStyle name="Header2 2 2 5 3 8 3" xfId="24269"/>
    <cellStyle name="Header2 2 2 5 3 8 4" xfId="33359"/>
    <cellStyle name="Header2 2 2 5 3 9" xfId="16977"/>
    <cellStyle name="Header2 2 2 5 3 9 2" xfId="28794"/>
    <cellStyle name="Header2 2 2 5 3 9 2 2" xfId="38793"/>
    <cellStyle name="Header2 2 2 5 3 9 3" xfId="24552"/>
    <cellStyle name="Header2 2 2 5 3 9 4" xfId="33642"/>
    <cellStyle name="Header2 2 2 5 4" xfId="7772"/>
    <cellStyle name="Header2 2 2 5 4 10" xfId="17857"/>
    <cellStyle name="Header2 2 2 5 4 10 2" xfId="29674"/>
    <cellStyle name="Header2 2 2 5 4 10 2 2" xfId="39673"/>
    <cellStyle name="Header2 2 2 5 4 10 3" xfId="25432"/>
    <cellStyle name="Header2 2 2 5 4 10 4" xfId="34522"/>
    <cellStyle name="Header2 2 2 5 4 11" xfId="18221"/>
    <cellStyle name="Header2 2 2 5 4 11 2" xfId="30038"/>
    <cellStyle name="Header2 2 2 5 4 11 2 2" xfId="40037"/>
    <cellStyle name="Header2 2 2 5 4 11 3" xfId="34886"/>
    <cellStyle name="Header2 2 2 5 4 12" xfId="23330"/>
    <cellStyle name="Header2 2 2 5 4 12 2" xfId="21145"/>
    <cellStyle name="Header2 2 2 5 4 13" xfId="22724"/>
    <cellStyle name="Header2 2 2 5 4 2" xfId="15579"/>
    <cellStyle name="Header2 2 2 5 4 2 2" xfId="19214"/>
    <cellStyle name="Header2 2 2 5 4 2 2 2" xfId="31031"/>
    <cellStyle name="Header2 2 2 5 4 2 2 2 2" xfId="41030"/>
    <cellStyle name="Header2 2 2 5 4 2 2 3" xfId="26689"/>
    <cellStyle name="Header2 2 2 5 4 2 2 4" xfId="35879"/>
    <cellStyle name="Header2 2 2 5 4 2 3" xfId="19820"/>
    <cellStyle name="Header2 2 2 5 4 2 3 2" xfId="31637"/>
    <cellStyle name="Header2 2 2 5 4 2 3 2 2" xfId="41636"/>
    <cellStyle name="Header2 2 2 5 4 2 3 3" xfId="27295"/>
    <cellStyle name="Header2 2 2 5 4 2 3 4" xfId="36485"/>
    <cellStyle name="Header2 2 2 5 4 2 4" xfId="17954"/>
    <cellStyle name="Header2 2 2 5 4 2 4 2" xfId="29771"/>
    <cellStyle name="Header2 2 2 5 4 2 4 2 2" xfId="39770"/>
    <cellStyle name="Header2 2 2 5 4 2 4 3" xfId="25529"/>
    <cellStyle name="Header2 2 2 5 4 2 4 4" xfId="34619"/>
    <cellStyle name="Header2 2 2 5 4 2 5" xfId="20629"/>
    <cellStyle name="Header2 2 2 5 4 2 5 2" xfId="32446"/>
    <cellStyle name="Header2 2 2 5 4 2 5 2 2" xfId="42445"/>
    <cellStyle name="Header2 2 2 5 4 2 5 3" xfId="37294"/>
    <cellStyle name="Header2 2 2 5 4 2 6" xfId="23457"/>
    <cellStyle name="Header2 2 2 5 4 2 6 2" xfId="21055"/>
    <cellStyle name="Header2 2 2 5 4 2 7" xfId="22873"/>
    <cellStyle name="Header2 2 2 5 4 2 7 2" xfId="22179"/>
    <cellStyle name="Header2 2 2 5 4 2 8" xfId="22363"/>
    <cellStyle name="Header2 2 2 5 4 3" xfId="16160"/>
    <cellStyle name="Header2 2 2 5 4 3 2" xfId="18956"/>
    <cellStyle name="Header2 2 2 5 4 3 2 2" xfId="30773"/>
    <cellStyle name="Header2 2 2 5 4 3 2 2 2" xfId="40772"/>
    <cellStyle name="Header2 2 2 5 4 3 2 3" xfId="26431"/>
    <cellStyle name="Header2 2 2 5 4 3 2 4" xfId="35621"/>
    <cellStyle name="Header2 2 2 5 4 3 3" xfId="19562"/>
    <cellStyle name="Header2 2 2 5 4 3 3 2" xfId="31379"/>
    <cellStyle name="Header2 2 2 5 4 3 3 2 2" xfId="41378"/>
    <cellStyle name="Header2 2 2 5 4 3 3 3" xfId="27037"/>
    <cellStyle name="Header2 2 2 5 4 3 3 4" xfId="36227"/>
    <cellStyle name="Header2 2 2 5 4 3 4" xfId="17740"/>
    <cellStyle name="Header2 2 2 5 4 3 4 2" xfId="29557"/>
    <cellStyle name="Header2 2 2 5 4 3 4 2 2" xfId="39556"/>
    <cellStyle name="Header2 2 2 5 4 3 4 3" xfId="25315"/>
    <cellStyle name="Header2 2 2 5 4 3 4 4" xfId="34405"/>
    <cellStyle name="Header2 2 2 5 4 3 5" xfId="20371"/>
    <cellStyle name="Header2 2 2 5 4 3 5 2" xfId="32188"/>
    <cellStyle name="Header2 2 2 5 4 3 5 2 2" xfId="42187"/>
    <cellStyle name="Header2 2 2 5 4 3 5 3" xfId="37036"/>
    <cellStyle name="Header2 2 2 5 4 3 6" xfId="27977"/>
    <cellStyle name="Header2 2 2 5 4 3 6 2" xfId="37976"/>
    <cellStyle name="Header2 2 2 5 4 3 7" xfId="21748"/>
    <cellStyle name="Header2 2 2 5 4 4" xfId="16417"/>
    <cellStyle name="Header2 2 2 5 4 4 2" xfId="28234"/>
    <cellStyle name="Header2 2 2 5 4 4 2 2" xfId="38233"/>
    <cellStyle name="Header2 2 2 5 4 4 3" xfId="23992"/>
    <cellStyle name="Header2 2 2 5 4 4 4" xfId="33082"/>
    <cellStyle name="Header2 2 2 5 4 5" xfId="16690"/>
    <cellStyle name="Header2 2 2 5 4 5 2" xfId="28507"/>
    <cellStyle name="Header2 2 2 5 4 5 2 2" xfId="38506"/>
    <cellStyle name="Header2 2 2 5 4 5 3" xfId="24265"/>
    <cellStyle name="Header2 2 2 5 4 5 4" xfId="33355"/>
    <cellStyle name="Header2 2 2 5 4 6" xfId="17015"/>
    <cellStyle name="Header2 2 2 5 4 6 2" xfId="28832"/>
    <cellStyle name="Header2 2 2 5 4 6 2 2" xfId="38831"/>
    <cellStyle name="Header2 2 2 5 4 6 3" xfId="24590"/>
    <cellStyle name="Header2 2 2 5 4 6 4" xfId="33680"/>
    <cellStyle name="Header2 2 2 5 4 7" xfId="17094"/>
    <cellStyle name="Header2 2 2 5 4 7 2" xfId="28911"/>
    <cellStyle name="Header2 2 2 5 4 7 2 2" xfId="38910"/>
    <cellStyle name="Header2 2 2 5 4 7 3" xfId="24669"/>
    <cellStyle name="Header2 2 2 5 4 7 4" xfId="33759"/>
    <cellStyle name="Header2 2 2 5 4 8" xfId="17397"/>
    <cellStyle name="Header2 2 2 5 4 8 2" xfId="29214"/>
    <cellStyle name="Header2 2 2 5 4 8 2 2" xfId="39213"/>
    <cellStyle name="Header2 2 2 5 4 8 3" xfId="24972"/>
    <cellStyle name="Header2 2 2 5 4 8 4" xfId="34062"/>
    <cellStyle name="Header2 2 2 5 4 9" xfId="18538"/>
    <cellStyle name="Header2 2 2 5 4 9 2" xfId="30355"/>
    <cellStyle name="Header2 2 2 5 4 9 2 2" xfId="40354"/>
    <cellStyle name="Header2 2 2 5 4 9 3" xfId="26013"/>
    <cellStyle name="Header2 2 2 5 4 9 4" xfId="35203"/>
    <cellStyle name="Header2 2 2 5 5" xfId="7773"/>
    <cellStyle name="Header2 2 2 5 5 10" xfId="18822"/>
    <cellStyle name="Header2 2 2 5 5 10 2" xfId="30639"/>
    <cellStyle name="Header2 2 2 5 5 10 2 2" xfId="40638"/>
    <cellStyle name="Header2 2 2 5 5 10 3" xfId="26297"/>
    <cellStyle name="Header2 2 2 5 5 10 4" xfId="35487"/>
    <cellStyle name="Header2 2 2 5 5 11" xfId="20238"/>
    <cellStyle name="Header2 2 2 5 5 11 2" xfId="32055"/>
    <cellStyle name="Header2 2 2 5 5 11 2 2" xfId="42054"/>
    <cellStyle name="Header2 2 2 5 5 11 3" xfId="36903"/>
    <cellStyle name="Header2 2 2 5 5 12" xfId="23329"/>
    <cellStyle name="Header2 2 2 5 5 12 2" xfId="21947"/>
    <cellStyle name="Header2 2 2 5 5 13" xfId="22723"/>
    <cellStyle name="Header2 2 2 5 5 2" xfId="15580"/>
    <cellStyle name="Header2 2 2 5 5 2 2" xfId="19213"/>
    <cellStyle name="Header2 2 2 5 5 2 2 2" xfId="31030"/>
    <cellStyle name="Header2 2 2 5 5 2 2 2 2" xfId="41029"/>
    <cellStyle name="Header2 2 2 5 5 2 2 3" xfId="26688"/>
    <cellStyle name="Header2 2 2 5 5 2 2 4" xfId="35878"/>
    <cellStyle name="Header2 2 2 5 5 2 3" xfId="19819"/>
    <cellStyle name="Header2 2 2 5 5 2 3 2" xfId="31636"/>
    <cellStyle name="Header2 2 2 5 5 2 3 2 2" xfId="41635"/>
    <cellStyle name="Header2 2 2 5 5 2 3 3" xfId="27294"/>
    <cellStyle name="Header2 2 2 5 5 2 3 4" xfId="36484"/>
    <cellStyle name="Header2 2 2 5 5 2 4" xfId="17955"/>
    <cellStyle name="Header2 2 2 5 5 2 4 2" xfId="29772"/>
    <cellStyle name="Header2 2 2 5 5 2 4 2 2" xfId="39771"/>
    <cellStyle name="Header2 2 2 5 5 2 4 3" xfId="25530"/>
    <cellStyle name="Header2 2 2 5 5 2 4 4" xfId="34620"/>
    <cellStyle name="Header2 2 2 5 5 2 5" xfId="20628"/>
    <cellStyle name="Header2 2 2 5 5 2 5 2" xfId="32445"/>
    <cellStyle name="Header2 2 2 5 5 2 5 2 2" xfId="42444"/>
    <cellStyle name="Header2 2 2 5 5 2 5 3" xfId="37293"/>
    <cellStyle name="Header2 2 2 5 5 2 6" xfId="23458"/>
    <cellStyle name="Header2 2 2 5 5 2 6 2" xfId="21909"/>
    <cellStyle name="Header2 2 2 5 5 2 7" xfId="23073"/>
    <cellStyle name="Header2 2 2 5 5 2 7 2" xfId="22058"/>
    <cellStyle name="Header2 2 2 5 5 2 8" xfId="22364"/>
    <cellStyle name="Header2 2 2 5 5 3" xfId="16161"/>
    <cellStyle name="Header2 2 2 5 5 3 2" xfId="19498"/>
    <cellStyle name="Header2 2 2 5 5 3 2 2" xfId="31315"/>
    <cellStyle name="Header2 2 2 5 5 3 2 2 2" xfId="41314"/>
    <cellStyle name="Header2 2 2 5 5 3 2 3" xfId="26973"/>
    <cellStyle name="Header2 2 2 5 5 3 2 4" xfId="36163"/>
    <cellStyle name="Header2 2 2 5 5 3 3" xfId="20104"/>
    <cellStyle name="Header2 2 2 5 5 3 3 2" xfId="31921"/>
    <cellStyle name="Header2 2 2 5 5 3 3 2 2" xfId="41920"/>
    <cellStyle name="Header2 2 2 5 5 3 3 3" xfId="27579"/>
    <cellStyle name="Header2 2 2 5 5 3 3 4" xfId="36769"/>
    <cellStyle name="Header2 2 2 5 5 3 4" xfId="17890"/>
    <cellStyle name="Header2 2 2 5 5 3 4 2" xfId="29707"/>
    <cellStyle name="Header2 2 2 5 5 3 4 2 2" xfId="39706"/>
    <cellStyle name="Header2 2 2 5 5 3 4 3" xfId="25465"/>
    <cellStyle name="Header2 2 2 5 5 3 4 4" xfId="34555"/>
    <cellStyle name="Header2 2 2 5 5 3 5" xfId="20913"/>
    <cellStyle name="Header2 2 2 5 5 3 5 2" xfId="32730"/>
    <cellStyle name="Header2 2 2 5 5 3 5 2 2" xfId="42729"/>
    <cellStyle name="Header2 2 2 5 5 3 5 3" xfId="37578"/>
    <cellStyle name="Header2 2 2 5 5 3 6" xfId="27978"/>
    <cellStyle name="Header2 2 2 5 5 3 6 2" xfId="37977"/>
    <cellStyle name="Header2 2 2 5 5 3 7" xfId="22224"/>
    <cellStyle name="Header2 2 2 5 5 4" xfId="15887"/>
    <cellStyle name="Header2 2 2 5 5 4 2" xfId="27704"/>
    <cellStyle name="Header2 2 2 5 5 4 2 2" xfId="37703"/>
    <cellStyle name="Header2 2 2 5 5 4 3" xfId="23765"/>
    <cellStyle name="Header2 2 2 5 5 4 4" xfId="32855"/>
    <cellStyle name="Header2 2 2 5 5 5" xfId="16689"/>
    <cellStyle name="Header2 2 2 5 5 5 2" xfId="28506"/>
    <cellStyle name="Header2 2 2 5 5 5 2 2" xfId="38505"/>
    <cellStyle name="Header2 2 2 5 5 5 3" xfId="24264"/>
    <cellStyle name="Header2 2 2 5 5 5 4" xfId="33354"/>
    <cellStyle name="Header2 2 2 5 5 6" xfId="16974"/>
    <cellStyle name="Header2 2 2 5 5 6 2" xfId="28791"/>
    <cellStyle name="Header2 2 2 5 5 6 2 2" xfId="38790"/>
    <cellStyle name="Header2 2 2 5 5 6 3" xfId="24549"/>
    <cellStyle name="Header2 2 2 5 5 6 4" xfId="33639"/>
    <cellStyle name="Header2 2 2 5 5 7" xfId="17095"/>
    <cellStyle name="Header2 2 2 5 5 7 2" xfId="28912"/>
    <cellStyle name="Header2 2 2 5 5 7 2 2" xfId="38911"/>
    <cellStyle name="Header2 2 2 5 5 7 3" xfId="24670"/>
    <cellStyle name="Header2 2 2 5 5 7 4" xfId="33760"/>
    <cellStyle name="Header2 2 2 5 5 8" xfId="17398"/>
    <cellStyle name="Header2 2 2 5 5 8 2" xfId="29215"/>
    <cellStyle name="Header2 2 2 5 5 8 2 2" xfId="39214"/>
    <cellStyle name="Header2 2 2 5 5 8 3" xfId="24973"/>
    <cellStyle name="Header2 2 2 5 5 8 4" xfId="34063"/>
    <cellStyle name="Header2 2 2 5 5 9" xfId="18537"/>
    <cellStyle name="Header2 2 2 5 5 9 2" xfId="30354"/>
    <cellStyle name="Header2 2 2 5 5 9 2 2" xfId="40353"/>
    <cellStyle name="Header2 2 2 5 5 9 3" xfId="26012"/>
    <cellStyle name="Header2 2 2 5 5 9 4" xfId="35202"/>
    <cellStyle name="Header2 2 2 5 6" xfId="7774"/>
    <cellStyle name="Header2 2 2 5 6 10" xfId="18928"/>
    <cellStyle name="Header2 2 2 5 6 10 2" xfId="30745"/>
    <cellStyle name="Header2 2 2 5 6 10 2 2" xfId="40744"/>
    <cellStyle name="Header2 2 2 5 6 10 3" xfId="26403"/>
    <cellStyle name="Header2 2 2 5 6 10 4" xfId="35593"/>
    <cellStyle name="Header2 2 2 5 6 11" xfId="20336"/>
    <cellStyle name="Header2 2 2 5 6 11 2" xfId="32153"/>
    <cellStyle name="Header2 2 2 5 6 11 2 2" xfId="42152"/>
    <cellStyle name="Header2 2 2 5 6 11 3" xfId="37001"/>
    <cellStyle name="Header2 2 2 5 6 12" xfId="23328"/>
    <cellStyle name="Header2 2 2 5 6 12 2" xfId="21948"/>
    <cellStyle name="Header2 2 2 5 6 13" xfId="22722"/>
    <cellStyle name="Header2 2 2 5 6 2" xfId="15581"/>
    <cellStyle name="Header2 2 2 5 6 2 2" xfId="19212"/>
    <cellStyle name="Header2 2 2 5 6 2 2 2" xfId="31029"/>
    <cellStyle name="Header2 2 2 5 6 2 2 2 2" xfId="41028"/>
    <cellStyle name="Header2 2 2 5 6 2 2 3" xfId="26687"/>
    <cellStyle name="Header2 2 2 5 6 2 2 4" xfId="35877"/>
    <cellStyle name="Header2 2 2 5 6 2 3" xfId="19818"/>
    <cellStyle name="Header2 2 2 5 6 2 3 2" xfId="31635"/>
    <cellStyle name="Header2 2 2 5 6 2 3 2 2" xfId="41634"/>
    <cellStyle name="Header2 2 2 5 6 2 3 3" xfId="27293"/>
    <cellStyle name="Header2 2 2 5 6 2 3 4" xfId="36483"/>
    <cellStyle name="Header2 2 2 5 6 2 4" xfId="17956"/>
    <cellStyle name="Header2 2 2 5 6 2 4 2" xfId="29773"/>
    <cellStyle name="Header2 2 2 5 6 2 4 2 2" xfId="39772"/>
    <cellStyle name="Header2 2 2 5 6 2 4 3" xfId="25531"/>
    <cellStyle name="Header2 2 2 5 6 2 4 4" xfId="34621"/>
    <cellStyle name="Header2 2 2 5 6 2 5" xfId="20627"/>
    <cellStyle name="Header2 2 2 5 6 2 5 2" xfId="32444"/>
    <cellStyle name="Header2 2 2 5 6 2 5 2 2" xfId="42443"/>
    <cellStyle name="Header2 2 2 5 6 2 5 3" xfId="37292"/>
    <cellStyle name="Header2 2 2 5 6 2 6" xfId="23459"/>
    <cellStyle name="Header2 2 2 5 6 2 6 2" xfId="21054"/>
    <cellStyle name="Header2 2 2 5 6 2 7" xfId="22872"/>
    <cellStyle name="Header2 2 2 5 6 2 7 2" xfId="21369"/>
    <cellStyle name="Header2 2 2 5 6 2 8" xfId="22365"/>
    <cellStyle name="Header2 2 2 5 6 3" xfId="16162"/>
    <cellStyle name="Header2 2 2 5 6 3 2" xfId="19535"/>
    <cellStyle name="Header2 2 2 5 6 3 2 2" xfId="31352"/>
    <cellStyle name="Header2 2 2 5 6 3 2 2 2" xfId="41351"/>
    <cellStyle name="Header2 2 2 5 6 3 2 3" xfId="27010"/>
    <cellStyle name="Header2 2 2 5 6 3 2 4" xfId="36200"/>
    <cellStyle name="Header2 2 2 5 6 3 3" xfId="20141"/>
    <cellStyle name="Header2 2 2 5 6 3 3 2" xfId="31958"/>
    <cellStyle name="Header2 2 2 5 6 3 3 2 2" xfId="41957"/>
    <cellStyle name="Header2 2 2 5 6 3 3 3" xfId="27616"/>
    <cellStyle name="Header2 2 2 5 6 3 3 4" xfId="36806"/>
    <cellStyle name="Header2 2 2 5 6 3 4" xfId="17748"/>
    <cellStyle name="Header2 2 2 5 6 3 4 2" xfId="29565"/>
    <cellStyle name="Header2 2 2 5 6 3 4 2 2" xfId="39564"/>
    <cellStyle name="Header2 2 2 5 6 3 4 3" xfId="25323"/>
    <cellStyle name="Header2 2 2 5 6 3 4 4" xfId="34413"/>
    <cellStyle name="Header2 2 2 5 6 3 5" xfId="20950"/>
    <cellStyle name="Header2 2 2 5 6 3 5 2" xfId="32767"/>
    <cellStyle name="Header2 2 2 5 6 3 5 2 2" xfId="42766"/>
    <cellStyle name="Header2 2 2 5 6 3 5 3" xfId="37615"/>
    <cellStyle name="Header2 2 2 5 6 3 6" xfId="27979"/>
    <cellStyle name="Header2 2 2 5 6 3 6 2" xfId="37978"/>
    <cellStyle name="Header2 2 2 5 6 3 7" xfId="22213"/>
    <cellStyle name="Header2 2 2 5 6 4" xfId="15830"/>
    <cellStyle name="Header2 2 2 5 6 4 2" xfId="27647"/>
    <cellStyle name="Header2 2 2 5 6 4 2 2" xfId="37646"/>
    <cellStyle name="Header2 2 2 5 6 4 3" xfId="23708"/>
    <cellStyle name="Header2 2 2 5 6 4 4" xfId="32798"/>
    <cellStyle name="Header2 2 2 5 6 5" xfId="16688"/>
    <cellStyle name="Header2 2 2 5 6 5 2" xfId="28505"/>
    <cellStyle name="Header2 2 2 5 6 5 2 2" xfId="38504"/>
    <cellStyle name="Header2 2 2 5 6 5 3" xfId="24263"/>
    <cellStyle name="Header2 2 2 5 6 5 4" xfId="33353"/>
    <cellStyle name="Header2 2 2 5 6 6" xfId="16428"/>
    <cellStyle name="Header2 2 2 5 6 6 2" xfId="28245"/>
    <cellStyle name="Header2 2 2 5 6 6 2 2" xfId="38244"/>
    <cellStyle name="Header2 2 2 5 6 6 3" xfId="24003"/>
    <cellStyle name="Header2 2 2 5 6 6 4" xfId="33093"/>
    <cellStyle name="Header2 2 2 5 6 7" xfId="17096"/>
    <cellStyle name="Header2 2 2 5 6 7 2" xfId="28913"/>
    <cellStyle name="Header2 2 2 5 6 7 2 2" xfId="38912"/>
    <cellStyle name="Header2 2 2 5 6 7 3" xfId="24671"/>
    <cellStyle name="Header2 2 2 5 6 7 4" xfId="33761"/>
    <cellStyle name="Header2 2 2 5 6 8" xfId="17399"/>
    <cellStyle name="Header2 2 2 5 6 8 2" xfId="29216"/>
    <cellStyle name="Header2 2 2 5 6 8 2 2" xfId="39215"/>
    <cellStyle name="Header2 2 2 5 6 8 3" xfId="24974"/>
    <cellStyle name="Header2 2 2 5 6 8 4" xfId="34064"/>
    <cellStyle name="Header2 2 2 5 6 9" xfId="18536"/>
    <cellStyle name="Header2 2 2 5 6 9 2" xfId="30353"/>
    <cellStyle name="Header2 2 2 5 6 9 2 2" xfId="40352"/>
    <cellStyle name="Header2 2 2 5 6 9 3" xfId="26011"/>
    <cellStyle name="Header2 2 2 5 6 9 4" xfId="35201"/>
    <cellStyle name="Header2 2 2 5 7" xfId="15570"/>
    <cellStyle name="Header2 2 2 5 7 2" xfId="19223"/>
    <cellStyle name="Header2 2 2 5 7 2 2" xfId="31040"/>
    <cellStyle name="Header2 2 2 5 7 2 2 2" xfId="41039"/>
    <cellStyle name="Header2 2 2 5 7 2 3" xfId="26698"/>
    <cellStyle name="Header2 2 2 5 7 2 4" xfId="35888"/>
    <cellStyle name="Header2 2 2 5 7 3" xfId="19829"/>
    <cellStyle name="Header2 2 2 5 7 3 2" xfId="31646"/>
    <cellStyle name="Header2 2 2 5 7 3 2 2" xfId="41645"/>
    <cellStyle name="Header2 2 2 5 7 3 3" xfId="27304"/>
    <cellStyle name="Header2 2 2 5 7 3 4" xfId="36494"/>
    <cellStyle name="Header2 2 2 5 7 4" xfId="18133"/>
    <cellStyle name="Header2 2 2 5 7 4 2" xfId="29950"/>
    <cellStyle name="Header2 2 2 5 7 4 2 2" xfId="39949"/>
    <cellStyle name="Header2 2 2 5 7 4 3" xfId="25708"/>
    <cellStyle name="Header2 2 2 5 7 4 4" xfId="34798"/>
    <cellStyle name="Header2 2 2 5 7 5" xfId="20638"/>
    <cellStyle name="Header2 2 2 5 7 5 2" xfId="32455"/>
    <cellStyle name="Header2 2 2 5 7 5 2 2" xfId="42454"/>
    <cellStyle name="Header2 2 2 5 7 5 3" xfId="37303"/>
    <cellStyle name="Header2 2 2 5 7 6" xfId="23448"/>
    <cellStyle name="Header2 2 2 5 7 6 2" xfId="21062"/>
    <cellStyle name="Header2 2 2 5 7 7" xfId="22880"/>
    <cellStyle name="Header2 2 2 5 7 7 2" xfId="21363"/>
    <cellStyle name="Header2 2 2 5 7 8" xfId="22359"/>
    <cellStyle name="Header2 2 2 5 8" xfId="16151"/>
    <cellStyle name="Header2 2 2 5 8 2" xfId="19505"/>
    <cellStyle name="Header2 2 2 5 8 2 2" xfId="31322"/>
    <cellStyle name="Header2 2 2 5 8 2 2 2" xfId="41321"/>
    <cellStyle name="Header2 2 2 5 8 2 3" xfId="26980"/>
    <cellStyle name="Header2 2 2 5 8 2 4" xfId="36170"/>
    <cellStyle name="Header2 2 2 5 8 3" xfId="20111"/>
    <cellStyle name="Header2 2 2 5 8 3 2" xfId="31928"/>
    <cellStyle name="Header2 2 2 5 8 3 2 2" xfId="41927"/>
    <cellStyle name="Header2 2 2 5 8 3 3" xfId="27586"/>
    <cellStyle name="Header2 2 2 5 8 3 4" xfId="36776"/>
    <cellStyle name="Header2 2 2 5 8 4" xfId="17754"/>
    <cellStyle name="Header2 2 2 5 8 4 2" xfId="29571"/>
    <cellStyle name="Header2 2 2 5 8 4 2 2" xfId="39570"/>
    <cellStyle name="Header2 2 2 5 8 4 3" xfId="25329"/>
    <cellStyle name="Header2 2 2 5 8 4 4" xfId="34419"/>
    <cellStyle name="Header2 2 2 5 8 5" xfId="20920"/>
    <cellStyle name="Header2 2 2 5 8 5 2" xfId="32737"/>
    <cellStyle name="Header2 2 2 5 8 5 2 2" xfId="42736"/>
    <cellStyle name="Header2 2 2 5 8 5 3" xfId="37585"/>
    <cellStyle name="Header2 2 2 5 8 6" xfId="27968"/>
    <cellStyle name="Header2 2 2 5 8 6 2" xfId="37967"/>
    <cellStyle name="Header2 2 2 5 8 7" xfId="21461"/>
    <cellStyle name="Header2 2 2 5 9" xfId="15881"/>
    <cellStyle name="Header2 2 2 5 9 2" xfId="27698"/>
    <cellStyle name="Header2 2 2 5 9 2 2" xfId="37697"/>
    <cellStyle name="Header2 2 2 5 9 3" xfId="23759"/>
    <cellStyle name="Header2 2 2 5 9 4" xfId="32849"/>
    <cellStyle name="Header2 2 2 6" xfId="7775"/>
    <cellStyle name="Header2 2 2 6 10" xfId="17097"/>
    <cellStyle name="Header2 2 2 6 10 2" xfId="28914"/>
    <cellStyle name="Header2 2 2 6 10 2 2" xfId="38913"/>
    <cellStyle name="Header2 2 2 6 10 3" xfId="24672"/>
    <cellStyle name="Header2 2 2 6 10 4" xfId="33762"/>
    <cellStyle name="Header2 2 2 6 11" xfId="17400"/>
    <cellStyle name="Header2 2 2 6 11 2" xfId="29217"/>
    <cellStyle name="Header2 2 2 6 11 2 2" xfId="39216"/>
    <cellStyle name="Header2 2 2 6 11 3" xfId="24975"/>
    <cellStyle name="Header2 2 2 6 11 4" xfId="34065"/>
    <cellStyle name="Header2 2 2 6 12" xfId="18535"/>
    <cellStyle name="Header2 2 2 6 12 2" xfId="30352"/>
    <cellStyle name="Header2 2 2 6 12 2 2" xfId="40351"/>
    <cellStyle name="Header2 2 2 6 12 3" xfId="26010"/>
    <cellStyle name="Header2 2 2 6 12 4" xfId="35200"/>
    <cellStyle name="Header2 2 2 6 13" xfId="18821"/>
    <cellStyle name="Header2 2 2 6 13 2" xfId="30638"/>
    <cellStyle name="Header2 2 2 6 13 2 2" xfId="40637"/>
    <cellStyle name="Header2 2 2 6 13 3" xfId="26296"/>
    <cellStyle name="Header2 2 2 6 13 4" xfId="35486"/>
    <cellStyle name="Header2 2 2 6 14" xfId="18222"/>
    <cellStyle name="Header2 2 2 6 14 2" xfId="30039"/>
    <cellStyle name="Header2 2 2 6 14 2 2" xfId="40038"/>
    <cellStyle name="Header2 2 2 6 14 3" xfId="34887"/>
    <cellStyle name="Header2 2 2 6 15" xfId="23327"/>
    <cellStyle name="Header2 2 2 6 15 2" xfId="21949"/>
    <cellStyle name="Header2 2 2 6 16" xfId="22721"/>
    <cellStyle name="Header2 2 2 6 2" xfId="7776"/>
    <cellStyle name="Header2 2 2 6 2 10" xfId="17856"/>
    <cellStyle name="Header2 2 2 6 2 10 2" xfId="29673"/>
    <cellStyle name="Header2 2 2 6 2 10 2 2" xfId="39672"/>
    <cellStyle name="Header2 2 2 6 2 10 3" xfId="25431"/>
    <cellStyle name="Header2 2 2 6 2 10 4" xfId="34521"/>
    <cellStyle name="Header2 2 2 6 2 11" xfId="20237"/>
    <cellStyle name="Header2 2 2 6 2 11 2" xfId="32054"/>
    <cellStyle name="Header2 2 2 6 2 11 2 2" xfId="42053"/>
    <cellStyle name="Header2 2 2 6 2 11 3" xfId="36902"/>
    <cellStyle name="Header2 2 2 6 2 12" xfId="23326"/>
    <cellStyle name="Header2 2 2 6 2 12 2" xfId="21146"/>
    <cellStyle name="Header2 2 2 6 2 13" xfId="22720"/>
    <cellStyle name="Header2 2 2 6 2 2" xfId="15583"/>
    <cellStyle name="Header2 2 2 6 2 2 2" xfId="19210"/>
    <cellStyle name="Header2 2 2 6 2 2 2 2" xfId="31027"/>
    <cellStyle name="Header2 2 2 6 2 2 2 2 2" xfId="41026"/>
    <cellStyle name="Header2 2 2 6 2 2 2 3" xfId="26685"/>
    <cellStyle name="Header2 2 2 6 2 2 2 4" xfId="35875"/>
    <cellStyle name="Header2 2 2 6 2 2 3" xfId="19816"/>
    <cellStyle name="Header2 2 2 6 2 2 3 2" xfId="31633"/>
    <cellStyle name="Header2 2 2 6 2 2 3 2 2" xfId="41632"/>
    <cellStyle name="Header2 2 2 6 2 2 3 3" xfId="27291"/>
    <cellStyle name="Header2 2 2 6 2 2 3 4" xfId="36481"/>
    <cellStyle name="Header2 2 2 6 2 2 4" xfId="17958"/>
    <cellStyle name="Header2 2 2 6 2 2 4 2" xfId="29775"/>
    <cellStyle name="Header2 2 2 6 2 2 4 2 2" xfId="39774"/>
    <cellStyle name="Header2 2 2 6 2 2 4 3" xfId="25533"/>
    <cellStyle name="Header2 2 2 6 2 2 4 4" xfId="34623"/>
    <cellStyle name="Header2 2 2 6 2 2 5" xfId="20625"/>
    <cellStyle name="Header2 2 2 6 2 2 5 2" xfId="32442"/>
    <cellStyle name="Header2 2 2 6 2 2 5 2 2" xfId="42441"/>
    <cellStyle name="Header2 2 2 6 2 2 5 3" xfId="37290"/>
    <cellStyle name="Header2 2 2 6 2 2 6" xfId="23461"/>
    <cellStyle name="Header2 2 2 6 2 2 6 2" xfId="21052"/>
    <cellStyle name="Header2 2 2 6 2 2 7" xfId="22870"/>
    <cellStyle name="Header2 2 2 6 2 2 7 2" xfId="21371"/>
    <cellStyle name="Header2 2 2 6 2 2 8" xfId="21610"/>
    <cellStyle name="Header2 2 2 6 2 3" xfId="16164"/>
    <cellStyle name="Header2 2 2 6 2 3 2" xfId="18955"/>
    <cellStyle name="Header2 2 2 6 2 3 2 2" xfId="30772"/>
    <cellStyle name="Header2 2 2 6 2 3 2 2 2" xfId="40771"/>
    <cellStyle name="Header2 2 2 6 2 3 2 3" xfId="26430"/>
    <cellStyle name="Header2 2 2 6 2 3 2 4" xfId="35620"/>
    <cellStyle name="Header2 2 2 6 2 3 3" xfId="19561"/>
    <cellStyle name="Header2 2 2 6 2 3 3 2" xfId="31378"/>
    <cellStyle name="Header2 2 2 6 2 3 3 2 2" xfId="41377"/>
    <cellStyle name="Header2 2 2 6 2 3 3 3" xfId="27036"/>
    <cellStyle name="Header2 2 2 6 2 3 3 4" xfId="36226"/>
    <cellStyle name="Header2 2 2 6 2 3 4" xfId="17844"/>
    <cellStyle name="Header2 2 2 6 2 3 4 2" xfId="29661"/>
    <cellStyle name="Header2 2 2 6 2 3 4 2 2" xfId="39660"/>
    <cellStyle name="Header2 2 2 6 2 3 4 3" xfId="25419"/>
    <cellStyle name="Header2 2 2 6 2 3 4 4" xfId="34509"/>
    <cellStyle name="Header2 2 2 6 2 3 5" xfId="20370"/>
    <cellStyle name="Header2 2 2 6 2 3 5 2" xfId="32187"/>
    <cellStyle name="Header2 2 2 6 2 3 5 2 2" xfId="42186"/>
    <cellStyle name="Header2 2 2 6 2 3 5 3" xfId="37035"/>
    <cellStyle name="Header2 2 2 6 2 3 6" xfId="27981"/>
    <cellStyle name="Header2 2 2 6 2 3 6 2" xfId="37980"/>
    <cellStyle name="Header2 2 2 6 2 3 7" xfId="21749"/>
    <cellStyle name="Header2 2 2 6 2 4" xfId="16418"/>
    <cellStyle name="Header2 2 2 6 2 4 2" xfId="28235"/>
    <cellStyle name="Header2 2 2 6 2 4 2 2" xfId="38234"/>
    <cellStyle name="Header2 2 2 6 2 4 3" xfId="23993"/>
    <cellStyle name="Header2 2 2 6 2 4 4" xfId="33083"/>
    <cellStyle name="Header2 2 2 6 2 5" xfId="16686"/>
    <cellStyle name="Header2 2 2 6 2 5 2" xfId="28503"/>
    <cellStyle name="Header2 2 2 6 2 5 2 2" xfId="38502"/>
    <cellStyle name="Header2 2 2 6 2 5 3" xfId="24261"/>
    <cellStyle name="Header2 2 2 6 2 5 4" xfId="33351"/>
    <cellStyle name="Header2 2 2 6 2 6" xfId="17014"/>
    <cellStyle name="Header2 2 2 6 2 6 2" xfId="28831"/>
    <cellStyle name="Header2 2 2 6 2 6 2 2" xfId="38830"/>
    <cellStyle name="Header2 2 2 6 2 6 3" xfId="24589"/>
    <cellStyle name="Header2 2 2 6 2 6 4" xfId="33679"/>
    <cellStyle name="Header2 2 2 6 2 7" xfId="17098"/>
    <cellStyle name="Header2 2 2 6 2 7 2" xfId="28915"/>
    <cellStyle name="Header2 2 2 6 2 7 2 2" xfId="38914"/>
    <cellStyle name="Header2 2 2 6 2 7 3" xfId="24673"/>
    <cellStyle name="Header2 2 2 6 2 7 4" xfId="33763"/>
    <cellStyle name="Header2 2 2 6 2 8" xfId="17401"/>
    <cellStyle name="Header2 2 2 6 2 8 2" xfId="29218"/>
    <cellStyle name="Header2 2 2 6 2 8 2 2" xfId="39217"/>
    <cellStyle name="Header2 2 2 6 2 8 3" xfId="24976"/>
    <cellStyle name="Header2 2 2 6 2 8 4" xfId="34066"/>
    <cellStyle name="Header2 2 2 6 2 9" xfId="18534"/>
    <cellStyle name="Header2 2 2 6 2 9 2" xfId="30351"/>
    <cellStyle name="Header2 2 2 6 2 9 2 2" xfId="40350"/>
    <cellStyle name="Header2 2 2 6 2 9 3" xfId="26009"/>
    <cellStyle name="Header2 2 2 6 2 9 4" xfId="35199"/>
    <cellStyle name="Header2 2 2 6 3" xfId="7777"/>
    <cellStyle name="Header2 2 2 6 3 10" xfId="17855"/>
    <cellStyle name="Header2 2 2 6 3 10 2" xfId="29672"/>
    <cellStyle name="Header2 2 2 6 3 10 2 2" xfId="39671"/>
    <cellStyle name="Header2 2 2 6 3 10 3" xfId="25430"/>
    <cellStyle name="Header2 2 2 6 3 10 4" xfId="34520"/>
    <cellStyle name="Header2 2 2 6 3 11" xfId="20335"/>
    <cellStyle name="Header2 2 2 6 3 11 2" xfId="32152"/>
    <cellStyle name="Header2 2 2 6 3 11 2 2" xfId="42151"/>
    <cellStyle name="Header2 2 2 6 3 11 3" xfId="37000"/>
    <cellStyle name="Header2 2 2 6 3 12" xfId="23325"/>
    <cellStyle name="Header2 2 2 6 3 12 2" xfId="21950"/>
    <cellStyle name="Header2 2 2 6 3 13" xfId="22719"/>
    <cellStyle name="Header2 2 2 6 3 2" xfId="15584"/>
    <cellStyle name="Header2 2 2 6 3 2 2" xfId="19209"/>
    <cellStyle name="Header2 2 2 6 3 2 2 2" xfId="31026"/>
    <cellStyle name="Header2 2 2 6 3 2 2 2 2" xfId="41025"/>
    <cellStyle name="Header2 2 2 6 3 2 2 3" xfId="26684"/>
    <cellStyle name="Header2 2 2 6 3 2 2 4" xfId="35874"/>
    <cellStyle name="Header2 2 2 6 3 2 3" xfId="19815"/>
    <cellStyle name="Header2 2 2 6 3 2 3 2" xfId="31632"/>
    <cellStyle name="Header2 2 2 6 3 2 3 2 2" xfId="41631"/>
    <cellStyle name="Header2 2 2 6 3 2 3 3" xfId="27290"/>
    <cellStyle name="Header2 2 2 6 3 2 3 4" xfId="36480"/>
    <cellStyle name="Header2 2 2 6 3 2 4" xfId="18136"/>
    <cellStyle name="Header2 2 2 6 3 2 4 2" xfId="29953"/>
    <cellStyle name="Header2 2 2 6 3 2 4 2 2" xfId="39952"/>
    <cellStyle name="Header2 2 2 6 3 2 4 3" xfId="25711"/>
    <cellStyle name="Header2 2 2 6 3 2 4 4" xfId="34801"/>
    <cellStyle name="Header2 2 2 6 3 2 5" xfId="20624"/>
    <cellStyle name="Header2 2 2 6 3 2 5 2" xfId="32441"/>
    <cellStyle name="Header2 2 2 6 3 2 5 2 2" xfId="42440"/>
    <cellStyle name="Header2 2 2 6 3 2 5 3" xfId="37289"/>
    <cellStyle name="Header2 2 2 6 3 2 6" xfId="23462"/>
    <cellStyle name="Header2 2 2 6 3 2 6 2" xfId="21908"/>
    <cellStyle name="Header2 2 2 6 3 2 7" xfId="23072"/>
    <cellStyle name="Header2 2 2 6 3 2 7 2" xfId="22059"/>
    <cellStyle name="Header2 2 2 6 3 2 8" xfId="22367"/>
    <cellStyle name="Header2 2 2 6 3 3" xfId="16165"/>
    <cellStyle name="Header2 2 2 6 3 3 2" xfId="18954"/>
    <cellStyle name="Header2 2 2 6 3 3 2 2" xfId="30771"/>
    <cellStyle name="Header2 2 2 6 3 3 2 2 2" xfId="40770"/>
    <cellStyle name="Header2 2 2 6 3 3 2 3" xfId="26429"/>
    <cellStyle name="Header2 2 2 6 3 3 2 4" xfId="35619"/>
    <cellStyle name="Header2 2 2 6 3 3 3" xfId="19560"/>
    <cellStyle name="Header2 2 2 6 3 3 3 2" xfId="31377"/>
    <cellStyle name="Header2 2 2 6 3 3 3 2 2" xfId="41376"/>
    <cellStyle name="Header2 2 2 6 3 3 3 3" xfId="27035"/>
    <cellStyle name="Header2 2 2 6 3 3 3 4" xfId="36225"/>
    <cellStyle name="Header2 2 2 6 3 3 4" xfId="18197"/>
    <cellStyle name="Header2 2 2 6 3 3 4 2" xfId="30014"/>
    <cellStyle name="Header2 2 2 6 3 3 4 2 2" xfId="40013"/>
    <cellStyle name="Header2 2 2 6 3 3 4 3" xfId="25772"/>
    <cellStyle name="Header2 2 2 6 3 3 4 4" xfId="34862"/>
    <cellStyle name="Header2 2 2 6 3 3 5" xfId="20369"/>
    <cellStyle name="Header2 2 2 6 3 3 5 2" xfId="32186"/>
    <cellStyle name="Header2 2 2 6 3 3 5 2 2" xfId="42185"/>
    <cellStyle name="Header2 2 2 6 3 3 5 3" xfId="37034"/>
    <cellStyle name="Header2 2 2 6 3 3 6" xfId="27982"/>
    <cellStyle name="Header2 2 2 6 3 3 6 2" xfId="37981"/>
    <cellStyle name="Header2 2 2 6 3 3 7" xfId="21750"/>
    <cellStyle name="Header2 2 2 6 3 4" xfId="16419"/>
    <cellStyle name="Header2 2 2 6 3 4 2" xfId="28236"/>
    <cellStyle name="Header2 2 2 6 3 4 2 2" xfId="38235"/>
    <cellStyle name="Header2 2 2 6 3 4 3" xfId="23994"/>
    <cellStyle name="Header2 2 2 6 3 4 4" xfId="33084"/>
    <cellStyle name="Header2 2 2 6 3 5" xfId="16685"/>
    <cellStyle name="Header2 2 2 6 3 5 2" xfId="28502"/>
    <cellStyle name="Header2 2 2 6 3 5 2 2" xfId="38501"/>
    <cellStyle name="Header2 2 2 6 3 5 3" xfId="24260"/>
    <cellStyle name="Header2 2 2 6 3 5 4" xfId="33350"/>
    <cellStyle name="Header2 2 2 6 3 6" xfId="16427"/>
    <cellStyle name="Header2 2 2 6 3 6 2" xfId="28244"/>
    <cellStyle name="Header2 2 2 6 3 6 2 2" xfId="38243"/>
    <cellStyle name="Header2 2 2 6 3 6 3" xfId="24002"/>
    <cellStyle name="Header2 2 2 6 3 6 4" xfId="33092"/>
    <cellStyle name="Header2 2 2 6 3 7" xfId="17099"/>
    <cellStyle name="Header2 2 2 6 3 7 2" xfId="28916"/>
    <cellStyle name="Header2 2 2 6 3 7 2 2" xfId="38915"/>
    <cellStyle name="Header2 2 2 6 3 7 3" xfId="24674"/>
    <cellStyle name="Header2 2 2 6 3 7 4" xfId="33764"/>
    <cellStyle name="Header2 2 2 6 3 8" xfId="17402"/>
    <cellStyle name="Header2 2 2 6 3 8 2" xfId="29219"/>
    <cellStyle name="Header2 2 2 6 3 8 2 2" xfId="39218"/>
    <cellStyle name="Header2 2 2 6 3 8 3" xfId="24977"/>
    <cellStyle name="Header2 2 2 6 3 8 4" xfId="34067"/>
    <cellStyle name="Header2 2 2 6 3 9" xfId="18533"/>
    <cellStyle name="Header2 2 2 6 3 9 2" xfId="30350"/>
    <cellStyle name="Header2 2 2 6 3 9 2 2" xfId="40349"/>
    <cellStyle name="Header2 2 2 6 3 9 3" xfId="26008"/>
    <cellStyle name="Header2 2 2 6 3 9 4" xfId="35198"/>
    <cellStyle name="Header2 2 2 6 4" xfId="7778"/>
    <cellStyle name="Header2 2 2 6 4 10" xfId="17854"/>
    <cellStyle name="Header2 2 2 6 4 10 2" xfId="29671"/>
    <cellStyle name="Header2 2 2 6 4 10 2 2" xfId="39670"/>
    <cellStyle name="Header2 2 2 6 4 10 3" xfId="25429"/>
    <cellStyle name="Header2 2 2 6 4 10 4" xfId="34519"/>
    <cellStyle name="Header2 2 2 6 4 11" xfId="18223"/>
    <cellStyle name="Header2 2 2 6 4 11 2" xfId="30040"/>
    <cellStyle name="Header2 2 2 6 4 11 2 2" xfId="40039"/>
    <cellStyle name="Header2 2 2 6 4 11 3" xfId="34888"/>
    <cellStyle name="Header2 2 2 6 4 12" xfId="23324"/>
    <cellStyle name="Header2 2 2 6 4 12 2" xfId="21951"/>
    <cellStyle name="Header2 2 2 6 4 13" xfId="22718"/>
    <cellStyle name="Header2 2 2 6 4 2" xfId="15585"/>
    <cellStyle name="Header2 2 2 6 4 2 2" xfId="19208"/>
    <cellStyle name="Header2 2 2 6 4 2 2 2" xfId="31025"/>
    <cellStyle name="Header2 2 2 6 4 2 2 2 2" xfId="41024"/>
    <cellStyle name="Header2 2 2 6 4 2 2 3" xfId="26683"/>
    <cellStyle name="Header2 2 2 6 4 2 2 4" xfId="35873"/>
    <cellStyle name="Header2 2 2 6 4 2 3" xfId="19814"/>
    <cellStyle name="Header2 2 2 6 4 2 3 2" xfId="31631"/>
    <cellStyle name="Header2 2 2 6 4 2 3 2 2" xfId="41630"/>
    <cellStyle name="Header2 2 2 6 4 2 3 3" xfId="27289"/>
    <cellStyle name="Header2 2 2 6 4 2 3 4" xfId="36479"/>
    <cellStyle name="Header2 2 2 6 4 2 4" xfId="17687"/>
    <cellStyle name="Header2 2 2 6 4 2 4 2" xfId="29504"/>
    <cellStyle name="Header2 2 2 6 4 2 4 2 2" xfId="39503"/>
    <cellStyle name="Header2 2 2 6 4 2 4 3" xfId="25262"/>
    <cellStyle name="Header2 2 2 6 4 2 4 4" xfId="34352"/>
    <cellStyle name="Header2 2 2 6 4 2 5" xfId="20623"/>
    <cellStyle name="Header2 2 2 6 4 2 5 2" xfId="32440"/>
    <cellStyle name="Header2 2 2 6 4 2 5 2 2" xfId="42439"/>
    <cellStyle name="Header2 2 2 6 4 2 5 3" xfId="37288"/>
    <cellStyle name="Header2 2 2 6 4 2 6" xfId="23463"/>
    <cellStyle name="Header2 2 2 6 4 2 6 2" xfId="21907"/>
    <cellStyle name="Header2 2 2 6 4 2 7" xfId="23071"/>
    <cellStyle name="Header2 2 2 6 4 2 7 2" xfId="22060"/>
    <cellStyle name="Header2 2 2 6 4 2 8" xfId="22368"/>
    <cellStyle name="Header2 2 2 6 4 3" xfId="16166"/>
    <cellStyle name="Header2 2 2 6 4 3 2" xfId="18953"/>
    <cellStyle name="Header2 2 2 6 4 3 2 2" xfId="30770"/>
    <cellStyle name="Header2 2 2 6 4 3 2 2 2" xfId="40769"/>
    <cellStyle name="Header2 2 2 6 4 3 2 3" xfId="26428"/>
    <cellStyle name="Header2 2 2 6 4 3 2 4" xfId="35618"/>
    <cellStyle name="Header2 2 2 6 4 3 3" xfId="19559"/>
    <cellStyle name="Header2 2 2 6 4 3 3 2" xfId="31376"/>
    <cellStyle name="Header2 2 2 6 4 3 3 2 2" xfId="41375"/>
    <cellStyle name="Header2 2 2 6 4 3 3 3" xfId="27034"/>
    <cellStyle name="Header2 2 2 6 4 3 3 4" xfId="36224"/>
    <cellStyle name="Header2 2 2 6 4 3 4" xfId="17845"/>
    <cellStyle name="Header2 2 2 6 4 3 4 2" xfId="29662"/>
    <cellStyle name="Header2 2 2 6 4 3 4 2 2" xfId="39661"/>
    <cellStyle name="Header2 2 2 6 4 3 4 3" xfId="25420"/>
    <cellStyle name="Header2 2 2 6 4 3 4 4" xfId="34510"/>
    <cellStyle name="Header2 2 2 6 4 3 5" xfId="20368"/>
    <cellStyle name="Header2 2 2 6 4 3 5 2" xfId="32185"/>
    <cellStyle name="Header2 2 2 6 4 3 5 2 2" xfId="42184"/>
    <cellStyle name="Header2 2 2 6 4 3 5 3" xfId="37033"/>
    <cellStyle name="Header2 2 2 6 4 3 6" xfId="27983"/>
    <cellStyle name="Header2 2 2 6 4 3 6 2" xfId="37982"/>
    <cellStyle name="Header2 2 2 6 4 3 7" xfId="22483"/>
    <cellStyle name="Header2 2 2 6 4 4" xfId="16420"/>
    <cellStyle name="Header2 2 2 6 4 4 2" xfId="28237"/>
    <cellStyle name="Header2 2 2 6 4 4 2 2" xfId="38236"/>
    <cellStyle name="Header2 2 2 6 4 4 3" xfId="23995"/>
    <cellStyle name="Header2 2 2 6 4 4 4" xfId="33085"/>
    <cellStyle name="Header2 2 2 6 4 5" xfId="16684"/>
    <cellStyle name="Header2 2 2 6 4 5 2" xfId="28501"/>
    <cellStyle name="Header2 2 2 6 4 5 2 2" xfId="38500"/>
    <cellStyle name="Header2 2 2 6 4 5 3" xfId="24259"/>
    <cellStyle name="Header2 2 2 6 4 5 4" xfId="33349"/>
    <cellStyle name="Header2 2 2 6 4 6" xfId="16426"/>
    <cellStyle name="Header2 2 2 6 4 6 2" xfId="28243"/>
    <cellStyle name="Header2 2 2 6 4 6 2 2" xfId="38242"/>
    <cellStyle name="Header2 2 2 6 4 6 3" xfId="24001"/>
    <cellStyle name="Header2 2 2 6 4 6 4" xfId="33091"/>
    <cellStyle name="Header2 2 2 6 4 7" xfId="17100"/>
    <cellStyle name="Header2 2 2 6 4 7 2" xfId="28917"/>
    <cellStyle name="Header2 2 2 6 4 7 2 2" xfId="38916"/>
    <cellStyle name="Header2 2 2 6 4 7 3" xfId="24675"/>
    <cellStyle name="Header2 2 2 6 4 7 4" xfId="33765"/>
    <cellStyle name="Header2 2 2 6 4 8" xfId="17403"/>
    <cellStyle name="Header2 2 2 6 4 8 2" xfId="29220"/>
    <cellStyle name="Header2 2 2 6 4 8 2 2" xfId="39219"/>
    <cellStyle name="Header2 2 2 6 4 8 3" xfId="24978"/>
    <cellStyle name="Header2 2 2 6 4 8 4" xfId="34068"/>
    <cellStyle name="Header2 2 2 6 4 9" xfId="18532"/>
    <cellStyle name="Header2 2 2 6 4 9 2" xfId="30349"/>
    <cellStyle name="Header2 2 2 6 4 9 2 2" xfId="40348"/>
    <cellStyle name="Header2 2 2 6 4 9 3" xfId="26007"/>
    <cellStyle name="Header2 2 2 6 4 9 4" xfId="35197"/>
    <cellStyle name="Header2 2 2 6 5" xfId="15582"/>
    <cellStyle name="Header2 2 2 6 5 2" xfId="19211"/>
    <cellStyle name="Header2 2 2 6 5 2 2" xfId="31028"/>
    <cellStyle name="Header2 2 2 6 5 2 2 2" xfId="41027"/>
    <cellStyle name="Header2 2 2 6 5 2 3" xfId="26686"/>
    <cellStyle name="Header2 2 2 6 5 2 4" xfId="35876"/>
    <cellStyle name="Header2 2 2 6 5 3" xfId="19817"/>
    <cellStyle name="Header2 2 2 6 5 3 2" xfId="31634"/>
    <cellStyle name="Header2 2 2 6 5 3 2 2" xfId="41633"/>
    <cellStyle name="Header2 2 2 6 5 3 3" xfId="27292"/>
    <cellStyle name="Header2 2 2 6 5 3 4" xfId="36482"/>
    <cellStyle name="Header2 2 2 6 5 4" xfId="17957"/>
    <cellStyle name="Header2 2 2 6 5 4 2" xfId="29774"/>
    <cellStyle name="Header2 2 2 6 5 4 2 2" xfId="39773"/>
    <cellStyle name="Header2 2 2 6 5 4 3" xfId="25532"/>
    <cellStyle name="Header2 2 2 6 5 4 4" xfId="34622"/>
    <cellStyle name="Header2 2 2 6 5 5" xfId="20626"/>
    <cellStyle name="Header2 2 2 6 5 5 2" xfId="32443"/>
    <cellStyle name="Header2 2 2 6 5 5 2 2" xfId="42442"/>
    <cellStyle name="Header2 2 2 6 5 5 3" xfId="37291"/>
    <cellStyle name="Header2 2 2 6 5 6" xfId="23460"/>
    <cellStyle name="Header2 2 2 6 5 6 2" xfId="21053"/>
    <cellStyle name="Header2 2 2 6 5 7" xfId="22871"/>
    <cellStyle name="Header2 2 2 6 5 7 2" xfId="21370"/>
    <cellStyle name="Header2 2 2 6 5 8" xfId="22366"/>
    <cellStyle name="Header2 2 2 6 6" xfId="16163"/>
    <cellStyle name="Header2 2 2 6 6 2" xfId="19497"/>
    <cellStyle name="Header2 2 2 6 6 2 2" xfId="31314"/>
    <cellStyle name="Header2 2 2 6 6 2 2 2" xfId="41313"/>
    <cellStyle name="Header2 2 2 6 6 2 3" xfId="26972"/>
    <cellStyle name="Header2 2 2 6 6 2 4" xfId="36162"/>
    <cellStyle name="Header2 2 2 6 6 3" xfId="20103"/>
    <cellStyle name="Header2 2 2 6 6 3 2" xfId="31920"/>
    <cellStyle name="Header2 2 2 6 6 3 2 2" xfId="41919"/>
    <cellStyle name="Header2 2 2 6 6 3 3" xfId="27578"/>
    <cellStyle name="Header2 2 2 6 6 3 4" xfId="36768"/>
    <cellStyle name="Header2 2 2 6 6 4" xfId="18049"/>
    <cellStyle name="Header2 2 2 6 6 4 2" xfId="29866"/>
    <cellStyle name="Header2 2 2 6 6 4 2 2" xfId="39865"/>
    <cellStyle name="Header2 2 2 6 6 4 3" xfId="25624"/>
    <cellStyle name="Header2 2 2 6 6 4 4" xfId="34714"/>
    <cellStyle name="Header2 2 2 6 6 5" xfId="20912"/>
    <cellStyle name="Header2 2 2 6 6 5 2" xfId="32729"/>
    <cellStyle name="Header2 2 2 6 6 5 2 2" xfId="42728"/>
    <cellStyle name="Header2 2 2 6 6 5 3" xfId="37577"/>
    <cellStyle name="Header2 2 2 6 6 6" xfId="27980"/>
    <cellStyle name="Header2 2 2 6 6 6 2" xfId="37979"/>
    <cellStyle name="Header2 2 2 6 6 7" xfId="22225"/>
    <cellStyle name="Header2 2 2 6 7" xfId="15888"/>
    <cellStyle name="Header2 2 2 6 7 2" xfId="27705"/>
    <cellStyle name="Header2 2 2 6 7 2 2" xfId="37704"/>
    <cellStyle name="Header2 2 2 6 7 3" xfId="23766"/>
    <cellStyle name="Header2 2 2 6 7 4" xfId="32856"/>
    <cellStyle name="Header2 2 2 6 8" xfId="16687"/>
    <cellStyle name="Header2 2 2 6 8 2" xfId="28504"/>
    <cellStyle name="Header2 2 2 6 8 2 2" xfId="38503"/>
    <cellStyle name="Header2 2 2 6 8 3" xfId="24262"/>
    <cellStyle name="Header2 2 2 6 8 4" xfId="33352"/>
    <cellStyle name="Header2 2 2 6 9" xfId="16973"/>
    <cellStyle name="Header2 2 2 6 9 2" xfId="28790"/>
    <cellStyle name="Header2 2 2 6 9 2 2" xfId="38789"/>
    <cellStyle name="Header2 2 2 6 9 3" xfId="24548"/>
    <cellStyle name="Header2 2 2 6 9 4" xfId="33638"/>
    <cellStyle name="Header2 2 2 7" xfId="7779"/>
    <cellStyle name="Header2 2 2 7 10" xfId="17101"/>
    <cellStyle name="Header2 2 2 7 10 2" xfId="28918"/>
    <cellStyle name="Header2 2 2 7 10 2 2" xfId="38917"/>
    <cellStyle name="Header2 2 2 7 10 3" xfId="24676"/>
    <cellStyle name="Header2 2 2 7 10 4" xfId="33766"/>
    <cellStyle name="Header2 2 2 7 11" xfId="17404"/>
    <cellStyle name="Header2 2 2 7 11 2" xfId="29221"/>
    <cellStyle name="Header2 2 2 7 11 2 2" xfId="39220"/>
    <cellStyle name="Header2 2 2 7 11 3" xfId="24979"/>
    <cellStyle name="Header2 2 2 7 11 4" xfId="34069"/>
    <cellStyle name="Header2 2 2 7 12" xfId="18531"/>
    <cellStyle name="Header2 2 2 7 12 2" xfId="30348"/>
    <cellStyle name="Header2 2 2 7 12 2 2" xfId="40347"/>
    <cellStyle name="Header2 2 2 7 12 3" xfId="26006"/>
    <cellStyle name="Header2 2 2 7 12 4" xfId="35196"/>
    <cellStyle name="Header2 2 2 7 13" xfId="18820"/>
    <cellStyle name="Header2 2 2 7 13 2" xfId="30637"/>
    <cellStyle name="Header2 2 2 7 13 2 2" xfId="40636"/>
    <cellStyle name="Header2 2 2 7 13 3" xfId="26295"/>
    <cellStyle name="Header2 2 2 7 13 4" xfId="35485"/>
    <cellStyle name="Header2 2 2 7 14" xfId="20236"/>
    <cellStyle name="Header2 2 2 7 14 2" xfId="32053"/>
    <cellStyle name="Header2 2 2 7 14 2 2" xfId="42052"/>
    <cellStyle name="Header2 2 2 7 14 3" xfId="36901"/>
    <cellStyle name="Header2 2 2 7 15" xfId="23323"/>
    <cellStyle name="Header2 2 2 7 15 2" xfId="21952"/>
    <cellStyle name="Header2 2 2 7 16" xfId="22717"/>
    <cellStyle name="Header2 2 2 7 2" xfId="7780"/>
    <cellStyle name="Header2 2 2 7 2 10" xfId="18927"/>
    <cellStyle name="Header2 2 2 7 2 10 2" xfId="30744"/>
    <cellStyle name="Header2 2 2 7 2 10 2 2" xfId="40743"/>
    <cellStyle name="Header2 2 2 7 2 10 3" xfId="26402"/>
    <cellStyle name="Header2 2 2 7 2 10 4" xfId="35592"/>
    <cellStyle name="Header2 2 2 7 2 11" xfId="20334"/>
    <cellStyle name="Header2 2 2 7 2 11 2" xfId="32151"/>
    <cellStyle name="Header2 2 2 7 2 11 2 2" xfId="42150"/>
    <cellStyle name="Header2 2 2 7 2 11 3" xfId="36999"/>
    <cellStyle name="Header2 2 2 7 2 12" xfId="23322"/>
    <cellStyle name="Header2 2 2 7 2 12 2" xfId="21953"/>
    <cellStyle name="Header2 2 2 7 2 13" xfId="22716"/>
    <cellStyle name="Header2 2 2 7 2 2" xfId="15587"/>
    <cellStyle name="Header2 2 2 7 2 2 2" xfId="19206"/>
    <cellStyle name="Header2 2 2 7 2 2 2 2" xfId="31023"/>
    <cellStyle name="Header2 2 2 7 2 2 2 2 2" xfId="41022"/>
    <cellStyle name="Header2 2 2 7 2 2 2 3" xfId="26681"/>
    <cellStyle name="Header2 2 2 7 2 2 2 4" xfId="35871"/>
    <cellStyle name="Header2 2 2 7 2 2 3" xfId="19812"/>
    <cellStyle name="Header2 2 2 7 2 2 3 2" xfId="31629"/>
    <cellStyle name="Header2 2 2 7 2 2 3 2 2" xfId="41628"/>
    <cellStyle name="Header2 2 2 7 2 2 3 3" xfId="27287"/>
    <cellStyle name="Header2 2 2 7 2 2 3 4" xfId="36477"/>
    <cellStyle name="Header2 2 2 7 2 2 4" xfId="17959"/>
    <cellStyle name="Header2 2 2 7 2 2 4 2" xfId="29776"/>
    <cellStyle name="Header2 2 2 7 2 2 4 2 2" xfId="39775"/>
    <cellStyle name="Header2 2 2 7 2 2 4 3" xfId="25534"/>
    <cellStyle name="Header2 2 2 7 2 2 4 4" xfId="34624"/>
    <cellStyle name="Header2 2 2 7 2 2 5" xfId="20621"/>
    <cellStyle name="Header2 2 2 7 2 2 5 2" xfId="32438"/>
    <cellStyle name="Header2 2 2 7 2 2 5 2 2" xfId="42437"/>
    <cellStyle name="Header2 2 2 7 2 2 5 3" xfId="37286"/>
    <cellStyle name="Header2 2 2 7 2 2 6" xfId="23465"/>
    <cellStyle name="Header2 2 2 7 2 2 6 2" xfId="21905"/>
    <cellStyle name="Header2 2 2 7 2 2 7" xfId="23069"/>
    <cellStyle name="Header2 2 2 7 2 2 7 2" xfId="21290"/>
    <cellStyle name="Header2 2 2 7 2 2 8" xfId="22370"/>
    <cellStyle name="Header2 2 2 7 2 3" xfId="16168"/>
    <cellStyle name="Header2 2 2 7 2 3 2" xfId="19534"/>
    <cellStyle name="Header2 2 2 7 2 3 2 2" xfId="31351"/>
    <cellStyle name="Header2 2 2 7 2 3 2 2 2" xfId="41350"/>
    <cellStyle name="Header2 2 2 7 2 3 2 3" xfId="27009"/>
    <cellStyle name="Header2 2 2 7 2 3 2 4" xfId="36199"/>
    <cellStyle name="Header2 2 2 7 2 3 3" xfId="20140"/>
    <cellStyle name="Header2 2 2 7 2 3 3 2" xfId="31957"/>
    <cellStyle name="Header2 2 2 7 2 3 3 2 2" xfId="41956"/>
    <cellStyle name="Header2 2 2 7 2 3 3 3" xfId="27615"/>
    <cellStyle name="Header2 2 2 7 2 3 3 4" xfId="36805"/>
    <cellStyle name="Header2 2 2 7 2 3 4" xfId="18035"/>
    <cellStyle name="Header2 2 2 7 2 3 4 2" xfId="29852"/>
    <cellStyle name="Header2 2 2 7 2 3 4 2 2" xfId="39851"/>
    <cellStyle name="Header2 2 2 7 2 3 4 3" xfId="25610"/>
    <cellStyle name="Header2 2 2 7 2 3 4 4" xfId="34700"/>
    <cellStyle name="Header2 2 2 7 2 3 5" xfId="20949"/>
    <cellStyle name="Header2 2 2 7 2 3 5 2" xfId="32766"/>
    <cellStyle name="Header2 2 2 7 2 3 5 2 2" xfId="42765"/>
    <cellStyle name="Header2 2 2 7 2 3 5 3" xfId="37614"/>
    <cellStyle name="Header2 2 2 7 2 3 6" xfId="27985"/>
    <cellStyle name="Header2 2 2 7 2 3 6 2" xfId="37984"/>
    <cellStyle name="Header2 2 2 7 2 3 7" xfId="22214"/>
    <cellStyle name="Header2 2 2 7 2 4" xfId="15866"/>
    <cellStyle name="Header2 2 2 7 2 4 2" xfId="27683"/>
    <cellStyle name="Header2 2 2 7 2 4 2 2" xfId="37682"/>
    <cellStyle name="Header2 2 2 7 2 4 3" xfId="23744"/>
    <cellStyle name="Header2 2 2 7 2 4 4" xfId="32834"/>
    <cellStyle name="Header2 2 2 7 2 5" xfId="16682"/>
    <cellStyle name="Header2 2 2 7 2 5 2" xfId="28499"/>
    <cellStyle name="Header2 2 2 7 2 5 2 2" xfId="38498"/>
    <cellStyle name="Header2 2 2 7 2 5 3" xfId="24257"/>
    <cellStyle name="Header2 2 2 7 2 5 4" xfId="33347"/>
    <cellStyle name="Header2 2 2 7 2 6" xfId="16425"/>
    <cellStyle name="Header2 2 2 7 2 6 2" xfId="28242"/>
    <cellStyle name="Header2 2 2 7 2 6 2 2" xfId="38241"/>
    <cellStyle name="Header2 2 2 7 2 6 3" xfId="24000"/>
    <cellStyle name="Header2 2 2 7 2 6 4" xfId="33090"/>
    <cellStyle name="Header2 2 2 7 2 7" xfId="17102"/>
    <cellStyle name="Header2 2 2 7 2 7 2" xfId="28919"/>
    <cellStyle name="Header2 2 2 7 2 7 2 2" xfId="38918"/>
    <cellStyle name="Header2 2 2 7 2 7 3" xfId="24677"/>
    <cellStyle name="Header2 2 2 7 2 7 4" xfId="33767"/>
    <cellStyle name="Header2 2 2 7 2 8" xfId="17405"/>
    <cellStyle name="Header2 2 2 7 2 8 2" xfId="29222"/>
    <cellStyle name="Header2 2 2 7 2 8 2 2" xfId="39221"/>
    <cellStyle name="Header2 2 2 7 2 8 3" xfId="24980"/>
    <cellStyle name="Header2 2 2 7 2 8 4" xfId="34070"/>
    <cellStyle name="Header2 2 2 7 2 9" xfId="18530"/>
    <cellStyle name="Header2 2 2 7 2 9 2" xfId="30347"/>
    <cellStyle name="Header2 2 2 7 2 9 2 2" xfId="40346"/>
    <cellStyle name="Header2 2 2 7 2 9 3" xfId="26005"/>
    <cellStyle name="Header2 2 2 7 2 9 4" xfId="35195"/>
    <cellStyle name="Header2 2 2 7 3" xfId="7781"/>
    <cellStyle name="Header2 2 2 7 3 10" xfId="18819"/>
    <cellStyle name="Header2 2 2 7 3 10 2" xfId="30636"/>
    <cellStyle name="Header2 2 2 7 3 10 2 2" xfId="40635"/>
    <cellStyle name="Header2 2 2 7 3 10 3" xfId="26294"/>
    <cellStyle name="Header2 2 2 7 3 10 4" xfId="35484"/>
    <cellStyle name="Header2 2 2 7 3 11" xfId="20239"/>
    <cellStyle name="Header2 2 2 7 3 11 2" xfId="32056"/>
    <cellStyle name="Header2 2 2 7 3 11 2 2" xfId="42055"/>
    <cellStyle name="Header2 2 2 7 3 11 3" xfId="36904"/>
    <cellStyle name="Header2 2 2 7 3 12" xfId="23321"/>
    <cellStyle name="Header2 2 2 7 3 12 2" xfId="21954"/>
    <cellStyle name="Header2 2 2 7 3 13" xfId="22715"/>
    <cellStyle name="Header2 2 2 7 3 2" xfId="15588"/>
    <cellStyle name="Header2 2 2 7 3 2 2" xfId="19205"/>
    <cellStyle name="Header2 2 2 7 3 2 2 2" xfId="31022"/>
    <cellStyle name="Header2 2 2 7 3 2 2 2 2" xfId="41021"/>
    <cellStyle name="Header2 2 2 7 3 2 2 3" xfId="26680"/>
    <cellStyle name="Header2 2 2 7 3 2 2 4" xfId="35870"/>
    <cellStyle name="Header2 2 2 7 3 2 3" xfId="19811"/>
    <cellStyle name="Header2 2 2 7 3 2 3 2" xfId="31628"/>
    <cellStyle name="Header2 2 2 7 3 2 3 2 2" xfId="41627"/>
    <cellStyle name="Header2 2 2 7 3 2 3 3" xfId="27286"/>
    <cellStyle name="Header2 2 2 7 3 2 3 4" xfId="36476"/>
    <cellStyle name="Header2 2 2 7 3 2 4" xfId="17689"/>
    <cellStyle name="Header2 2 2 7 3 2 4 2" xfId="29506"/>
    <cellStyle name="Header2 2 2 7 3 2 4 2 2" xfId="39505"/>
    <cellStyle name="Header2 2 2 7 3 2 4 3" xfId="25264"/>
    <cellStyle name="Header2 2 2 7 3 2 4 4" xfId="34354"/>
    <cellStyle name="Header2 2 2 7 3 2 5" xfId="20620"/>
    <cellStyle name="Header2 2 2 7 3 2 5 2" xfId="32437"/>
    <cellStyle name="Header2 2 2 7 3 2 5 2 2" xfId="42436"/>
    <cellStyle name="Header2 2 2 7 3 2 5 3" xfId="37285"/>
    <cellStyle name="Header2 2 2 7 3 2 6" xfId="23466"/>
    <cellStyle name="Header2 2 2 7 3 2 6 2" xfId="21904"/>
    <cellStyle name="Header2 2 2 7 3 2 7" xfId="23068"/>
    <cellStyle name="Header2 2 2 7 3 2 7 2" xfId="22062"/>
    <cellStyle name="Header2 2 2 7 3 2 8" xfId="22371"/>
    <cellStyle name="Header2 2 2 7 3 3" xfId="16169"/>
    <cellStyle name="Header2 2 2 7 3 3 2" xfId="19495"/>
    <cellStyle name="Header2 2 2 7 3 3 2 2" xfId="31312"/>
    <cellStyle name="Header2 2 2 7 3 3 2 2 2" xfId="41311"/>
    <cellStyle name="Header2 2 2 7 3 3 2 3" xfId="26970"/>
    <cellStyle name="Header2 2 2 7 3 3 2 4" xfId="36160"/>
    <cellStyle name="Header2 2 2 7 3 3 3" xfId="20101"/>
    <cellStyle name="Header2 2 2 7 3 3 3 2" xfId="31918"/>
    <cellStyle name="Header2 2 2 7 3 3 3 2 2" xfId="41917"/>
    <cellStyle name="Header2 2 2 7 3 3 3 3" xfId="27576"/>
    <cellStyle name="Header2 2 2 7 3 3 3 4" xfId="36766"/>
    <cellStyle name="Header2 2 2 7 3 3 4" xfId="17646"/>
    <cellStyle name="Header2 2 2 7 3 3 4 2" xfId="29463"/>
    <cellStyle name="Header2 2 2 7 3 3 4 2 2" xfId="39462"/>
    <cellStyle name="Header2 2 2 7 3 3 4 3" xfId="25221"/>
    <cellStyle name="Header2 2 2 7 3 3 4 4" xfId="34311"/>
    <cellStyle name="Header2 2 2 7 3 3 5" xfId="20910"/>
    <cellStyle name="Header2 2 2 7 3 3 5 2" xfId="32727"/>
    <cellStyle name="Header2 2 2 7 3 3 5 2 2" xfId="42726"/>
    <cellStyle name="Header2 2 2 7 3 3 5 3" xfId="37575"/>
    <cellStyle name="Header2 2 2 7 3 3 6" xfId="27986"/>
    <cellStyle name="Header2 2 2 7 3 3 6 2" xfId="37985"/>
    <cellStyle name="Header2 2 2 7 3 3 7" xfId="21466"/>
    <cellStyle name="Header2 2 2 7 3 4" xfId="15890"/>
    <cellStyle name="Header2 2 2 7 3 4 2" xfId="27707"/>
    <cellStyle name="Header2 2 2 7 3 4 2 2" xfId="37706"/>
    <cellStyle name="Header2 2 2 7 3 4 3" xfId="23768"/>
    <cellStyle name="Header2 2 2 7 3 4 4" xfId="32858"/>
    <cellStyle name="Header2 2 2 7 3 5" xfId="16681"/>
    <cellStyle name="Header2 2 2 7 3 5 2" xfId="28498"/>
    <cellStyle name="Header2 2 2 7 3 5 2 2" xfId="38497"/>
    <cellStyle name="Header2 2 2 7 3 5 3" xfId="24256"/>
    <cellStyle name="Header2 2 2 7 3 5 4" xfId="33346"/>
    <cellStyle name="Header2 2 2 7 3 6" xfId="16971"/>
    <cellStyle name="Header2 2 2 7 3 6 2" xfId="28788"/>
    <cellStyle name="Header2 2 2 7 3 6 2 2" xfId="38787"/>
    <cellStyle name="Header2 2 2 7 3 6 3" xfId="24546"/>
    <cellStyle name="Header2 2 2 7 3 6 4" xfId="33636"/>
    <cellStyle name="Header2 2 2 7 3 7" xfId="17103"/>
    <cellStyle name="Header2 2 2 7 3 7 2" xfId="28920"/>
    <cellStyle name="Header2 2 2 7 3 7 2 2" xfId="38919"/>
    <cellStyle name="Header2 2 2 7 3 7 3" xfId="24678"/>
    <cellStyle name="Header2 2 2 7 3 7 4" xfId="33768"/>
    <cellStyle name="Header2 2 2 7 3 8" xfId="17406"/>
    <cellStyle name="Header2 2 2 7 3 8 2" xfId="29223"/>
    <cellStyle name="Header2 2 2 7 3 8 2 2" xfId="39222"/>
    <cellStyle name="Header2 2 2 7 3 8 3" xfId="24981"/>
    <cellStyle name="Header2 2 2 7 3 8 4" xfId="34071"/>
    <cellStyle name="Header2 2 2 7 3 9" xfId="18529"/>
    <cellStyle name="Header2 2 2 7 3 9 2" xfId="30346"/>
    <cellStyle name="Header2 2 2 7 3 9 2 2" xfId="40345"/>
    <cellStyle name="Header2 2 2 7 3 9 3" xfId="26004"/>
    <cellStyle name="Header2 2 2 7 3 9 4" xfId="35194"/>
    <cellStyle name="Header2 2 2 7 4" xfId="7782"/>
    <cellStyle name="Header2 2 2 7 4 10" xfId="17853"/>
    <cellStyle name="Header2 2 2 7 4 10 2" xfId="29670"/>
    <cellStyle name="Header2 2 2 7 4 10 2 2" xfId="39669"/>
    <cellStyle name="Header2 2 2 7 4 10 3" xfId="25428"/>
    <cellStyle name="Header2 2 2 7 4 10 4" xfId="34518"/>
    <cellStyle name="Header2 2 2 7 4 11" xfId="20337"/>
    <cellStyle name="Header2 2 2 7 4 11 2" xfId="32154"/>
    <cellStyle name="Header2 2 2 7 4 11 2 2" xfId="42153"/>
    <cellStyle name="Header2 2 2 7 4 11 3" xfId="37002"/>
    <cellStyle name="Header2 2 2 7 4 12" xfId="23320"/>
    <cellStyle name="Header2 2 2 7 4 12 2" xfId="21147"/>
    <cellStyle name="Header2 2 2 7 4 13" xfId="22714"/>
    <cellStyle name="Header2 2 2 7 4 2" xfId="15589"/>
    <cellStyle name="Header2 2 2 7 4 2 2" xfId="19204"/>
    <cellStyle name="Header2 2 2 7 4 2 2 2" xfId="31021"/>
    <cellStyle name="Header2 2 2 7 4 2 2 2 2" xfId="41020"/>
    <cellStyle name="Header2 2 2 7 4 2 2 3" xfId="26679"/>
    <cellStyle name="Header2 2 2 7 4 2 2 4" xfId="35869"/>
    <cellStyle name="Header2 2 2 7 4 2 3" xfId="19810"/>
    <cellStyle name="Header2 2 2 7 4 2 3 2" xfId="31627"/>
    <cellStyle name="Header2 2 2 7 4 2 3 2 2" xfId="41626"/>
    <cellStyle name="Header2 2 2 7 4 2 3 3" xfId="27285"/>
    <cellStyle name="Header2 2 2 7 4 2 3 4" xfId="36475"/>
    <cellStyle name="Header2 2 2 7 4 2 4" xfId="17960"/>
    <cellStyle name="Header2 2 2 7 4 2 4 2" xfId="29777"/>
    <cellStyle name="Header2 2 2 7 4 2 4 2 2" xfId="39776"/>
    <cellStyle name="Header2 2 2 7 4 2 4 3" xfId="25535"/>
    <cellStyle name="Header2 2 2 7 4 2 4 4" xfId="34625"/>
    <cellStyle name="Header2 2 2 7 4 2 5" xfId="20619"/>
    <cellStyle name="Header2 2 2 7 4 2 5 2" xfId="32436"/>
    <cellStyle name="Header2 2 2 7 4 2 5 2 2" xfId="42435"/>
    <cellStyle name="Header2 2 2 7 4 2 5 3" xfId="37284"/>
    <cellStyle name="Header2 2 2 7 4 2 6" xfId="23467"/>
    <cellStyle name="Header2 2 2 7 4 2 6 2" xfId="21903"/>
    <cellStyle name="Header2 2 2 7 4 2 7" xfId="23067"/>
    <cellStyle name="Header2 2 2 7 4 2 7 2" xfId="22063"/>
    <cellStyle name="Header2 2 2 7 4 2 8" xfId="21611"/>
    <cellStyle name="Header2 2 2 7 4 3" xfId="16170"/>
    <cellStyle name="Header2 2 2 7 4 3 2" xfId="18952"/>
    <cellStyle name="Header2 2 2 7 4 3 2 2" xfId="30769"/>
    <cellStyle name="Header2 2 2 7 4 3 2 2 2" xfId="40768"/>
    <cellStyle name="Header2 2 2 7 4 3 2 3" xfId="26427"/>
    <cellStyle name="Header2 2 2 7 4 3 2 4" xfId="35617"/>
    <cellStyle name="Header2 2 2 7 4 3 3" xfId="19558"/>
    <cellStyle name="Header2 2 2 7 4 3 3 2" xfId="31375"/>
    <cellStyle name="Header2 2 2 7 4 3 3 2 2" xfId="41374"/>
    <cellStyle name="Header2 2 2 7 4 3 3 3" xfId="27033"/>
    <cellStyle name="Header2 2 2 7 4 3 3 4" xfId="36223"/>
    <cellStyle name="Header2 2 2 7 4 3 4" xfId="17846"/>
    <cellStyle name="Header2 2 2 7 4 3 4 2" xfId="29663"/>
    <cellStyle name="Header2 2 2 7 4 3 4 2 2" xfId="39662"/>
    <cellStyle name="Header2 2 2 7 4 3 4 3" xfId="25421"/>
    <cellStyle name="Header2 2 2 7 4 3 4 4" xfId="34511"/>
    <cellStyle name="Header2 2 2 7 4 3 5" xfId="20367"/>
    <cellStyle name="Header2 2 2 7 4 3 5 2" xfId="32184"/>
    <cellStyle name="Header2 2 2 7 4 3 5 2 2" xfId="42183"/>
    <cellStyle name="Header2 2 2 7 4 3 5 3" xfId="37032"/>
    <cellStyle name="Header2 2 2 7 4 3 6" xfId="27987"/>
    <cellStyle name="Header2 2 2 7 4 3 6 2" xfId="37986"/>
    <cellStyle name="Header2 2 2 7 4 3 7" xfId="21751"/>
    <cellStyle name="Header2 2 2 7 4 4" xfId="16421"/>
    <cellStyle name="Header2 2 2 7 4 4 2" xfId="28238"/>
    <cellStyle name="Header2 2 2 7 4 4 2 2" xfId="38237"/>
    <cellStyle name="Header2 2 2 7 4 4 3" xfId="23996"/>
    <cellStyle name="Header2 2 2 7 4 4 4" xfId="33086"/>
    <cellStyle name="Header2 2 2 7 4 5" xfId="16680"/>
    <cellStyle name="Header2 2 2 7 4 5 2" xfId="28497"/>
    <cellStyle name="Header2 2 2 7 4 5 2 2" xfId="38496"/>
    <cellStyle name="Header2 2 2 7 4 5 3" xfId="24255"/>
    <cellStyle name="Header2 2 2 7 4 5 4" xfId="33345"/>
    <cellStyle name="Header2 2 2 7 4 6" xfId="17013"/>
    <cellStyle name="Header2 2 2 7 4 6 2" xfId="28830"/>
    <cellStyle name="Header2 2 2 7 4 6 2 2" xfId="38829"/>
    <cellStyle name="Header2 2 2 7 4 6 3" xfId="24588"/>
    <cellStyle name="Header2 2 2 7 4 6 4" xfId="33678"/>
    <cellStyle name="Header2 2 2 7 4 7" xfId="17104"/>
    <cellStyle name="Header2 2 2 7 4 7 2" xfId="28921"/>
    <cellStyle name="Header2 2 2 7 4 7 2 2" xfId="38920"/>
    <cellStyle name="Header2 2 2 7 4 7 3" xfId="24679"/>
    <cellStyle name="Header2 2 2 7 4 7 4" xfId="33769"/>
    <cellStyle name="Header2 2 2 7 4 8" xfId="17407"/>
    <cellStyle name="Header2 2 2 7 4 8 2" xfId="29224"/>
    <cellStyle name="Header2 2 2 7 4 8 2 2" xfId="39223"/>
    <cellStyle name="Header2 2 2 7 4 8 3" xfId="24982"/>
    <cellStyle name="Header2 2 2 7 4 8 4" xfId="34072"/>
    <cellStyle name="Header2 2 2 7 4 9" xfId="18528"/>
    <cellStyle name="Header2 2 2 7 4 9 2" xfId="30345"/>
    <cellStyle name="Header2 2 2 7 4 9 2 2" xfId="40344"/>
    <cellStyle name="Header2 2 2 7 4 9 3" xfId="26003"/>
    <cellStyle name="Header2 2 2 7 4 9 4" xfId="35193"/>
    <cellStyle name="Header2 2 2 7 5" xfId="15586"/>
    <cellStyle name="Header2 2 2 7 5 2" xfId="19207"/>
    <cellStyle name="Header2 2 2 7 5 2 2" xfId="31024"/>
    <cellStyle name="Header2 2 2 7 5 2 2 2" xfId="41023"/>
    <cellStyle name="Header2 2 2 7 5 2 3" xfId="26682"/>
    <cellStyle name="Header2 2 2 7 5 2 4" xfId="35872"/>
    <cellStyle name="Header2 2 2 7 5 3" xfId="19813"/>
    <cellStyle name="Header2 2 2 7 5 3 2" xfId="31630"/>
    <cellStyle name="Header2 2 2 7 5 3 2 2" xfId="41629"/>
    <cellStyle name="Header2 2 2 7 5 3 3" xfId="27288"/>
    <cellStyle name="Header2 2 2 7 5 3 4" xfId="36478"/>
    <cellStyle name="Header2 2 2 7 5 4" xfId="17688"/>
    <cellStyle name="Header2 2 2 7 5 4 2" xfId="29505"/>
    <cellStyle name="Header2 2 2 7 5 4 2 2" xfId="39504"/>
    <cellStyle name="Header2 2 2 7 5 4 3" xfId="25263"/>
    <cellStyle name="Header2 2 2 7 5 4 4" xfId="34353"/>
    <cellStyle name="Header2 2 2 7 5 5" xfId="20622"/>
    <cellStyle name="Header2 2 2 7 5 5 2" xfId="32439"/>
    <cellStyle name="Header2 2 2 7 5 5 2 2" xfId="42438"/>
    <cellStyle name="Header2 2 2 7 5 5 3" xfId="37287"/>
    <cellStyle name="Header2 2 2 7 5 6" xfId="23464"/>
    <cellStyle name="Header2 2 2 7 5 6 2" xfId="21906"/>
    <cellStyle name="Header2 2 2 7 5 7" xfId="23070"/>
    <cellStyle name="Header2 2 2 7 5 7 2" xfId="22061"/>
    <cellStyle name="Header2 2 2 7 5 8" xfId="22369"/>
    <cellStyle name="Header2 2 2 7 6" xfId="16167"/>
    <cellStyle name="Header2 2 2 7 6 2" xfId="19496"/>
    <cellStyle name="Header2 2 2 7 6 2 2" xfId="31313"/>
    <cellStyle name="Header2 2 2 7 6 2 2 2" xfId="41312"/>
    <cellStyle name="Header2 2 2 7 6 2 3" xfId="26971"/>
    <cellStyle name="Header2 2 2 7 6 2 4" xfId="36161"/>
    <cellStyle name="Header2 2 2 7 6 3" xfId="20102"/>
    <cellStyle name="Header2 2 2 7 6 3 2" xfId="31919"/>
    <cellStyle name="Header2 2 2 7 6 3 2 2" xfId="41918"/>
    <cellStyle name="Header2 2 2 7 6 3 3" xfId="27577"/>
    <cellStyle name="Header2 2 2 7 6 3 4" xfId="36767"/>
    <cellStyle name="Header2 2 2 7 6 4" xfId="17645"/>
    <cellStyle name="Header2 2 2 7 6 4 2" xfId="29462"/>
    <cellStyle name="Header2 2 2 7 6 4 2 2" xfId="39461"/>
    <cellStyle name="Header2 2 2 7 6 4 3" xfId="25220"/>
    <cellStyle name="Header2 2 2 7 6 4 4" xfId="34310"/>
    <cellStyle name="Header2 2 2 7 6 5" xfId="20911"/>
    <cellStyle name="Header2 2 2 7 6 5 2" xfId="32728"/>
    <cellStyle name="Header2 2 2 7 6 5 2 2" xfId="42727"/>
    <cellStyle name="Header2 2 2 7 6 5 3" xfId="37576"/>
    <cellStyle name="Header2 2 2 7 6 6" xfId="27984"/>
    <cellStyle name="Header2 2 2 7 6 6 2" xfId="37983"/>
    <cellStyle name="Header2 2 2 7 6 7" xfId="22226"/>
    <cellStyle name="Header2 2 2 7 7" xfId="15889"/>
    <cellStyle name="Header2 2 2 7 7 2" xfId="27706"/>
    <cellStyle name="Header2 2 2 7 7 2 2" xfId="37705"/>
    <cellStyle name="Header2 2 2 7 7 3" xfId="23767"/>
    <cellStyle name="Header2 2 2 7 7 4" xfId="32857"/>
    <cellStyle name="Header2 2 2 7 8" xfId="16683"/>
    <cellStyle name="Header2 2 2 7 8 2" xfId="28500"/>
    <cellStyle name="Header2 2 2 7 8 2 2" xfId="38499"/>
    <cellStyle name="Header2 2 2 7 8 3" xfId="24258"/>
    <cellStyle name="Header2 2 2 7 8 4" xfId="33348"/>
    <cellStyle name="Header2 2 2 7 9" xfId="16972"/>
    <cellStyle name="Header2 2 2 7 9 2" xfId="28789"/>
    <cellStyle name="Header2 2 2 7 9 2 2" xfId="38788"/>
    <cellStyle name="Header2 2 2 7 9 3" xfId="24547"/>
    <cellStyle name="Header2 2 2 7 9 4" xfId="33637"/>
    <cellStyle name="Header2 2 2 8" xfId="7783"/>
    <cellStyle name="Header2 2 2 8 10" xfId="17105"/>
    <cellStyle name="Header2 2 2 8 10 2" xfId="28922"/>
    <cellStyle name="Header2 2 2 8 10 2 2" xfId="38921"/>
    <cellStyle name="Header2 2 2 8 10 3" xfId="24680"/>
    <cellStyle name="Header2 2 2 8 10 4" xfId="33770"/>
    <cellStyle name="Header2 2 2 8 11" xfId="17408"/>
    <cellStyle name="Header2 2 2 8 11 2" xfId="29225"/>
    <cellStyle name="Header2 2 2 8 11 2 2" xfId="39224"/>
    <cellStyle name="Header2 2 2 8 11 3" xfId="24983"/>
    <cellStyle name="Header2 2 2 8 11 4" xfId="34073"/>
    <cellStyle name="Header2 2 2 8 12" xfId="18527"/>
    <cellStyle name="Header2 2 2 8 12 2" xfId="30344"/>
    <cellStyle name="Header2 2 2 8 12 2 2" xfId="40343"/>
    <cellStyle name="Header2 2 2 8 12 3" xfId="26002"/>
    <cellStyle name="Header2 2 2 8 12 4" xfId="35192"/>
    <cellStyle name="Header2 2 2 8 13" xfId="18818"/>
    <cellStyle name="Header2 2 2 8 13 2" xfId="30635"/>
    <cellStyle name="Header2 2 2 8 13 2 2" xfId="40634"/>
    <cellStyle name="Header2 2 2 8 13 3" xfId="26293"/>
    <cellStyle name="Header2 2 2 8 13 4" xfId="35483"/>
    <cellStyle name="Header2 2 2 8 14" xfId="18224"/>
    <cellStyle name="Header2 2 2 8 14 2" xfId="30041"/>
    <cellStyle name="Header2 2 2 8 14 2 2" xfId="40040"/>
    <cellStyle name="Header2 2 2 8 14 3" xfId="34889"/>
    <cellStyle name="Header2 2 2 8 15" xfId="23319"/>
    <cellStyle name="Header2 2 2 8 15 2" xfId="21148"/>
    <cellStyle name="Header2 2 2 8 16" xfId="22713"/>
    <cellStyle name="Header2 2 2 8 2" xfId="7784"/>
    <cellStyle name="Header2 2 2 8 2 10" xfId="18817"/>
    <cellStyle name="Header2 2 2 8 2 10 2" xfId="30634"/>
    <cellStyle name="Header2 2 2 8 2 10 2 2" xfId="40633"/>
    <cellStyle name="Header2 2 2 8 2 10 3" xfId="26292"/>
    <cellStyle name="Header2 2 2 8 2 10 4" xfId="35482"/>
    <cellStyle name="Header2 2 2 8 2 11" xfId="18225"/>
    <cellStyle name="Header2 2 2 8 2 11 2" xfId="30042"/>
    <cellStyle name="Header2 2 2 8 2 11 2 2" xfId="40041"/>
    <cellStyle name="Header2 2 2 8 2 11 3" xfId="34890"/>
    <cellStyle name="Header2 2 2 8 2 12" xfId="23318"/>
    <cellStyle name="Header2 2 2 8 2 12 2" xfId="21149"/>
    <cellStyle name="Header2 2 2 8 2 13" xfId="22712"/>
    <cellStyle name="Header2 2 2 8 2 2" xfId="15591"/>
    <cellStyle name="Header2 2 2 8 2 2 2" xfId="19202"/>
    <cellStyle name="Header2 2 2 8 2 2 2 2" xfId="31019"/>
    <cellStyle name="Header2 2 2 8 2 2 2 2 2" xfId="41018"/>
    <cellStyle name="Header2 2 2 8 2 2 2 3" xfId="26677"/>
    <cellStyle name="Header2 2 2 8 2 2 2 4" xfId="35867"/>
    <cellStyle name="Header2 2 2 8 2 2 3" xfId="19808"/>
    <cellStyle name="Header2 2 2 8 2 2 3 2" xfId="31625"/>
    <cellStyle name="Header2 2 2 8 2 2 3 2 2" xfId="41624"/>
    <cellStyle name="Header2 2 2 8 2 2 3 3" xfId="27283"/>
    <cellStyle name="Header2 2 2 8 2 2 3 4" xfId="36473"/>
    <cellStyle name="Header2 2 2 8 2 2 4" xfId="17691"/>
    <cellStyle name="Header2 2 2 8 2 2 4 2" xfId="29508"/>
    <cellStyle name="Header2 2 2 8 2 2 4 2 2" xfId="39507"/>
    <cellStyle name="Header2 2 2 8 2 2 4 3" xfId="25266"/>
    <cellStyle name="Header2 2 2 8 2 2 4 4" xfId="34356"/>
    <cellStyle name="Header2 2 2 8 2 2 5" xfId="20617"/>
    <cellStyle name="Header2 2 2 8 2 2 5 2" xfId="32434"/>
    <cellStyle name="Header2 2 2 8 2 2 5 2 2" xfId="42433"/>
    <cellStyle name="Header2 2 2 8 2 2 5 3" xfId="37282"/>
    <cellStyle name="Header2 2 2 8 2 2 6" xfId="23469"/>
    <cellStyle name="Header2 2 2 8 2 2 6 2" xfId="21901"/>
    <cellStyle name="Header2 2 2 8 2 2 7" xfId="23065"/>
    <cellStyle name="Header2 2 2 8 2 2 7 2" xfId="22065"/>
    <cellStyle name="Header2 2 2 8 2 2 8" xfId="22372"/>
    <cellStyle name="Header2 2 2 8 2 3" xfId="16172"/>
    <cellStyle name="Header2 2 2 8 2 3 2" xfId="19493"/>
    <cellStyle name="Header2 2 2 8 2 3 2 2" xfId="31310"/>
    <cellStyle name="Header2 2 2 8 2 3 2 2 2" xfId="41309"/>
    <cellStyle name="Header2 2 2 8 2 3 2 3" xfId="26968"/>
    <cellStyle name="Header2 2 2 8 2 3 2 4" xfId="36158"/>
    <cellStyle name="Header2 2 2 8 2 3 3" xfId="20099"/>
    <cellStyle name="Header2 2 2 8 2 3 3 2" xfId="31916"/>
    <cellStyle name="Header2 2 2 8 2 3 3 2 2" xfId="41915"/>
    <cellStyle name="Header2 2 2 8 2 3 3 3" xfId="27574"/>
    <cellStyle name="Header2 2 2 8 2 3 3 4" xfId="36764"/>
    <cellStyle name="Header2 2 2 8 2 3 4" xfId="17758"/>
    <cellStyle name="Header2 2 2 8 2 3 4 2" xfId="29575"/>
    <cellStyle name="Header2 2 2 8 2 3 4 2 2" xfId="39574"/>
    <cellStyle name="Header2 2 2 8 2 3 4 3" xfId="25333"/>
    <cellStyle name="Header2 2 2 8 2 3 4 4" xfId="34423"/>
    <cellStyle name="Header2 2 2 8 2 3 5" xfId="20908"/>
    <cellStyle name="Header2 2 2 8 2 3 5 2" xfId="32725"/>
    <cellStyle name="Header2 2 2 8 2 3 5 2 2" xfId="42724"/>
    <cellStyle name="Header2 2 2 8 2 3 5 3" xfId="37573"/>
    <cellStyle name="Header2 2 2 8 2 3 6" xfId="27989"/>
    <cellStyle name="Header2 2 2 8 2 3 6 2" xfId="37988"/>
    <cellStyle name="Header2 2 2 8 2 3 7" xfId="22228"/>
    <cellStyle name="Header2 2 2 8 2 4" xfId="15892"/>
    <cellStyle name="Header2 2 2 8 2 4 2" xfId="27709"/>
    <cellStyle name="Header2 2 2 8 2 4 2 2" xfId="37708"/>
    <cellStyle name="Header2 2 2 8 2 4 3" xfId="23770"/>
    <cellStyle name="Header2 2 2 8 2 4 4" xfId="32860"/>
    <cellStyle name="Header2 2 2 8 2 5" xfId="16678"/>
    <cellStyle name="Header2 2 2 8 2 5 2" xfId="28495"/>
    <cellStyle name="Header2 2 2 8 2 5 2 2" xfId="38494"/>
    <cellStyle name="Header2 2 2 8 2 5 3" xfId="24253"/>
    <cellStyle name="Header2 2 2 8 2 5 4" xfId="33343"/>
    <cellStyle name="Header2 2 2 8 2 6" xfId="16969"/>
    <cellStyle name="Header2 2 2 8 2 6 2" xfId="28786"/>
    <cellStyle name="Header2 2 2 8 2 6 2 2" xfId="38785"/>
    <cellStyle name="Header2 2 2 8 2 6 3" xfId="24544"/>
    <cellStyle name="Header2 2 2 8 2 6 4" xfId="33634"/>
    <cellStyle name="Header2 2 2 8 2 7" xfId="17106"/>
    <cellStyle name="Header2 2 2 8 2 7 2" xfId="28923"/>
    <cellStyle name="Header2 2 2 8 2 7 2 2" xfId="38922"/>
    <cellStyle name="Header2 2 2 8 2 7 3" xfId="24681"/>
    <cellStyle name="Header2 2 2 8 2 7 4" xfId="33771"/>
    <cellStyle name="Header2 2 2 8 2 8" xfId="17409"/>
    <cellStyle name="Header2 2 2 8 2 8 2" xfId="29226"/>
    <cellStyle name="Header2 2 2 8 2 8 2 2" xfId="39225"/>
    <cellStyle name="Header2 2 2 8 2 8 3" xfId="24984"/>
    <cellStyle name="Header2 2 2 8 2 8 4" xfId="34074"/>
    <cellStyle name="Header2 2 2 8 2 9" xfId="18526"/>
    <cellStyle name="Header2 2 2 8 2 9 2" xfId="30343"/>
    <cellStyle name="Header2 2 2 8 2 9 2 2" xfId="40342"/>
    <cellStyle name="Header2 2 2 8 2 9 3" xfId="26001"/>
    <cellStyle name="Header2 2 2 8 2 9 4" xfId="35191"/>
    <cellStyle name="Header2 2 2 8 3" xfId="7785"/>
    <cellStyle name="Header2 2 2 8 3 10" xfId="18816"/>
    <cellStyle name="Header2 2 2 8 3 10 2" xfId="30633"/>
    <cellStyle name="Header2 2 2 8 3 10 2 2" xfId="40632"/>
    <cellStyle name="Header2 2 2 8 3 10 3" xfId="26291"/>
    <cellStyle name="Header2 2 2 8 3 10 4" xfId="35481"/>
    <cellStyle name="Header2 2 2 8 3 11" xfId="20234"/>
    <cellStyle name="Header2 2 2 8 3 11 2" xfId="32051"/>
    <cellStyle name="Header2 2 2 8 3 11 2 2" xfId="42050"/>
    <cellStyle name="Header2 2 2 8 3 11 3" xfId="36899"/>
    <cellStyle name="Header2 2 2 8 3 12" xfId="23317"/>
    <cellStyle name="Header2 2 2 8 3 12 2" xfId="21150"/>
    <cellStyle name="Header2 2 2 8 3 13" xfId="22711"/>
    <cellStyle name="Header2 2 2 8 3 2" xfId="15592"/>
    <cellStyle name="Header2 2 2 8 3 2 2" xfId="19201"/>
    <cellStyle name="Header2 2 2 8 3 2 2 2" xfId="31018"/>
    <cellStyle name="Header2 2 2 8 3 2 2 2 2" xfId="41017"/>
    <cellStyle name="Header2 2 2 8 3 2 2 3" xfId="26676"/>
    <cellStyle name="Header2 2 2 8 3 2 2 4" xfId="35866"/>
    <cellStyle name="Header2 2 2 8 3 2 3" xfId="19807"/>
    <cellStyle name="Header2 2 2 8 3 2 3 2" xfId="31624"/>
    <cellStyle name="Header2 2 2 8 3 2 3 2 2" xfId="41623"/>
    <cellStyle name="Header2 2 2 8 3 2 3 3" xfId="27282"/>
    <cellStyle name="Header2 2 2 8 3 2 3 4" xfId="36472"/>
    <cellStyle name="Header2 2 2 8 3 2 4" xfId="17692"/>
    <cellStyle name="Header2 2 2 8 3 2 4 2" xfId="29509"/>
    <cellStyle name="Header2 2 2 8 3 2 4 2 2" xfId="39508"/>
    <cellStyle name="Header2 2 2 8 3 2 4 3" xfId="25267"/>
    <cellStyle name="Header2 2 2 8 3 2 4 4" xfId="34357"/>
    <cellStyle name="Header2 2 2 8 3 2 5" xfId="20616"/>
    <cellStyle name="Header2 2 2 8 3 2 5 2" xfId="32433"/>
    <cellStyle name="Header2 2 2 8 3 2 5 2 2" xfId="42432"/>
    <cellStyle name="Header2 2 2 8 3 2 5 3" xfId="37281"/>
    <cellStyle name="Header2 2 2 8 3 2 6" xfId="23470"/>
    <cellStyle name="Header2 2 2 8 3 2 6 2" xfId="21900"/>
    <cellStyle name="Header2 2 2 8 3 2 7" xfId="23064"/>
    <cellStyle name="Header2 2 2 8 3 2 7 2" xfId="22066"/>
    <cellStyle name="Header2 2 2 8 3 2 8" xfId="21613"/>
    <cellStyle name="Header2 2 2 8 3 3" xfId="16173"/>
    <cellStyle name="Header2 2 2 8 3 3 2" xfId="19492"/>
    <cellStyle name="Header2 2 2 8 3 3 2 2" xfId="31309"/>
    <cellStyle name="Header2 2 2 8 3 3 2 2 2" xfId="41308"/>
    <cellStyle name="Header2 2 2 8 3 3 2 3" xfId="26967"/>
    <cellStyle name="Header2 2 2 8 3 3 2 4" xfId="36157"/>
    <cellStyle name="Header2 2 2 8 3 3 3" xfId="20098"/>
    <cellStyle name="Header2 2 2 8 3 3 3 2" xfId="31915"/>
    <cellStyle name="Header2 2 2 8 3 3 3 2 2" xfId="41914"/>
    <cellStyle name="Header2 2 2 8 3 3 3 3" xfId="27573"/>
    <cellStyle name="Header2 2 2 8 3 3 3 4" xfId="36763"/>
    <cellStyle name="Header2 2 2 8 3 3 4" xfId="17891"/>
    <cellStyle name="Header2 2 2 8 3 3 4 2" xfId="29708"/>
    <cellStyle name="Header2 2 2 8 3 3 4 2 2" xfId="39707"/>
    <cellStyle name="Header2 2 2 8 3 3 4 3" xfId="25466"/>
    <cellStyle name="Header2 2 2 8 3 3 4 4" xfId="34556"/>
    <cellStyle name="Header2 2 2 8 3 3 5" xfId="20907"/>
    <cellStyle name="Header2 2 2 8 3 3 5 2" xfId="32724"/>
    <cellStyle name="Header2 2 2 8 3 3 5 2 2" xfId="42723"/>
    <cellStyle name="Header2 2 2 8 3 3 5 3" xfId="37572"/>
    <cellStyle name="Header2 2 2 8 3 3 6" xfId="27990"/>
    <cellStyle name="Header2 2 2 8 3 3 6 2" xfId="37989"/>
    <cellStyle name="Header2 2 2 8 3 3 7" xfId="22229"/>
    <cellStyle name="Header2 2 2 8 3 4" xfId="15893"/>
    <cellStyle name="Header2 2 2 8 3 4 2" xfId="27710"/>
    <cellStyle name="Header2 2 2 8 3 4 2 2" xfId="37709"/>
    <cellStyle name="Header2 2 2 8 3 4 3" xfId="23771"/>
    <cellStyle name="Header2 2 2 8 3 4 4" xfId="32861"/>
    <cellStyle name="Header2 2 2 8 3 5" xfId="16677"/>
    <cellStyle name="Header2 2 2 8 3 5 2" xfId="28494"/>
    <cellStyle name="Header2 2 2 8 3 5 2 2" xfId="38493"/>
    <cellStyle name="Header2 2 2 8 3 5 3" xfId="24252"/>
    <cellStyle name="Header2 2 2 8 3 5 4" xfId="33342"/>
    <cellStyle name="Header2 2 2 8 3 6" xfId="16968"/>
    <cellStyle name="Header2 2 2 8 3 6 2" xfId="28785"/>
    <cellStyle name="Header2 2 2 8 3 6 2 2" xfId="38784"/>
    <cellStyle name="Header2 2 2 8 3 6 3" xfId="24543"/>
    <cellStyle name="Header2 2 2 8 3 6 4" xfId="33633"/>
    <cellStyle name="Header2 2 2 8 3 7" xfId="17107"/>
    <cellStyle name="Header2 2 2 8 3 7 2" xfId="28924"/>
    <cellStyle name="Header2 2 2 8 3 7 2 2" xfId="38923"/>
    <cellStyle name="Header2 2 2 8 3 7 3" xfId="24682"/>
    <cellStyle name="Header2 2 2 8 3 7 4" xfId="33772"/>
    <cellStyle name="Header2 2 2 8 3 8" xfId="17410"/>
    <cellStyle name="Header2 2 2 8 3 8 2" xfId="29227"/>
    <cellStyle name="Header2 2 2 8 3 8 2 2" xfId="39226"/>
    <cellStyle name="Header2 2 2 8 3 8 3" xfId="24985"/>
    <cellStyle name="Header2 2 2 8 3 8 4" xfId="34075"/>
    <cellStyle name="Header2 2 2 8 3 9" xfId="18525"/>
    <cellStyle name="Header2 2 2 8 3 9 2" xfId="30342"/>
    <cellStyle name="Header2 2 2 8 3 9 2 2" xfId="40341"/>
    <cellStyle name="Header2 2 2 8 3 9 3" xfId="26000"/>
    <cellStyle name="Header2 2 2 8 3 9 4" xfId="35190"/>
    <cellStyle name="Header2 2 2 8 4" xfId="7786"/>
    <cellStyle name="Header2 2 2 8 4 10" xfId="18815"/>
    <cellStyle name="Header2 2 2 8 4 10 2" xfId="30632"/>
    <cellStyle name="Header2 2 2 8 4 10 2 2" xfId="40631"/>
    <cellStyle name="Header2 2 2 8 4 10 3" xfId="26290"/>
    <cellStyle name="Header2 2 2 8 4 10 4" xfId="35480"/>
    <cellStyle name="Header2 2 2 8 4 11" xfId="20332"/>
    <cellStyle name="Header2 2 2 8 4 11 2" xfId="32149"/>
    <cellStyle name="Header2 2 2 8 4 11 2 2" xfId="42148"/>
    <cellStyle name="Header2 2 2 8 4 11 3" xfId="36997"/>
    <cellStyle name="Header2 2 2 8 4 12" xfId="23316"/>
    <cellStyle name="Header2 2 2 8 4 12 2" xfId="21955"/>
    <cellStyle name="Header2 2 2 8 4 13" xfId="22710"/>
    <cellStyle name="Header2 2 2 8 4 2" xfId="15593"/>
    <cellStyle name="Header2 2 2 8 4 2 2" xfId="19200"/>
    <cellStyle name="Header2 2 2 8 4 2 2 2" xfId="31017"/>
    <cellStyle name="Header2 2 2 8 4 2 2 2 2" xfId="41016"/>
    <cellStyle name="Header2 2 2 8 4 2 2 3" xfId="26675"/>
    <cellStyle name="Header2 2 2 8 4 2 2 4" xfId="35865"/>
    <cellStyle name="Header2 2 2 8 4 2 3" xfId="19806"/>
    <cellStyle name="Header2 2 2 8 4 2 3 2" xfId="31623"/>
    <cellStyle name="Header2 2 2 8 4 2 3 2 2" xfId="41622"/>
    <cellStyle name="Header2 2 2 8 4 2 3 3" xfId="27281"/>
    <cellStyle name="Header2 2 2 8 4 2 3 4" xfId="36471"/>
    <cellStyle name="Header2 2 2 8 4 2 4" xfId="17961"/>
    <cellStyle name="Header2 2 2 8 4 2 4 2" xfId="29778"/>
    <cellStyle name="Header2 2 2 8 4 2 4 2 2" xfId="39777"/>
    <cellStyle name="Header2 2 2 8 4 2 4 3" xfId="25536"/>
    <cellStyle name="Header2 2 2 8 4 2 4 4" xfId="34626"/>
    <cellStyle name="Header2 2 2 8 4 2 5" xfId="20615"/>
    <cellStyle name="Header2 2 2 8 4 2 5 2" xfId="32432"/>
    <cellStyle name="Header2 2 2 8 4 2 5 2 2" xfId="42431"/>
    <cellStyle name="Header2 2 2 8 4 2 5 3" xfId="37280"/>
    <cellStyle name="Header2 2 2 8 4 2 6" xfId="23471"/>
    <cellStyle name="Header2 2 2 8 4 2 6 2" xfId="21899"/>
    <cellStyle name="Header2 2 2 8 4 2 7" xfId="23063"/>
    <cellStyle name="Header2 2 2 8 4 2 7 2" xfId="21291"/>
    <cellStyle name="Header2 2 2 8 4 2 8" xfId="22373"/>
    <cellStyle name="Header2 2 2 8 4 3" xfId="16174"/>
    <cellStyle name="Header2 2 2 8 4 3 2" xfId="19491"/>
    <cellStyle name="Header2 2 2 8 4 3 2 2" xfId="31308"/>
    <cellStyle name="Header2 2 2 8 4 3 2 2 2" xfId="41307"/>
    <cellStyle name="Header2 2 2 8 4 3 2 3" xfId="26966"/>
    <cellStyle name="Header2 2 2 8 4 3 2 4" xfId="36156"/>
    <cellStyle name="Header2 2 2 8 4 3 3" xfId="20097"/>
    <cellStyle name="Header2 2 2 8 4 3 3 2" xfId="31914"/>
    <cellStyle name="Header2 2 2 8 4 3 3 2 2" xfId="41913"/>
    <cellStyle name="Header2 2 2 8 4 3 3 3" xfId="27572"/>
    <cellStyle name="Header2 2 2 8 4 3 3 4" xfId="36762"/>
    <cellStyle name="Header2 2 2 8 4 3 4" xfId="18050"/>
    <cellStyle name="Header2 2 2 8 4 3 4 2" xfId="29867"/>
    <cellStyle name="Header2 2 2 8 4 3 4 2 2" xfId="39866"/>
    <cellStyle name="Header2 2 2 8 4 3 4 3" xfId="25625"/>
    <cellStyle name="Header2 2 2 8 4 3 4 4" xfId="34715"/>
    <cellStyle name="Header2 2 2 8 4 3 5" xfId="20906"/>
    <cellStyle name="Header2 2 2 8 4 3 5 2" xfId="32723"/>
    <cellStyle name="Header2 2 2 8 4 3 5 2 2" xfId="42722"/>
    <cellStyle name="Header2 2 2 8 4 3 5 3" xfId="37571"/>
    <cellStyle name="Header2 2 2 8 4 3 6" xfId="27991"/>
    <cellStyle name="Header2 2 2 8 4 3 6 2" xfId="37990"/>
    <cellStyle name="Header2 2 2 8 4 3 7" xfId="22230"/>
    <cellStyle name="Header2 2 2 8 4 4" xfId="15894"/>
    <cellStyle name="Header2 2 2 8 4 4 2" xfId="27711"/>
    <cellStyle name="Header2 2 2 8 4 4 2 2" xfId="37710"/>
    <cellStyle name="Header2 2 2 8 4 4 3" xfId="23772"/>
    <cellStyle name="Header2 2 2 8 4 4 4" xfId="32862"/>
    <cellStyle name="Header2 2 2 8 4 5" xfId="16676"/>
    <cellStyle name="Header2 2 2 8 4 5 2" xfId="28493"/>
    <cellStyle name="Header2 2 2 8 4 5 2 2" xfId="38492"/>
    <cellStyle name="Header2 2 2 8 4 5 3" xfId="24251"/>
    <cellStyle name="Header2 2 2 8 4 5 4" xfId="33341"/>
    <cellStyle name="Header2 2 2 8 4 6" xfId="16967"/>
    <cellStyle name="Header2 2 2 8 4 6 2" xfId="28784"/>
    <cellStyle name="Header2 2 2 8 4 6 2 2" xfId="38783"/>
    <cellStyle name="Header2 2 2 8 4 6 3" xfId="24542"/>
    <cellStyle name="Header2 2 2 8 4 6 4" xfId="33632"/>
    <cellStyle name="Header2 2 2 8 4 7" xfId="17108"/>
    <cellStyle name="Header2 2 2 8 4 7 2" xfId="28925"/>
    <cellStyle name="Header2 2 2 8 4 7 2 2" xfId="38924"/>
    <cellStyle name="Header2 2 2 8 4 7 3" xfId="24683"/>
    <cellStyle name="Header2 2 2 8 4 7 4" xfId="33773"/>
    <cellStyle name="Header2 2 2 8 4 8" xfId="17411"/>
    <cellStyle name="Header2 2 2 8 4 8 2" xfId="29228"/>
    <cellStyle name="Header2 2 2 8 4 8 2 2" xfId="39227"/>
    <cellStyle name="Header2 2 2 8 4 8 3" xfId="24986"/>
    <cellStyle name="Header2 2 2 8 4 8 4" xfId="34076"/>
    <cellStyle name="Header2 2 2 8 4 9" xfId="18524"/>
    <cellStyle name="Header2 2 2 8 4 9 2" xfId="30341"/>
    <cellStyle name="Header2 2 2 8 4 9 2 2" xfId="40340"/>
    <cellStyle name="Header2 2 2 8 4 9 3" xfId="25999"/>
    <cellStyle name="Header2 2 2 8 4 9 4" xfId="35189"/>
    <cellStyle name="Header2 2 2 8 5" xfId="15590"/>
    <cellStyle name="Header2 2 2 8 5 2" xfId="19203"/>
    <cellStyle name="Header2 2 2 8 5 2 2" xfId="31020"/>
    <cellStyle name="Header2 2 2 8 5 2 2 2" xfId="41019"/>
    <cellStyle name="Header2 2 2 8 5 2 3" xfId="26678"/>
    <cellStyle name="Header2 2 2 8 5 2 4" xfId="35868"/>
    <cellStyle name="Header2 2 2 8 5 3" xfId="19809"/>
    <cellStyle name="Header2 2 2 8 5 3 2" xfId="31626"/>
    <cellStyle name="Header2 2 2 8 5 3 2 2" xfId="41625"/>
    <cellStyle name="Header2 2 2 8 5 3 3" xfId="27284"/>
    <cellStyle name="Header2 2 2 8 5 3 4" xfId="36474"/>
    <cellStyle name="Header2 2 2 8 5 4" xfId="17690"/>
    <cellStyle name="Header2 2 2 8 5 4 2" xfId="29507"/>
    <cellStyle name="Header2 2 2 8 5 4 2 2" xfId="39506"/>
    <cellStyle name="Header2 2 2 8 5 4 3" xfId="25265"/>
    <cellStyle name="Header2 2 2 8 5 4 4" xfId="34355"/>
    <cellStyle name="Header2 2 2 8 5 5" xfId="20618"/>
    <cellStyle name="Header2 2 2 8 5 5 2" xfId="32435"/>
    <cellStyle name="Header2 2 2 8 5 5 2 2" xfId="42434"/>
    <cellStyle name="Header2 2 2 8 5 5 3" xfId="37283"/>
    <cellStyle name="Header2 2 2 8 5 6" xfId="23468"/>
    <cellStyle name="Header2 2 2 8 5 6 2" xfId="21902"/>
    <cellStyle name="Header2 2 2 8 5 7" xfId="23066"/>
    <cellStyle name="Header2 2 2 8 5 7 2" xfId="22064"/>
    <cellStyle name="Header2 2 2 8 5 8" xfId="21612"/>
    <cellStyle name="Header2 2 2 8 6" xfId="16171"/>
    <cellStyle name="Header2 2 2 8 6 2" xfId="19494"/>
    <cellStyle name="Header2 2 2 8 6 2 2" xfId="31311"/>
    <cellStyle name="Header2 2 2 8 6 2 2 2" xfId="41310"/>
    <cellStyle name="Header2 2 2 8 6 2 3" xfId="26969"/>
    <cellStyle name="Header2 2 2 8 6 2 4" xfId="36159"/>
    <cellStyle name="Header2 2 2 8 6 3" xfId="20100"/>
    <cellStyle name="Header2 2 2 8 6 3 2" xfId="31917"/>
    <cellStyle name="Header2 2 2 8 6 3 2 2" xfId="41916"/>
    <cellStyle name="Header2 2 2 8 6 3 3" xfId="27575"/>
    <cellStyle name="Header2 2 2 8 6 3 4" xfId="36765"/>
    <cellStyle name="Header2 2 2 8 6 4" xfId="17647"/>
    <cellStyle name="Header2 2 2 8 6 4 2" xfId="29464"/>
    <cellStyle name="Header2 2 2 8 6 4 2 2" xfId="39463"/>
    <cellStyle name="Header2 2 2 8 6 4 3" xfId="25222"/>
    <cellStyle name="Header2 2 2 8 6 4 4" xfId="34312"/>
    <cellStyle name="Header2 2 2 8 6 5" xfId="20909"/>
    <cellStyle name="Header2 2 2 8 6 5 2" xfId="32726"/>
    <cellStyle name="Header2 2 2 8 6 5 2 2" xfId="42725"/>
    <cellStyle name="Header2 2 2 8 6 5 3" xfId="37574"/>
    <cellStyle name="Header2 2 2 8 6 6" xfId="27988"/>
    <cellStyle name="Header2 2 2 8 6 6 2" xfId="37987"/>
    <cellStyle name="Header2 2 2 8 6 7" xfId="22227"/>
    <cellStyle name="Header2 2 2 8 7" xfId="15891"/>
    <cellStyle name="Header2 2 2 8 7 2" xfId="27708"/>
    <cellStyle name="Header2 2 2 8 7 2 2" xfId="37707"/>
    <cellStyle name="Header2 2 2 8 7 3" xfId="23769"/>
    <cellStyle name="Header2 2 2 8 7 4" xfId="32859"/>
    <cellStyle name="Header2 2 2 8 8" xfId="16679"/>
    <cellStyle name="Header2 2 2 8 8 2" xfId="28496"/>
    <cellStyle name="Header2 2 2 8 8 2 2" xfId="38495"/>
    <cellStyle name="Header2 2 2 8 8 3" xfId="24254"/>
    <cellStyle name="Header2 2 2 8 8 4" xfId="33344"/>
    <cellStyle name="Header2 2 2 8 9" xfId="16970"/>
    <cellStyle name="Header2 2 2 8 9 2" xfId="28787"/>
    <cellStyle name="Header2 2 2 8 9 2 2" xfId="38786"/>
    <cellStyle name="Header2 2 2 8 9 3" xfId="24545"/>
    <cellStyle name="Header2 2 2 8 9 4" xfId="33635"/>
    <cellStyle name="Header2 2 2 9" xfId="7787"/>
    <cellStyle name="Header2 2 2 9 10" xfId="17109"/>
    <cellStyle name="Header2 2 2 9 10 2" xfId="28926"/>
    <cellStyle name="Header2 2 2 9 10 2 2" xfId="38925"/>
    <cellStyle name="Header2 2 2 9 10 3" xfId="24684"/>
    <cellStyle name="Header2 2 2 9 10 4" xfId="33774"/>
    <cellStyle name="Header2 2 2 9 11" xfId="17412"/>
    <cellStyle name="Header2 2 2 9 11 2" xfId="29229"/>
    <cellStyle name="Header2 2 2 9 11 2 2" xfId="39228"/>
    <cellStyle name="Header2 2 2 9 11 3" xfId="24987"/>
    <cellStyle name="Header2 2 2 9 11 4" xfId="34077"/>
    <cellStyle name="Header2 2 2 9 12" xfId="18523"/>
    <cellStyle name="Header2 2 2 9 12 2" xfId="30340"/>
    <cellStyle name="Header2 2 2 9 12 2 2" xfId="40339"/>
    <cellStyle name="Header2 2 2 9 12 3" xfId="25998"/>
    <cellStyle name="Header2 2 2 9 12 4" xfId="35188"/>
    <cellStyle name="Header2 2 2 9 13" xfId="18814"/>
    <cellStyle name="Header2 2 2 9 13 2" xfId="30631"/>
    <cellStyle name="Header2 2 2 9 13 2 2" xfId="40630"/>
    <cellStyle name="Header2 2 2 9 13 3" xfId="26289"/>
    <cellStyle name="Header2 2 2 9 13 4" xfId="35479"/>
    <cellStyle name="Header2 2 2 9 14" xfId="18226"/>
    <cellStyle name="Header2 2 2 9 14 2" xfId="30043"/>
    <cellStyle name="Header2 2 2 9 14 2 2" xfId="40042"/>
    <cellStyle name="Header2 2 2 9 14 3" xfId="34891"/>
    <cellStyle name="Header2 2 2 9 15" xfId="23315"/>
    <cellStyle name="Header2 2 2 9 15 2" xfId="21151"/>
    <cellStyle name="Header2 2 2 9 16" xfId="22709"/>
    <cellStyle name="Header2 2 2 9 2" xfId="7788"/>
    <cellStyle name="Header2 2 2 9 2 10" xfId="18855"/>
    <cellStyle name="Header2 2 2 9 2 10 2" xfId="30672"/>
    <cellStyle name="Header2 2 2 9 2 10 2 2" xfId="40671"/>
    <cellStyle name="Header2 2 2 9 2 10 3" xfId="26330"/>
    <cellStyle name="Header2 2 2 9 2 10 4" xfId="35520"/>
    <cellStyle name="Header2 2 2 9 2 11" xfId="20233"/>
    <cellStyle name="Header2 2 2 9 2 11 2" xfId="32050"/>
    <cellStyle name="Header2 2 2 9 2 11 2 2" xfId="42049"/>
    <cellStyle name="Header2 2 2 9 2 11 3" xfId="36898"/>
    <cellStyle name="Header2 2 2 9 2 12" xfId="23314"/>
    <cellStyle name="Header2 2 2 9 2 12 2" xfId="21152"/>
    <cellStyle name="Header2 2 2 9 2 13" xfId="22708"/>
    <cellStyle name="Header2 2 2 9 2 2" xfId="15595"/>
    <cellStyle name="Header2 2 2 9 2 2 2" xfId="19198"/>
    <cellStyle name="Header2 2 2 9 2 2 2 2" xfId="31015"/>
    <cellStyle name="Header2 2 2 9 2 2 2 2 2" xfId="41014"/>
    <cellStyle name="Header2 2 2 9 2 2 2 3" xfId="26673"/>
    <cellStyle name="Header2 2 2 9 2 2 2 4" xfId="35863"/>
    <cellStyle name="Header2 2 2 9 2 2 3" xfId="19804"/>
    <cellStyle name="Header2 2 2 9 2 2 3 2" xfId="31621"/>
    <cellStyle name="Header2 2 2 9 2 2 3 2 2" xfId="41620"/>
    <cellStyle name="Header2 2 2 9 2 2 3 3" xfId="27279"/>
    <cellStyle name="Header2 2 2 9 2 2 3 4" xfId="36469"/>
    <cellStyle name="Header2 2 2 9 2 2 4" xfId="17693"/>
    <cellStyle name="Header2 2 2 9 2 2 4 2" xfId="29510"/>
    <cellStyle name="Header2 2 2 9 2 2 4 2 2" xfId="39509"/>
    <cellStyle name="Header2 2 2 9 2 2 4 3" xfId="25268"/>
    <cellStyle name="Header2 2 2 9 2 2 4 4" xfId="34358"/>
    <cellStyle name="Header2 2 2 9 2 2 5" xfId="20613"/>
    <cellStyle name="Header2 2 2 9 2 2 5 2" xfId="32430"/>
    <cellStyle name="Header2 2 2 9 2 2 5 2 2" xfId="42429"/>
    <cellStyle name="Header2 2 2 9 2 2 5 3" xfId="37278"/>
    <cellStyle name="Header2 2 2 9 2 2 6" xfId="23473"/>
    <cellStyle name="Header2 2 2 9 2 2 6 2" xfId="21897"/>
    <cellStyle name="Header2 2 2 9 2 2 7" xfId="23061"/>
    <cellStyle name="Header2 2 2 9 2 2 7 2" xfId="22067"/>
    <cellStyle name="Header2 2 2 9 2 2 8" xfId="21615"/>
    <cellStyle name="Header2 2 2 9 2 3" xfId="16176"/>
    <cellStyle name="Header2 2 2 9 2 3 2" xfId="19530"/>
    <cellStyle name="Header2 2 2 9 2 3 2 2" xfId="31347"/>
    <cellStyle name="Header2 2 2 9 2 3 2 2 2" xfId="41346"/>
    <cellStyle name="Header2 2 2 9 2 3 2 3" xfId="27005"/>
    <cellStyle name="Header2 2 2 9 2 3 2 4" xfId="36195"/>
    <cellStyle name="Header2 2 2 9 2 3 3" xfId="20136"/>
    <cellStyle name="Header2 2 2 9 2 3 3 2" xfId="31953"/>
    <cellStyle name="Header2 2 2 9 2 3 3 2 2" xfId="41952"/>
    <cellStyle name="Header2 2 2 9 2 3 3 3" xfId="27611"/>
    <cellStyle name="Header2 2 2 9 2 3 3 4" xfId="36801"/>
    <cellStyle name="Header2 2 2 9 2 3 4" xfId="17882"/>
    <cellStyle name="Header2 2 2 9 2 3 4 2" xfId="29699"/>
    <cellStyle name="Header2 2 2 9 2 3 4 2 2" xfId="39698"/>
    <cellStyle name="Header2 2 2 9 2 3 4 3" xfId="25457"/>
    <cellStyle name="Header2 2 2 9 2 3 4 4" xfId="34547"/>
    <cellStyle name="Header2 2 2 9 2 3 5" xfId="20945"/>
    <cellStyle name="Header2 2 2 9 2 3 5 2" xfId="32762"/>
    <cellStyle name="Header2 2 2 9 2 3 5 2 2" xfId="42761"/>
    <cellStyle name="Header2 2 2 9 2 3 5 3" xfId="37610"/>
    <cellStyle name="Header2 2 2 9 2 3 6" xfId="27993"/>
    <cellStyle name="Header2 2 2 9 2 3 6 2" xfId="37992"/>
    <cellStyle name="Header2 2 2 9 2 3 7" xfId="21440"/>
    <cellStyle name="Header2 2 2 9 2 4" xfId="15833"/>
    <cellStyle name="Header2 2 2 9 2 4 2" xfId="27650"/>
    <cellStyle name="Header2 2 2 9 2 4 2 2" xfId="37649"/>
    <cellStyle name="Header2 2 2 9 2 4 3" xfId="23711"/>
    <cellStyle name="Header2 2 2 9 2 4 4" xfId="32801"/>
    <cellStyle name="Header2 2 2 9 2 5" xfId="16674"/>
    <cellStyle name="Header2 2 2 9 2 5 2" xfId="28491"/>
    <cellStyle name="Header2 2 2 9 2 5 2 2" xfId="38490"/>
    <cellStyle name="Header2 2 2 9 2 5 3" xfId="24249"/>
    <cellStyle name="Header2 2 2 9 2 5 4" xfId="33339"/>
    <cellStyle name="Header2 2 2 9 2 6" xfId="17006"/>
    <cellStyle name="Header2 2 2 9 2 6 2" xfId="28823"/>
    <cellStyle name="Header2 2 2 9 2 6 2 2" xfId="38822"/>
    <cellStyle name="Header2 2 2 9 2 6 3" xfId="24581"/>
    <cellStyle name="Header2 2 2 9 2 6 4" xfId="33671"/>
    <cellStyle name="Header2 2 2 9 2 7" xfId="17110"/>
    <cellStyle name="Header2 2 2 9 2 7 2" xfId="28927"/>
    <cellStyle name="Header2 2 2 9 2 7 2 2" xfId="38926"/>
    <cellStyle name="Header2 2 2 9 2 7 3" xfId="24685"/>
    <cellStyle name="Header2 2 2 9 2 7 4" xfId="33775"/>
    <cellStyle name="Header2 2 2 9 2 8" xfId="17413"/>
    <cellStyle name="Header2 2 2 9 2 8 2" xfId="29230"/>
    <cellStyle name="Header2 2 2 9 2 8 2 2" xfId="39229"/>
    <cellStyle name="Header2 2 2 9 2 8 3" xfId="24988"/>
    <cellStyle name="Header2 2 2 9 2 8 4" xfId="34078"/>
    <cellStyle name="Header2 2 2 9 2 9" xfId="18522"/>
    <cellStyle name="Header2 2 2 9 2 9 2" xfId="30339"/>
    <cellStyle name="Header2 2 2 9 2 9 2 2" xfId="40338"/>
    <cellStyle name="Header2 2 2 9 2 9 3" xfId="25997"/>
    <cellStyle name="Header2 2 2 9 2 9 4" xfId="35187"/>
    <cellStyle name="Header2 2 2 9 3" xfId="7789"/>
    <cellStyle name="Header2 2 2 9 3 10" xfId="18813"/>
    <cellStyle name="Header2 2 2 9 3 10 2" xfId="30630"/>
    <cellStyle name="Header2 2 2 9 3 10 2 2" xfId="40629"/>
    <cellStyle name="Header2 2 2 9 3 10 3" xfId="26288"/>
    <cellStyle name="Header2 2 2 9 3 10 4" xfId="35478"/>
    <cellStyle name="Header2 2 2 9 3 11" xfId="20331"/>
    <cellStyle name="Header2 2 2 9 3 11 2" xfId="32148"/>
    <cellStyle name="Header2 2 2 9 3 11 2 2" xfId="42147"/>
    <cellStyle name="Header2 2 2 9 3 11 3" xfId="36996"/>
    <cellStyle name="Header2 2 2 9 3 12" xfId="23313"/>
    <cellStyle name="Header2 2 2 9 3 12 2" xfId="21153"/>
    <cellStyle name="Header2 2 2 9 3 13" xfId="22707"/>
    <cellStyle name="Header2 2 2 9 3 2" xfId="15596"/>
    <cellStyle name="Header2 2 2 9 3 2 2" xfId="19197"/>
    <cellStyle name="Header2 2 2 9 3 2 2 2" xfId="31014"/>
    <cellStyle name="Header2 2 2 9 3 2 2 2 2" xfId="41013"/>
    <cellStyle name="Header2 2 2 9 3 2 2 3" xfId="26672"/>
    <cellStyle name="Header2 2 2 9 3 2 2 4" xfId="35862"/>
    <cellStyle name="Header2 2 2 9 3 2 3" xfId="19803"/>
    <cellStyle name="Header2 2 2 9 3 2 3 2" xfId="31620"/>
    <cellStyle name="Header2 2 2 9 3 2 3 2 2" xfId="41619"/>
    <cellStyle name="Header2 2 2 9 3 2 3 3" xfId="27278"/>
    <cellStyle name="Header2 2 2 9 3 2 3 4" xfId="36468"/>
    <cellStyle name="Header2 2 2 9 3 2 4" xfId="17962"/>
    <cellStyle name="Header2 2 2 9 3 2 4 2" xfId="29779"/>
    <cellStyle name="Header2 2 2 9 3 2 4 2 2" xfId="39778"/>
    <cellStyle name="Header2 2 2 9 3 2 4 3" xfId="25537"/>
    <cellStyle name="Header2 2 2 9 3 2 4 4" xfId="34627"/>
    <cellStyle name="Header2 2 2 9 3 2 5" xfId="20612"/>
    <cellStyle name="Header2 2 2 9 3 2 5 2" xfId="32429"/>
    <cellStyle name="Header2 2 2 9 3 2 5 2 2" xfId="42428"/>
    <cellStyle name="Header2 2 2 9 3 2 5 3" xfId="37277"/>
    <cellStyle name="Header2 2 2 9 3 2 6" xfId="23474"/>
    <cellStyle name="Header2 2 2 9 3 2 6 2" xfId="21896"/>
    <cellStyle name="Header2 2 2 9 3 2 7" xfId="23060"/>
    <cellStyle name="Header2 2 2 9 3 2 7 2" xfId="21293"/>
    <cellStyle name="Header2 2 2 9 3 2 8" xfId="21616"/>
    <cellStyle name="Header2 2 2 9 3 3" xfId="16177"/>
    <cellStyle name="Header2 2 2 9 3 3 2" xfId="19489"/>
    <cellStyle name="Header2 2 2 9 3 3 2 2" xfId="31306"/>
    <cellStyle name="Header2 2 2 9 3 3 2 2 2" xfId="41305"/>
    <cellStyle name="Header2 2 2 9 3 3 2 3" xfId="26964"/>
    <cellStyle name="Header2 2 2 9 3 3 2 4" xfId="36154"/>
    <cellStyle name="Header2 2 2 9 3 3 3" xfId="20095"/>
    <cellStyle name="Header2 2 2 9 3 3 3 2" xfId="31912"/>
    <cellStyle name="Header2 2 2 9 3 3 3 2 2" xfId="41911"/>
    <cellStyle name="Header2 2 2 9 3 3 3 3" xfId="27570"/>
    <cellStyle name="Header2 2 2 9 3 3 3 4" xfId="36760"/>
    <cellStyle name="Header2 2 2 9 3 3 4" xfId="17759"/>
    <cellStyle name="Header2 2 2 9 3 3 4 2" xfId="29576"/>
    <cellStyle name="Header2 2 2 9 3 3 4 2 2" xfId="39575"/>
    <cellStyle name="Header2 2 2 9 3 3 4 3" xfId="25334"/>
    <cellStyle name="Header2 2 2 9 3 3 4 4" xfId="34424"/>
    <cellStyle name="Header2 2 2 9 3 3 5" xfId="20904"/>
    <cellStyle name="Header2 2 2 9 3 3 5 2" xfId="32721"/>
    <cellStyle name="Header2 2 2 9 3 3 5 2 2" xfId="42720"/>
    <cellStyle name="Header2 2 2 9 3 3 5 3" xfId="37569"/>
    <cellStyle name="Header2 2 2 9 3 3 6" xfId="27994"/>
    <cellStyle name="Header2 2 2 9 3 3 6 2" xfId="37993"/>
    <cellStyle name="Header2 2 2 9 3 3 7" xfId="21467"/>
    <cellStyle name="Header2 2 2 9 3 4" xfId="15896"/>
    <cellStyle name="Header2 2 2 9 3 4 2" xfId="27713"/>
    <cellStyle name="Header2 2 2 9 3 4 2 2" xfId="37712"/>
    <cellStyle name="Header2 2 2 9 3 4 3" xfId="23774"/>
    <cellStyle name="Header2 2 2 9 3 4 4" xfId="32864"/>
    <cellStyle name="Header2 2 2 9 3 5" xfId="16673"/>
    <cellStyle name="Header2 2 2 9 3 5 2" xfId="28490"/>
    <cellStyle name="Header2 2 2 9 3 5 2 2" xfId="38489"/>
    <cellStyle name="Header2 2 2 9 3 5 3" xfId="24248"/>
    <cellStyle name="Header2 2 2 9 3 5 4" xfId="33338"/>
    <cellStyle name="Header2 2 2 9 3 6" xfId="16965"/>
    <cellStyle name="Header2 2 2 9 3 6 2" xfId="28782"/>
    <cellStyle name="Header2 2 2 9 3 6 2 2" xfId="38781"/>
    <cellStyle name="Header2 2 2 9 3 6 3" xfId="24540"/>
    <cellStyle name="Header2 2 2 9 3 6 4" xfId="33630"/>
    <cellStyle name="Header2 2 2 9 3 7" xfId="17111"/>
    <cellStyle name="Header2 2 2 9 3 7 2" xfId="28928"/>
    <cellStyle name="Header2 2 2 9 3 7 2 2" xfId="38927"/>
    <cellStyle name="Header2 2 2 9 3 7 3" xfId="24686"/>
    <cellStyle name="Header2 2 2 9 3 7 4" xfId="33776"/>
    <cellStyle name="Header2 2 2 9 3 8" xfId="17414"/>
    <cellStyle name="Header2 2 2 9 3 8 2" xfId="29231"/>
    <cellStyle name="Header2 2 2 9 3 8 2 2" xfId="39230"/>
    <cellStyle name="Header2 2 2 9 3 8 3" xfId="24989"/>
    <cellStyle name="Header2 2 2 9 3 8 4" xfId="34079"/>
    <cellStyle name="Header2 2 2 9 3 9" xfId="18521"/>
    <cellStyle name="Header2 2 2 9 3 9 2" xfId="30338"/>
    <cellStyle name="Header2 2 2 9 3 9 2 2" xfId="40337"/>
    <cellStyle name="Header2 2 2 9 3 9 3" xfId="25996"/>
    <cellStyle name="Header2 2 2 9 3 9 4" xfId="35186"/>
    <cellStyle name="Header2 2 2 9 4" xfId="7790"/>
    <cellStyle name="Header2 2 2 9 4 10" xfId="18812"/>
    <cellStyle name="Header2 2 2 9 4 10 2" xfId="30629"/>
    <cellStyle name="Header2 2 2 9 4 10 2 2" xfId="40628"/>
    <cellStyle name="Header2 2 2 9 4 10 3" xfId="26287"/>
    <cellStyle name="Header2 2 2 9 4 10 4" xfId="35477"/>
    <cellStyle name="Header2 2 2 9 4 11" xfId="18227"/>
    <cellStyle name="Header2 2 2 9 4 11 2" xfId="30044"/>
    <cellStyle name="Header2 2 2 9 4 11 2 2" xfId="40043"/>
    <cellStyle name="Header2 2 2 9 4 11 3" xfId="34892"/>
    <cellStyle name="Header2 2 2 9 4 12" xfId="23312"/>
    <cellStyle name="Header2 2 2 9 4 12 2" xfId="21154"/>
    <cellStyle name="Header2 2 2 9 4 13" xfId="22706"/>
    <cellStyle name="Header2 2 2 9 4 2" xfId="15597"/>
    <cellStyle name="Header2 2 2 9 4 2 2" xfId="19196"/>
    <cellStyle name="Header2 2 2 9 4 2 2 2" xfId="31013"/>
    <cellStyle name="Header2 2 2 9 4 2 2 2 2" xfId="41012"/>
    <cellStyle name="Header2 2 2 9 4 2 2 3" xfId="26671"/>
    <cellStyle name="Header2 2 2 9 4 2 2 4" xfId="35861"/>
    <cellStyle name="Header2 2 2 9 4 2 3" xfId="19802"/>
    <cellStyle name="Header2 2 2 9 4 2 3 2" xfId="31619"/>
    <cellStyle name="Header2 2 2 9 4 2 3 2 2" xfId="41618"/>
    <cellStyle name="Header2 2 2 9 4 2 3 3" xfId="27277"/>
    <cellStyle name="Header2 2 2 9 4 2 3 4" xfId="36467"/>
    <cellStyle name="Header2 2 2 9 4 2 4" xfId="17694"/>
    <cellStyle name="Header2 2 2 9 4 2 4 2" xfId="29511"/>
    <cellStyle name="Header2 2 2 9 4 2 4 2 2" xfId="39510"/>
    <cellStyle name="Header2 2 2 9 4 2 4 3" xfId="25269"/>
    <cellStyle name="Header2 2 2 9 4 2 4 4" xfId="34359"/>
    <cellStyle name="Header2 2 2 9 4 2 5" xfId="20611"/>
    <cellStyle name="Header2 2 2 9 4 2 5 2" xfId="32428"/>
    <cellStyle name="Header2 2 2 9 4 2 5 2 2" xfId="42427"/>
    <cellStyle name="Header2 2 2 9 4 2 5 3" xfId="37276"/>
    <cellStyle name="Header2 2 2 9 4 2 6" xfId="23475"/>
    <cellStyle name="Header2 2 2 9 4 2 6 2" xfId="21895"/>
    <cellStyle name="Header2 2 2 9 4 2 7" xfId="23059"/>
    <cellStyle name="Header2 2 2 9 4 2 7 2" xfId="22068"/>
    <cellStyle name="Header2 2 2 9 4 2 8" xfId="22374"/>
    <cellStyle name="Header2 2 2 9 4 3" xfId="16178"/>
    <cellStyle name="Header2 2 2 9 4 3 2" xfId="19488"/>
    <cellStyle name="Header2 2 2 9 4 3 2 2" xfId="31305"/>
    <cellStyle name="Header2 2 2 9 4 3 2 2 2" xfId="41304"/>
    <cellStyle name="Header2 2 2 9 4 3 2 3" xfId="26963"/>
    <cellStyle name="Header2 2 2 9 4 3 2 4" xfId="36153"/>
    <cellStyle name="Header2 2 2 9 4 3 3" xfId="20094"/>
    <cellStyle name="Header2 2 2 9 4 3 3 2" xfId="31911"/>
    <cellStyle name="Header2 2 2 9 4 3 3 2 2" xfId="41910"/>
    <cellStyle name="Header2 2 2 9 4 3 3 3" xfId="27569"/>
    <cellStyle name="Header2 2 2 9 4 3 3 4" xfId="36759"/>
    <cellStyle name="Header2 2 2 9 4 3 4" xfId="18051"/>
    <cellStyle name="Header2 2 2 9 4 3 4 2" xfId="29868"/>
    <cellStyle name="Header2 2 2 9 4 3 4 2 2" xfId="39867"/>
    <cellStyle name="Header2 2 2 9 4 3 4 3" xfId="25626"/>
    <cellStyle name="Header2 2 2 9 4 3 4 4" xfId="34716"/>
    <cellStyle name="Header2 2 2 9 4 3 5" xfId="20903"/>
    <cellStyle name="Header2 2 2 9 4 3 5 2" xfId="32720"/>
    <cellStyle name="Header2 2 2 9 4 3 5 2 2" xfId="42719"/>
    <cellStyle name="Header2 2 2 9 4 3 5 3" xfId="37568"/>
    <cellStyle name="Header2 2 2 9 4 3 6" xfId="27995"/>
    <cellStyle name="Header2 2 2 9 4 3 6 2" xfId="37994"/>
    <cellStyle name="Header2 2 2 9 4 3 7" xfId="21468"/>
    <cellStyle name="Header2 2 2 9 4 4" xfId="15897"/>
    <cellStyle name="Header2 2 2 9 4 4 2" xfId="27714"/>
    <cellStyle name="Header2 2 2 9 4 4 2 2" xfId="37713"/>
    <cellStyle name="Header2 2 2 9 4 4 3" xfId="23775"/>
    <cellStyle name="Header2 2 2 9 4 4 4" xfId="32865"/>
    <cellStyle name="Header2 2 2 9 4 5" xfId="16672"/>
    <cellStyle name="Header2 2 2 9 4 5 2" xfId="28489"/>
    <cellStyle name="Header2 2 2 9 4 5 2 2" xfId="38488"/>
    <cellStyle name="Header2 2 2 9 4 5 3" xfId="24247"/>
    <cellStyle name="Header2 2 2 9 4 5 4" xfId="33337"/>
    <cellStyle name="Header2 2 2 9 4 6" xfId="16964"/>
    <cellStyle name="Header2 2 2 9 4 6 2" xfId="28781"/>
    <cellStyle name="Header2 2 2 9 4 6 2 2" xfId="38780"/>
    <cellStyle name="Header2 2 2 9 4 6 3" xfId="24539"/>
    <cellStyle name="Header2 2 2 9 4 6 4" xfId="33629"/>
    <cellStyle name="Header2 2 2 9 4 7" xfId="17112"/>
    <cellStyle name="Header2 2 2 9 4 7 2" xfId="28929"/>
    <cellStyle name="Header2 2 2 9 4 7 2 2" xfId="38928"/>
    <cellStyle name="Header2 2 2 9 4 7 3" xfId="24687"/>
    <cellStyle name="Header2 2 2 9 4 7 4" xfId="33777"/>
    <cellStyle name="Header2 2 2 9 4 8" xfId="17415"/>
    <cellStyle name="Header2 2 2 9 4 8 2" xfId="29232"/>
    <cellStyle name="Header2 2 2 9 4 8 2 2" xfId="39231"/>
    <cellStyle name="Header2 2 2 9 4 8 3" xfId="24990"/>
    <cellStyle name="Header2 2 2 9 4 8 4" xfId="34080"/>
    <cellStyle name="Header2 2 2 9 4 9" xfId="18520"/>
    <cellStyle name="Header2 2 2 9 4 9 2" xfId="30337"/>
    <cellStyle name="Header2 2 2 9 4 9 2 2" xfId="40336"/>
    <cellStyle name="Header2 2 2 9 4 9 3" xfId="25995"/>
    <cellStyle name="Header2 2 2 9 4 9 4" xfId="35185"/>
    <cellStyle name="Header2 2 2 9 5" xfId="15594"/>
    <cellStyle name="Header2 2 2 9 5 2" xfId="19199"/>
    <cellStyle name="Header2 2 2 9 5 2 2" xfId="31016"/>
    <cellStyle name="Header2 2 2 9 5 2 2 2" xfId="41015"/>
    <cellStyle name="Header2 2 2 9 5 2 3" xfId="26674"/>
    <cellStyle name="Header2 2 2 9 5 2 4" xfId="35864"/>
    <cellStyle name="Header2 2 2 9 5 3" xfId="19805"/>
    <cellStyle name="Header2 2 2 9 5 3 2" xfId="31622"/>
    <cellStyle name="Header2 2 2 9 5 3 2 2" xfId="41621"/>
    <cellStyle name="Header2 2 2 9 5 3 3" xfId="27280"/>
    <cellStyle name="Header2 2 2 9 5 3 4" xfId="36470"/>
    <cellStyle name="Header2 2 2 9 5 4" xfId="18858"/>
    <cellStyle name="Header2 2 2 9 5 4 2" xfId="30675"/>
    <cellStyle name="Header2 2 2 9 5 4 2 2" xfId="40674"/>
    <cellStyle name="Header2 2 2 9 5 4 3" xfId="26333"/>
    <cellStyle name="Header2 2 2 9 5 4 4" xfId="35523"/>
    <cellStyle name="Header2 2 2 9 5 5" xfId="20614"/>
    <cellStyle name="Header2 2 2 9 5 5 2" xfId="32431"/>
    <cellStyle name="Header2 2 2 9 5 5 2 2" xfId="42430"/>
    <cellStyle name="Header2 2 2 9 5 5 3" xfId="37279"/>
    <cellStyle name="Header2 2 2 9 5 6" xfId="23472"/>
    <cellStyle name="Header2 2 2 9 5 6 2" xfId="21898"/>
    <cellStyle name="Header2 2 2 9 5 7" xfId="23062"/>
    <cellStyle name="Header2 2 2 9 5 7 2" xfId="21292"/>
    <cellStyle name="Header2 2 2 9 5 8" xfId="21614"/>
    <cellStyle name="Header2 2 2 9 6" xfId="16175"/>
    <cellStyle name="Header2 2 2 9 6 2" xfId="19490"/>
    <cellStyle name="Header2 2 2 9 6 2 2" xfId="31307"/>
    <cellStyle name="Header2 2 2 9 6 2 2 2" xfId="41306"/>
    <cellStyle name="Header2 2 2 9 6 2 3" xfId="26965"/>
    <cellStyle name="Header2 2 2 9 6 2 4" xfId="36155"/>
    <cellStyle name="Header2 2 2 9 6 3" xfId="20096"/>
    <cellStyle name="Header2 2 2 9 6 3 2" xfId="31913"/>
    <cellStyle name="Header2 2 2 9 6 3 2 2" xfId="41912"/>
    <cellStyle name="Header2 2 2 9 6 3 3" xfId="27571"/>
    <cellStyle name="Header2 2 2 9 6 3 4" xfId="36761"/>
    <cellStyle name="Header2 2 2 9 6 4" xfId="17648"/>
    <cellStyle name="Header2 2 2 9 6 4 2" xfId="29465"/>
    <cellStyle name="Header2 2 2 9 6 4 2 2" xfId="39464"/>
    <cellStyle name="Header2 2 2 9 6 4 3" xfId="25223"/>
    <cellStyle name="Header2 2 2 9 6 4 4" xfId="34313"/>
    <cellStyle name="Header2 2 2 9 6 5" xfId="20905"/>
    <cellStyle name="Header2 2 2 9 6 5 2" xfId="32722"/>
    <cellStyle name="Header2 2 2 9 6 5 2 2" xfId="42721"/>
    <cellStyle name="Header2 2 2 9 6 5 3" xfId="37570"/>
    <cellStyle name="Header2 2 2 9 6 6" xfId="27992"/>
    <cellStyle name="Header2 2 2 9 6 6 2" xfId="37991"/>
    <cellStyle name="Header2 2 2 9 6 7" xfId="22231"/>
    <cellStyle name="Header2 2 2 9 7" xfId="15895"/>
    <cellStyle name="Header2 2 2 9 7 2" xfId="27712"/>
    <cellStyle name="Header2 2 2 9 7 2 2" xfId="37711"/>
    <cellStyle name="Header2 2 2 9 7 3" xfId="23773"/>
    <cellStyle name="Header2 2 2 9 7 4" xfId="32863"/>
    <cellStyle name="Header2 2 2 9 8" xfId="16675"/>
    <cellStyle name="Header2 2 2 9 8 2" xfId="28492"/>
    <cellStyle name="Header2 2 2 9 8 2 2" xfId="38491"/>
    <cellStyle name="Header2 2 2 9 8 3" xfId="24250"/>
    <cellStyle name="Header2 2 2 9 8 4" xfId="33340"/>
    <cellStyle name="Header2 2 2 9 9" xfId="16966"/>
    <cellStyle name="Header2 2 2 9 9 2" xfId="28783"/>
    <cellStyle name="Header2 2 2 9 9 2 2" xfId="38782"/>
    <cellStyle name="Header2 2 2 9 9 3" xfId="24541"/>
    <cellStyle name="Header2 2 2 9 9 4" xfId="33631"/>
    <cellStyle name="Header2 2 3" xfId="7791"/>
    <cellStyle name="Header2 2 3 10" xfId="16963"/>
    <cellStyle name="Header2 2 3 10 2" xfId="28780"/>
    <cellStyle name="Header2 2 3 10 2 2" xfId="38779"/>
    <cellStyle name="Header2 2 3 10 3" xfId="24538"/>
    <cellStyle name="Header2 2 3 10 4" xfId="33628"/>
    <cellStyle name="Header2 2 3 11" xfId="17113"/>
    <cellStyle name="Header2 2 3 11 2" xfId="28930"/>
    <cellStyle name="Header2 2 3 11 2 2" xfId="38929"/>
    <cellStyle name="Header2 2 3 11 3" xfId="24688"/>
    <cellStyle name="Header2 2 3 11 4" xfId="33778"/>
    <cellStyle name="Header2 2 3 12" xfId="17416"/>
    <cellStyle name="Header2 2 3 12 2" xfId="29233"/>
    <cellStyle name="Header2 2 3 12 2 2" xfId="39232"/>
    <cellStyle name="Header2 2 3 12 3" xfId="24991"/>
    <cellStyle name="Header2 2 3 12 4" xfId="34081"/>
    <cellStyle name="Header2 2 3 13" xfId="18519"/>
    <cellStyle name="Header2 2 3 13 2" xfId="30336"/>
    <cellStyle name="Header2 2 3 13 2 2" xfId="40335"/>
    <cellStyle name="Header2 2 3 13 3" xfId="25994"/>
    <cellStyle name="Header2 2 3 13 4" xfId="35184"/>
    <cellStyle name="Header2 2 3 14" xfId="18811"/>
    <cellStyle name="Header2 2 3 14 2" xfId="30628"/>
    <cellStyle name="Header2 2 3 14 2 2" xfId="40627"/>
    <cellStyle name="Header2 2 3 14 3" xfId="26286"/>
    <cellStyle name="Header2 2 3 14 4" xfId="35476"/>
    <cellStyle name="Header2 2 3 15" xfId="20232"/>
    <cellStyle name="Header2 2 3 15 2" xfId="32049"/>
    <cellStyle name="Header2 2 3 15 2 2" xfId="42048"/>
    <cellStyle name="Header2 2 3 15 3" xfId="36897"/>
    <cellStyle name="Header2 2 3 16" xfId="23311"/>
    <cellStyle name="Header2 2 3 16 2" xfId="21155"/>
    <cellStyle name="Header2 2 3 17" xfId="22705"/>
    <cellStyle name="Header2 2 3 2" xfId="7792"/>
    <cellStyle name="Header2 2 3 2 10" xfId="17114"/>
    <cellStyle name="Header2 2 3 2 10 2" xfId="28931"/>
    <cellStyle name="Header2 2 3 2 10 2 2" xfId="38930"/>
    <cellStyle name="Header2 2 3 2 10 3" xfId="24689"/>
    <cellStyle name="Header2 2 3 2 10 4" xfId="33779"/>
    <cellStyle name="Header2 2 3 2 11" xfId="17417"/>
    <cellStyle name="Header2 2 3 2 11 2" xfId="29234"/>
    <cellStyle name="Header2 2 3 2 11 2 2" xfId="39233"/>
    <cellStyle name="Header2 2 3 2 11 3" xfId="24992"/>
    <cellStyle name="Header2 2 3 2 11 4" xfId="34082"/>
    <cellStyle name="Header2 2 3 2 12" xfId="18518"/>
    <cellStyle name="Header2 2 3 2 12 2" xfId="30335"/>
    <cellStyle name="Header2 2 3 2 12 2 2" xfId="40334"/>
    <cellStyle name="Header2 2 3 2 12 3" xfId="25993"/>
    <cellStyle name="Header2 2 3 2 12 4" xfId="35183"/>
    <cellStyle name="Header2 2 3 2 13" xfId="18810"/>
    <cellStyle name="Header2 2 3 2 13 2" xfId="30627"/>
    <cellStyle name="Header2 2 3 2 13 2 2" xfId="40626"/>
    <cellStyle name="Header2 2 3 2 13 3" xfId="26285"/>
    <cellStyle name="Header2 2 3 2 13 4" xfId="35475"/>
    <cellStyle name="Header2 2 3 2 14" xfId="20330"/>
    <cellStyle name="Header2 2 3 2 14 2" xfId="32147"/>
    <cellStyle name="Header2 2 3 2 14 2 2" xfId="42146"/>
    <cellStyle name="Header2 2 3 2 14 3" xfId="36995"/>
    <cellStyle name="Header2 2 3 2 15" xfId="23310"/>
    <cellStyle name="Header2 2 3 2 15 2" xfId="21956"/>
    <cellStyle name="Header2 2 3 2 16" xfId="22704"/>
    <cellStyle name="Header2 2 3 2 2" xfId="7793"/>
    <cellStyle name="Header2 2 3 2 2 10" xfId="17115"/>
    <cellStyle name="Header2 2 3 2 2 10 2" xfId="28932"/>
    <cellStyle name="Header2 2 3 2 2 10 2 2" xfId="38931"/>
    <cellStyle name="Header2 2 3 2 2 10 3" xfId="24690"/>
    <cellStyle name="Header2 2 3 2 2 10 4" xfId="33780"/>
    <cellStyle name="Header2 2 3 2 2 11" xfId="17418"/>
    <cellStyle name="Header2 2 3 2 2 11 2" xfId="29235"/>
    <cellStyle name="Header2 2 3 2 2 11 2 2" xfId="39234"/>
    <cellStyle name="Header2 2 3 2 2 11 3" xfId="24993"/>
    <cellStyle name="Header2 2 3 2 2 11 4" xfId="34083"/>
    <cellStyle name="Header2 2 3 2 2 12" xfId="18517"/>
    <cellStyle name="Header2 2 3 2 2 12 2" xfId="30334"/>
    <cellStyle name="Header2 2 3 2 2 12 2 2" xfId="40333"/>
    <cellStyle name="Header2 2 3 2 2 12 3" xfId="25992"/>
    <cellStyle name="Header2 2 3 2 2 12 4" xfId="35182"/>
    <cellStyle name="Header2 2 3 2 2 13" xfId="18809"/>
    <cellStyle name="Header2 2 3 2 2 13 2" xfId="30626"/>
    <cellStyle name="Header2 2 3 2 2 13 2 2" xfId="40625"/>
    <cellStyle name="Header2 2 3 2 2 13 3" xfId="26284"/>
    <cellStyle name="Header2 2 3 2 2 13 4" xfId="35474"/>
    <cellStyle name="Header2 2 3 2 2 14" xfId="20235"/>
    <cellStyle name="Header2 2 3 2 2 14 2" xfId="32052"/>
    <cellStyle name="Header2 2 3 2 2 14 2 2" xfId="42051"/>
    <cellStyle name="Header2 2 3 2 2 14 3" xfId="36900"/>
    <cellStyle name="Header2 2 3 2 2 15" xfId="23309"/>
    <cellStyle name="Header2 2 3 2 2 15 2" xfId="21156"/>
    <cellStyle name="Header2 2 3 2 2 16" xfId="22703"/>
    <cellStyle name="Header2 2 3 2 2 2" xfId="7794"/>
    <cellStyle name="Header2 2 3 2 2 2 10" xfId="18808"/>
    <cellStyle name="Header2 2 3 2 2 2 10 2" xfId="30625"/>
    <cellStyle name="Header2 2 3 2 2 2 10 2 2" xfId="40624"/>
    <cellStyle name="Header2 2 3 2 2 2 10 3" xfId="26283"/>
    <cellStyle name="Header2 2 3 2 2 2 10 4" xfId="35473"/>
    <cellStyle name="Header2 2 3 2 2 2 11" xfId="20333"/>
    <cellStyle name="Header2 2 3 2 2 2 11 2" xfId="32150"/>
    <cellStyle name="Header2 2 3 2 2 2 11 2 2" xfId="42149"/>
    <cellStyle name="Header2 2 3 2 2 2 11 3" xfId="36998"/>
    <cellStyle name="Header2 2 3 2 2 2 12" xfId="23308"/>
    <cellStyle name="Header2 2 3 2 2 2 12 2" xfId="21157"/>
    <cellStyle name="Header2 2 3 2 2 2 13" xfId="22702"/>
    <cellStyle name="Header2 2 3 2 2 2 2" xfId="15601"/>
    <cellStyle name="Header2 2 3 2 2 2 2 2" xfId="19192"/>
    <cellStyle name="Header2 2 3 2 2 2 2 2 2" xfId="31009"/>
    <cellStyle name="Header2 2 3 2 2 2 2 2 2 2" xfId="41008"/>
    <cellStyle name="Header2 2 3 2 2 2 2 2 3" xfId="26667"/>
    <cellStyle name="Header2 2 3 2 2 2 2 2 4" xfId="35857"/>
    <cellStyle name="Header2 2 3 2 2 2 2 3" xfId="19798"/>
    <cellStyle name="Header2 2 3 2 2 2 2 3 2" xfId="31615"/>
    <cellStyle name="Header2 2 3 2 2 2 2 3 2 2" xfId="41614"/>
    <cellStyle name="Header2 2 3 2 2 2 2 3 3" xfId="27273"/>
    <cellStyle name="Header2 2 3 2 2 2 2 3 4" xfId="36463"/>
    <cellStyle name="Header2 2 3 2 2 2 2 4" xfId="17965"/>
    <cellStyle name="Header2 2 3 2 2 2 2 4 2" xfId="29782"/>
    <cellStyle name="Header2 2 3 2 2 2 2 4 2 2" xfId="39781"/>
    <cellStyle name="Header2 2 3 2 2 2 2 4 3" xfId="25540"/>
    <cellStyle name="Header2 2 3 2 2 2 2 4 4" xfId="34630"/>
    <cellStyle name="Header2 2 3 2 2 2 2 5" xfId="20607"/>
    <cellStyle name="Header2 2 3 2 2 2 2 5 2" xfId="32424"/>
    <cellStyle name="Header2 2 3 2 2 2 2 5 2 2" xfId="42423"/>
    <cellStyle name="Header2 2 3 2 2 2 2 5 3" xfId="37272"/>
    <cellStyle name="Header2 2 3 2 2 2 2 6" xfId="23479"/>
    <cellStyle name="Header2 2 3 2 2 2 2 6 2" xfId="21892"/>
    <cellStyle name="Header2 2 3 2 2 2 2 7" xfId="23056"/>
    <cellStyle name="Header2 2 3 2 2 2 2 7 2" xfId="21296"/>
    <cellStyle name="Header2 2 3 2 2 2 2 8" xfId="22376"/>
    <cellStyle name="Header2 2 3 2 2 2 3" xfId="16182"/>
    <cellStyle name="Header2 2 3 2 2 2 3 2" xfId="19484"/>
    <cellStyle name="Header2 2 3 2 2 2 3 2 2" xfId="31301"/>
    <cellStyle name="Header2 2 3 2 2 2 3 2 2 2" xfId="41300"/>
    <cellStyle name="Header2 2 3 2 2 2 3 2 3" xfId="26959"/>
    <cellStyle name="Header2 2 3 2 2 2 3 2 4" xfId="36149"/>
    <cellStyle name="Header2 2 3 2 2 2 3 3" xfId="20090"/>
    <cellStyle name="Header2 2 3 2 2 2 3 3 2" xfId="31907"/>
    <cellStyle name="Header2 2 3 2 2 2 3 3 2 2" xfId="41906"/>
    <cellStyle name="Header2 2 3 2 2 2 3 3 3" xfId="27565"/>
    <cellStyle name="Header2 2 3 2 2 2 3 3 4" xfId="36755"/>
    <cellStyle name="Header2 2 3 2 2 2 3 4" xfId="17892"/>
    <cellStyle name="Header2 2 3 2 2 2 3 4 2" xfId="29709"/>
    <cellStyle name="Header2 2 3 2 2 2 3 4 2 2" xfId="39708"/>
    <cellStyle name="Header2 2 3 2 2 2 3 4 3" xfId="25467"/>
    <cellStyle name="Header2 2 3 2 2 2 3 4 4" xfId="34557"/>
    <cellStyle name="Header2 2 3 2 2 2 3 5" xfId="20899"/>
    <cellStyle name="Header2 2 3 2 2 2 3 5 2" xfId="32716"/>
    <cellStyle name="Header2 2 3 2 2 2 3 5 2 2" xfId="42715"/>
    <cellStyle name="Header2 2 3 2 2 2 3 5 3" xfId="37564"/>
    <cellStyle name="Header2 2 3 2 2 2 3 6" xfId="27999"/>
    <cellStyle name="Header2 2 3 2 2 2 3 6 2" xfId="37998"/>
    <cellStyle name="Header2 2 3 2 2 2 3 7" xfId="21471"/>
    <cellStyle name="Header2 2 3 2 2 2 4" xfId="15900"/>
    <cellStyle name="Header2 2 3 2 2 2 4 2" xfId="27717"/>
    <cellStyle name="Header2 2 3 2 2 2 4 2 2" xfId="37716"/>
    <cellStyle name="Header2 2 3 2 2 2 4 3" xfId="23778"/>
    <cellStyle name="Header2 2 3 2 2 2 4 4" xfId="32868"/>
    <cellStyle name="Header2 2 3 2 2 2 5" xfId="16668"/>
    <cellStyle name="Header2 2 3 2 2 2 5 2" xfId="28485"/>
    <cellStyle name="Header2 2 3 2 2 2 5 2 2" xfId="38484"/>
    <cellStyle name="Header2 2 3 2 2 2 5 3" xfId="24243"/>
    <cellStyle name="Header2 2 3 2 2 2 5 4" xfId="33333"/>
    <cellStyle name="Header2 2 3 2 2 2 6" xfId="16960"/>
    <cellStyle name="Header2 2 3 2 2 2 6 2" xfId="28777"/>
    <cellStyle name="Header2 2 3 2 2 2 6 2 2" xfId="38776"/>
    <cellStyle name="Header2 2 3 2 2 2 6 3" xfId="24535"/>
    <cellStyle name="Header2 2 3 2 2 2 6 4" xfId="33625"/>
    <cellStyle name="Header2 2 3 2 2 2 7" xfId="17116"/>
    <cellStyle name="Header2 2 3 2 2 2 7 2" xfId="28933"/>
    <cellStyle name="Header2 2 3 2 2 2 7 2 2" xfId="38932"/>
    <cellStyle name="Header2 2 3 2 2 2 7 3" xfId="24691"/>
    <cellStyle name="Header2 2 3 2 2 2 7 4" xfId="33781"/>
    <cellStyle name="Header2 2 3 2 2 2 8" xfId="17419"/>
    <cellStyle name="Header2 2 3 2 2 2 8 2" xfId="29236"/>
    <cellStyle name="Header2 2 3 2 2 2 8 2 2" xfId="39235"/>
    <cellStyle name="Header2 2 3 2 2 2 8 3" xfId="24994"/>
    <cellStyle name="Header2 2 3 2 2 2 8 4" xfId="34084"/>
    <cellStyle name="Header2 2 3 2 2 2 9" xfId="18516"/>
    <cellStyle name="Header2 2 3 2 2 2 9 2" xfId="30333"/>
    <cellStyle name="Header2 2 3 2 2 2 9 2 2" xfId="40332"/>
    <cellStyle name="Header2 2 3 2 2 2 9 3" xfId="25991"/>
    <cellStyle name="Header2 2 3 2 2 2 9 4" xfId="35181"/>
    <cellStyle name="Header2 2 3 2 2 3" xfId="7795"/>
    <cellStyle name="Header2 2 3 2 2 3 10" xfId="18807"/>
    <cellStyle name="Header2 2 3 2 2 3 10 2" xfId="30624"/>
    <cellStyle name="Header2 2 3 2 2 3 10 2 2" xfId="40623"/>
    <cellStyle name="Header2 2 3 2 2 3 10 3" xfId="26282"/>
    <cellStyle name="Header2 2 3 2 2 3 10 4" xfId="35472"/>
    <cellStyle name="Header2 2 3 2 2 3 11" xfId="18228"/>
    <cellStyle name="Header2 2 3 2 2 3 11 2" xfId="30045"/>
    <cellStyle name="Header2 2 3 2 2 3 11 2 2" xfId="40044"/>
    <cellStyle name="Header2 2 3 2 2 3 11 3" xfId="34893"/>
    <cellStyle name="Header2 2 3 2 2 3 12" xfId="23307"/>
    <cellStyle name="Header2 2 3 2 2 3 12 2" xfId="21158"/>
    <cellStyle name="Header2 2 3 2 2 3 13" xfId="22701"/>
    <cellStyle name="Header2 2 3 2 2 3 2" xfId="15602"/>
    <cellStyle name="Header2 2 3 2 2 3 2 2" xfId="19191"/>
    <cellStyle name="Header2 2 3 2 2 3 2 2 2" xfId="31008"/>
    <cellStyle name="Header2 2 3 2 2 3 2 2 2 2" xfId="41007"/>
    <cellStyle name="Header2 2 3 2 2 3 2 2 3" xfId="26666"/>
    <cellStyle name="Header2 2 3 2 2 3 2 2 4" xfId="35856"/>
    <cellStyle name="Header2 2 3 2 2 3 2 3" xfId="19797"/>
    <cellStyle name="Header2 2 3 2 2 3 2 3 2" xfId="31614"/>
    <cellStyle name="Header2 2 3 2 2 3 2 3 2 2" xfId="41613"/>
    <cellStyle name="Header2 2 3 2 2 3 2 3 3" xfId="27272"/>
    <cellStyle name="Header2 2 3 2 2 3 2 3 4" xfId="36462"/>
    <cellStyle name="Header2 2 3 2 2 3 2 4" xfId="18138"/>
    <cellStyle name="Header2 2 3 2 2 3 2 4 2" xfId="29955"/>
    <cellStyle name="Header2 2 3 2 2 3 2 4 2 2" xfId="39954"/>
    <cellStyle name="Header2 2 3 2 2 3 2 4 3" xfId="25713"/>
    <cellStyle name="Header2 2 3 2 2 3 2 4 4" xfId="34803"/>
    <cellStyle name="Header2 2 3 2 2 3 2 5" xfId="20606"/>
    <cellStyle name="Header2 2 3 2 2 3 2 5 2" xfId="32423"/>
    <cellStyle name="Header2 2 3 2 2 3 2 5 2 2" xfId="42422"/>
    <cellStyle name="Header2 2 3 2 2 3 2 5 3" xfId="37271"/>
    <cellStyle name="Header2 2 3 2 2 3 2 6" xfId="23480"/>
    <cellStyle name="Header2 2 3 2 2 3 2 6 2" xfId="21891"/>
    <cellStyle name="Header2 2 3 2 2 3 2 7" xfId="23055"/>
    <cellStyle name="Header2 2 3 2 2 3 2 7 2" xfId="22069"/>
    <cellStyle name="Header2 2 3 2 2 3 2 8" xfId="22377"/>
    <cellStyle name="Header2 2 3 2 2 3 3" xfId="16183"/>
    <cellStyle name="Header2 2 3 2 2 3 3 2" xfId="19483"/>
    <cellStyle name="Header2 2 3 2 2 3 3 2 2" xfId="31300"/>
    <cellStyle name="Header2 2 3 2 2 3 3 2 2 2" xfId="41299"/>
    <cellStyle name="Header2 2 3 2 2 3 3 2 3" xfId="26958"/>
    <cellStyle name="Header2 2 3 2 2 3 3 2 4" xfId="36148"/>
    <cellStyle name="Header2 2 3 2 2 3 3 3" xfId="20089"/>
    <cellStyle name="Header2 2 3 2 2 3 3 3 2" xfId="31906"/>
    <cellStyle name="Header2 2 3 2 2 3 3 3 2 2" xfId="41905"/>
    <cellStyle name="Header2 2 3 2 2 3 3 3 3" xfId="27564"/>
    <cellStyle name="Header2 2 3 2 2 3 3 3 4" xfId="36754"/>
    <cellStyle name="Header2 2 3 2 2 3 3 4" xfId="18054"/>
    <cellStyle name="Header2 2 3 2 2 3 3 4 2" xfId="29871"/>
    <cellStyle name="Header2 2 3 2 2 3 3 4 2 2" xfId="39870"/>
    <cellStyle name="Header2 2 3 2 2 3 3 4 3" xfId="25629"/>
    <cellStyle name="Header2 2 3 2 2 3 3 4 4" xfId="34719"/>
    <cellStyle name="Header2 2 3 2 2 3 3 5" xfId="20898"/>
    <cellStyle name="Header2 2 3 2 2 3 3 5 2" xfId="32715"/>
    <cellStyle name="Header2 2 3 2 2 3 3 5 2 2" xfId="42714"/>
    <cellStyle name="Header2 2 3 2 2 3 3 5 3" xfId="37563"/>
    <cellStyle name="Header2 2 3 2 2 3 3 6" xfId="28000"/>
    <cellStyle name="Header2 2 3 2 2 3 3 6 2" xfId="37999"/>
    <cellStyle name="Header2 2 3 2 2 3 3 7" xfId="21472"/>
    <cellStyle name="Header2 2 3 2 2 3 4" xfId="15901"/>
    <cellStyle name="Header2 2 3 2 2 3 4 2" xfId="27718"/>
    <cellStyle name="Header2 2 3 2 2 3 4 2 2" xfId="37717"/>
    <cellStyle name="Header2 2 3 2 2 3 4 3" xfId="23779"/>
    <cellStyle name="Header2 2 3 2 2 3 4 4" xfId="32869"/>
    <cellStyle name="Header2 2 3 2 2 3 5" xfId="16667"/>
    <cellStyle name="Header2 2 3 2 2 3 5 2" xfId="28484"/>
    <cellStyle name="Header2 2 3 2 2 3 5 2 2" xfId="38483"/>
    <cellStyle name="Header2 2 3 2 2 3 5 3" xfId="24242"/>
    <cellStyle name="Header2 2 3 2 2 3 5 4" xfId="33332"/>
    <cellStyle name="Header2 2 3 2 2 3 6" xfId="16959"/>
    <cellStyle name="Header2 2 3 2 2 3 6 2" xfId="28776"/>
    <cellStyle name="Header2 2 3 2 2 3 6 2 2" xfId="38775"/>
    <cellStyle name="Header2 2 3 2 2 3 6 3" xfId="24534"/>
    <cellStyle name="Header2 2 3 2 2 3 6 4" xfId="33624"/>
    <cellStyle name="Header2 2 3 2 2 3 7" xfId="17117"/>
    <cellStyle name="Header2 2 3 2 2 3 7 2" xfId="28934"/>
    <cellStyle name="Header2 2 3 2 2 3 7 2 2" xfId="38933"/>
    <cellStyle name="Header2 2 3 2 2 3 7 3" xfId="24692"/>
    <cellStyle name="Header2 2 3 2 2 3 7 4" xfId="33782"/>
    <cellStyle name="Header2 2 3 2 2 3 8" xfId="17420"/>
    <cellStyle name="Header2 2 3 2 2 3 8 2" xfId="29237"/>
    <cellStyle name="Header2 2 3 2 2 3 8 2 2" xfId="39236"/>
    <cellStyle name="Header2 2 3 2 2 3 8 3" xfId="24995"/>
    <cellStyle name="Header2 2 3 2 2 3 8 4" xfId="34085"/>
    <cellStyle name="Header2 2 3 2 2 3 9" xfId="18515"/>
    <cellStyle name="Header2 2 3 2 2 3 9 2" xfId="30332"/>
    <cellStyle name="Header2 2 3 2 2 3 9 2 2" xfId="40331"/>
    <cellStyle name="Header2 2 3 2 2 3 9 3" xfId="25990"/>
    <cellStyle name="Header2 2 3 2 2 3 9 4" xfId="35180"/>
    <cellStyle name="Header2 2 3 2 2 4" xfId="7796"/>
    <cellStyle name="Header2 2 3 2 2 4 10" xfId="18806"/>
    <cellStyle name="Header2 2 3 2 2 4 10 2" xfId="30623"/>
    <cellStyle name="Header2 2 3 2 2 4 10 2 2" xfId="40622"/>
    <cellStyle name="Header2 2 3 2 2 4 10 3" xfId="26281"/>
    <cellStyle name="Header2 2 3 2 2 4 10 4" xfId="35471"/>
    <cellStyle name="Header2 2 3 2 2 4 11" xfId="20231"/>
    <cellStyle name="Header2 2 3 2 2 4 11 2" xfId="32048"/>
    <cellStyle name="Header2 2 3 2 2 4 11 2 2" xfId="42047"/>
    <cellStyle name="Header2 2 3 2 2 4 11 3" xfId="36896"/>
    <cellStyle name="Header2 2 3 2 2 4 12" xfId="23306"/>
    <cellStyle name="Header2 2 3 2 2 4 12 2" xfId="21159"/>
    <cellStyle name="Header2 2 3 2 2 4 13" xfId="22700"/>
    <cellStyle name="Header2 2 3 2 2 4 2" xfId="15603"/>
    <cellStyle name="Header2 2 3 2 2 4 2 2" xfId="19190"/>
    <cellStyle name="Header2 2 3 2 2 4 2 2 2" xfId="31007"/>
    <cellStyle name="Header2 2 3 2 2 4 2 2 2 2" xfId="41006"/>
    <cellStyle name="Header2 2 3 2 2 4 2 2 3" xfId="26665"/>
    <cellStyle name="Header2 2 3 2 2 4 2 2 4" xfId="35855"/>
    <cellStyle name="Header2 2 3 2 2 4 2 3" xfId="19796"/>
    <cellStyle name="Header2 2 3 2 2 4 2 3 2" xfId="31613"/>
    <cellStyle name="Header2 2 3 2 2 4 2 3 2 2" xfId="41612"/>
    <cellStyle name="Header2 2 3 2 2 4 2 3 3" xfId="27271"/>
    <cellStyle name="Header2 2 3 2 2 4 2 3 4" xfId="36461"/>
    <cellStyle name="Header2 2 3 2 2 4 2 4" xfId="17966"/>
    <cellStyle name="Header2 2 3 2 2 4 2 4 2" xfId="29783"/>
    <cellStyle name="Header2 2 3 2 2 4 2 4 2 2" xfId="39782"/>
    <cellStyle name="Header2 2 3 2 2 4 2 4 3" xfId="25541"/>
    <cellStyle name="Header2 2 3 2 2 4 2 4 4" xfId="34631"/>
    <cellStyle name="Header2 2 3 2 2 4 2 5" xfId="20605"/>
    <cellStyle name="Header2 2 3 2 2 4 2 5 2" xfId="32422"/>
    <cellStyle name="Header2 2 3 2 2 4 2 5 2 2" xfId="42421"/>
    <cellStyle name="Header2 2 3 2 2 4 2 5 3" xfId="37270"/>
    <cellStyle name="Header2 2 3 2 2 4 2 6" xfId="23481"/>
    <cellStyle name="Header2 2 3 2 2 4 2 6 2" xfId="21890"/>
    <cellStyle name="Header2 2 3 2 2 4 2 7" xfId="23054"/>
    <cellStyle name="Header2 2 3 2 2 4 2 7 2" xfId="21297"/>
    <cellStyle name="Header2 2 3 2 2 4 2 8" xfId="22378"/>
    <cellStyle name="Header2 2 3 2 2 4 3" xfId="16184"/>
    <cellStyle name="Header2 2 3 2 2 4 3 2" xfId="19482"/>
    <cellStyle name="Header2 2 3 2 2 4 3 2 2" xfId="31299"/>
    <cellStyle name="Header2 2 3 2 2 4 3 2 2 2" xfId="41298"/>
    <cellStyle name="Header2 2 3 2 2 4 3 2 3" xfId="26957"/>
    <cellStyle name="Header2 2 3 2 2 4 3 2 4" xfId="36147"/>
    <cellStyle name="Header2 2 3 2 2 4 3 3" xfId="20088"/>
    <cellStyle name="Header2 2 3 2 2 4 3 3 2" xfId="31905"/>
    <cellStyle name="Header2 2 3 2 2 4 3 3 2 2" xfId="41904"/>
    <cellStyle name="Header2 2 3 2 2 4 3 3 3" xfId="27563"/>
    <cellStyle name="Header2 2 3 2 2 4 3 3 4" xfId="36753"/>
    <cellStyle name="Header2 2 3 2 2 4 3 4" xfId="18913"/>
    <cellStyle name="Header2 2 3 2 2 4 3 4 2" xfId="30730"/>
    <cellStyle name="Header2 2 3 2 2 4 3 4 2 2" xfId="40729"/>
    <cellStyle name="Header2 2 3 2 2 4 3 4 3" xfId="26388"/>
    <cellStyle name="Header2 2 3 2 2 4 3 4 4" xfId="35578"/>
    <cellStyle name="Header2 2 3 2 2 4 3 5" xfId="20897"/>
    <cellStyle name="Header2 2 3 2 2 4 3 5 2" xfId="32714"/>
    <cellStyle name="Header2 2 3 2 2 4 3 5 2 2" xfId="42713"/>
    <cellStyle name="Header2 2 3 2 2 4 3 5 3" xfId="37562"/>
    <cellStyle name="Header2 2 3 2 2 4 3 6" xfId="28001"/>
    <cellStyle name="Header2 2 3 2 2 4 3 6 2" xfId="38000"/>
    <cellStyle name="Header2 2 3 2 2 4 3 7" xfId="21473"/>
    <cellStyle name="Header2 2 3 2 2 4 4" xfId="15902"/>
    <cellStyle name="Header2 2 3 2 2 4 4 2" xfId="27719"/>
    <cellStyle name="Header2 2 3 2 2 4 4 2 2" xfId="37718"/>
    <cellStyle name="Header2 2 3 2 2 4 4 3" xfId="23780"/>
    <cellStyle name="Header2 2 3 2 2 4 4 4" xfId="32870"/>
    <cellStyle name="Header2 2 3 2 2 4 5" xfId="16666"/>
    <cellStyle name="Header2 2 3 2 2 4 5 2" xfId="28483"/>
    <cellStyle name="Header2 2 3 2 2 4 5 2 2" xfId="38482"/>
    <cellStyle name="Header2 2 3 2 2 4 5 3" xfId="24241"/>
    <cellStyle name="Header2 2 3 2 2 4 5 4" xfId="33331"/>
    <cellStyle name="Header2 2 3 2 2 4 6" xfId="16958"/>
    <cellStyle name="Header2 2 3 2 2 4 6 2" xfId="28775"/>
    <cellStyle name="Header2 2 3 2 2 4 6 2 2" xfId="38774"/>
    <cellStyle name="Header2 2 3 2 2 4 6 3" xfId="24533"/>
    <cellStyle name="Header2 2 3 2 2 4 6 4" xfId="33623"/>
    <cellStyle name="Header2 2 3 2 2 4 7" xfId="17118"/>
    <cellStyle name="Header2 2 3 2 2 4 7 2" xfId="28935"/>
    <cellStyle name="Header2 2 3 2 2 4 7 2 2" xfId="38934"/>
    <cellStyle name="Header2 2 3 2 2 4 7 3" xfId="24693"/>
    <cellStyle name="Header2 2 3 2 2 4 7 4" xfId="33783"/>
    <cellStyle name="Header2 2 3 2 2 4 8" xfId="17421"/>
    <cellStyle name="Header2 2 3 2 2 4 8 2" xfId="29238"/>
    <cellStyle name="Header2 2 3 2 2 4 8 2 2" xfId="39237"/>
    <cellStyle name="Header2 2 3 2 2 4 8 3" xfId="24996"/>
    <cellStyle name="Header2 2 3 2 2 4 8 4" xfId="34086"/>
    <cellStyle name="Header2 2 3 2 2 4 9" xfId="18514"/>
    <cellStyle name="Header2 2 3 2 2 4 9 2" xfId="30331"/>
    <cellStyle name="Header2 2 3 2 2 4 9 2 2" xfId="40330"/>
    <cellStyle name="Header2 2 3 2 2 4 9 3" xfId="25989"/>
    <cellStyle name="Header2 2 3 2 2 4 9 4" xfId="35179"/>
    <cellStyle name="Header2 2 3 2 2 5" xfId="15600"/>
    <cellStyle name="Header2 2 3 2 2 5 2" xfId="19193"/>
    <cellStyle name="Header2 2 3 2 2 5 2 2" xfId="31010"/>
    <cellStyle name="Header2 2 3 2 2 5 2 2 2" xfId="41009"/>
    <cellStyle name="Header2 2 3 2 2 5 2 3" xfId="26668"/>
    <cellStyle name="Header2 2 3 2 2 5 2 4" xfId="35858"/>
    <cellStyle name="Header2 2 3 2 2 5 3" xfId="19799"/>
    <cellStyle name="Header2 2 3 2 2 5 3 2" xfId="31616"/>
    <cellStyle name="Header2 2 3 2 2 5 3 2 2" xfId="41615"/>
    <cellStyle name="Header2 2 3 2 2 5 3 3" xfId="27274"/>
    <cellStyle name="Header2 2 3 2 2 5 3 4" xfId="36464"/>
    <cellStyle name="Header2 2 3 2 2 5 4" xfId="17964"/>
    <cellStyle name="Header2 2 3 2 2 5 4 2" xfId="29781"/>
    <cellStyle name="Header2 2 3 2 2 5 4 2 2" xfId="39780"/>
    <cellStyle name="Header2 2 3 2 2 5 4 3" xfId="25539"/>
    <cellStyle name="Header2 2 3 2 2 5 4 4" xfId="34629"/>
    <cellStyle name="Header2 2 3 2 2 5 5" xfId="20608"/>
    <cellStyle name="Header2 2 3 2 2 5 5 2" xfId="32425"/>
    <cellStyle name="Header2 2 3 2 2 5 5 2 2" xfId="42424"/>
    <cellStyle name="Header2 2 3 2 2 5 5 3" xfId="37273"/>
    <cellStyle name="Header2 2 3 2 2 5 6" xfId="23478"/>
    <cellStyle name="Header2 2 3 2 2 5 6 2" xfId="21893"/>
    <cellStyle name="Header2 2 3 2 2 5 7" xfId="23057"/>
    <cellStyle name="Header2 2 3 2 2 5 7 2" xfId="21295"/>
    <cellStyle name="Header2 2 3 2 2 5 8" xfId="21618"/>
    <cellStyle name="Header2 2 3 2 2 6" xfId="16181"/>
    <cellStyle name="Header2 2 3 2 2 6 2" xfId="19485"/>
    <cellStyle name="Header2 2 3 2 2 6 2 2" xfId="31302"/>
    <cellStyle name="Header2 2 3 2 2 6 2 2 2" xfId="41301"/>
    <cellStyle name="Header2 2 3 2 2 6 2 3" xfId="26960"/>
    <cellStyle name="Header2 2 3 2 2 6 2 4" xfId="36150"/>
    <cellStyle name="Header2 2 3 2 2 6 3" xfId="20091"/>
    <cellStyle name="Header2 2 3 2 2 6 3 2" xfId="31908"/>
    <cellStyle name="Header2 2 3 2 2 6 3 2 2" xfId="41907"/>
    <cellStyle name="Header2 2 3 2 2 6 3 3" xfId="27566"/>
    <cellStyle name="Header2 2 3 2 2 6 3 4" xfId="36756"/>
    <cellStyle name="Header2 2 3 2 2 6 4" xfId="18912"/>
    <cellStyle name="Header2 2 3 2 2 6 4 2" xfId="30729"/>
    <cellStyle name="Header2 2 3 2 2 6 4 2 2" xfId="40728"/>
    <cellStyle name="Header2 2 3 2 2 6 4 3" xfId="26387"/>
    <cellStyle name="Header2 2 3 2 2 6 4 4" xfId="35577"/>
    <cellStyle name="Header2 2 3 2 2 6 5" xfId="20900"/>
    <cellStyle name="Header2 2 3 2 2 6 5 2" xfId="32717"/>
    <cellStyle name="Header2 2 3 2 2 6 5 2 2" xfId="42716"/>
    <cellStyle name="Header2 2 3 2 2 6 5 3" xfId="37565"/>
    <cellStyle name="Header2 2 3 2 2 6 6" xfId="27998"/>
    <cellStyle name="Header2 2 3 2 2 6 6 2" xfId="37997"/>
    <cellStyle name="Header2 2 3 2 2 6 7" xfId="22232"/>
    <cellStyle name="Header2 2 3 2 2 7" xfId="15899"/>
    <cellStyle name="Header2 2 3 2 2 7 2" xfId="27716"/>
    <cellStyle name="Header2 2 3 2 2 7 2 2" xfId="37715"/>
    <cellStyle name="Header2 2 3 2 2 7 3" xfId="23777"/>
    <cellStyle name="Header2 2 3 2 2 7 4" xfId="32867"/>
    <cellStyle name="Header2 2 3 2 2 8" xfId="16669"/>
    <cellStyle name="Header2 2 3 2 2 8 2" xfId="28486"/>
    <cellStyle name="Header2 2 3 2 2 8 2 2" xfId="38485"/>
    <cellStyle name="Header2 2 3 2 2 8 3" xfId="24244"/>
    <cellStyle name="Header2 2 3 2 2 8 4" xfId="33334"/>
    <cellStyle name="Header2 2 3 2 2 9" xfId="16961"/>
    <cellStyle name="Header2 2 3 2 2 9 2" xfId="28778"/>
    <cellStyle name="Header2 2 3 2 2 9 2 2" xfId="38777"/>
    <cellStyle name="Header2 2 3 2 2 9 3" xfId="24536"/>
    <cellStyle name="Header2 2 3 2 2 9 4" xfId="33626"/>
    <cellStyle name="Header2 2 3 2 3" xfId="7797"/>
    <cellStyle name="Header2 2 3 2 3 10" xfId="17119"/>
    <cellStyle name="Header2 2 3 2 3 10 2" xfId="28936"/>
    <cellStyle name="Header2 2 3 2 3 10 2 2" xfId="38935"/>
    <cellStyle name="Header2 2 3 2 3 10 3" xfId="24694"/>
    <cellStyle name="Header2 2 3 2 3 10 4" xfId="33784"/>
    <cellStyle name="Header2 2 3 2 3 11" xfId="17422"/>
    <cellStyle name="Header2 2 3 2 3 11 2" xfId="29239"/>
    <cellStyle name="Header2 2 3 2 3 11 2 2" xfId="39238"/>
    <cellStyle name="Header2 2 3 2 3 11 3" xfId="24997"/>
    <cellStyle name="Header2 2 3 2 3 11 4" xfId="34087"/>
    <cellStyle name="Header2 2 3 2 3 12" xfId="18513"/>
    <cellStyle name="Header2 2 3 2 3 12 2" xfId="30330"/>
    <cellStyle name="Header2 2 3 2 3 12 2 2" xfId="40329"/>
    <cellStyle name="Header2 2 3 2 3 12 3" xfId="25988"/>
    <cellStyle name="Header2 2 3 2 3 12 4" xfId="35178"/>
    <cellStyle name="Header2 2 3 2 3 13" xfId="18805"/>
    <cellStyle name="Header2 2 3 2 3 13 2" xfId="30622"/>
    <cellStyle name="Header2 2 3 2 3 13 2 2" xfId="40621"/>
    <cellStyle name="Header2 2 3 2 3 13 3" xfId="26280"/>
    <cellStyle name="Header2 2 3 2 3 13 4" xfId="35470"/>
    <cellStyle name="Header2 2 3 2 3 14" xfId="20329"/>
    <cellStyle name="Header2 2 3 2 3 14 2" xfId="32146"/>
    <cellStyle name="Header2 2 3 2 3 14 2 2" xfId="42145"/>
    <cellStyle name="Header2 2 3 2 3 14 3" xfId="36994"/>
    <cellStyle name="Header2 2 3 2 3 15" xfId="23305"/>
    <cellStyle name="Header2 2 3 2 3 15 2" xfId="21160"/>
    <cellStyle name="Header2 2 3 2 3 16" xfId="22699"/>
    <cellStyle name="Header2 2 3 2 3 2" xfId="7798"/>
    <cellStyle name="Header2 2 3 2 3 2 10" xfId="18804"/>
    <cellStyle name="Header2 2 3 2 3 2 10 2" xfId="30621"/>
    <cellStyle name="Header2 2 3 2 3 2 10 2 2" xfId="40620"/>
    <cellStyle name="Header2 2 3 2 3 2 10 3" xfId="26279"/>
    <cellStyle name="Header2 2 3 2 3 2 10 4" xfId="35469"/>
    <cellStyle name="Header2 2 3 2 3 2 11" xfId="20250"/>
    <cellStyle name="Header2 2 3 2 3 2 11 2" xfId="32067"/>
    <cellStyle name="Header2 2 3 2 3 2 11 2 2" xfId="42066"/>
    <cellStyle name="Header2 2 3 2 3 2 11 3" xfId="36915"/>
    <cellStyle name="Header2 2 3 2 3 2 12" xfId="23304"/>
    <cellStyle name="Header2 2 3 2 3 2 12 2" xfId="21161"/>
    <cellStyle name="Header2 2 3 2 3 2 13" xfId="22698"/>
    <cellStyle name="Header2 2 3 2 3 2 2" xfId="15605"/>
    <cellStyle name="Header2 2 3 2 3 2 2 2" xfId="19188"/>
    <cellStyle name="Header2 2 3 2 3 2 2 2 2" xfId="31005"/>
    <cellStyle name="Header2 2 3 2 3 2 2 2 2 2" xfId="41004"/>
    <cellStyle name="Header2 2 3 2 3 2 2 2 3" xfId="26663"/>
    <cellStyle name="Header2 2 3 2 3 2 2 2 4" xfId="35853"/>
    <cellStyle name="Header2 2 3 2 3 2 2 3" xfId="19794"/>
    <cellStyle name="Header2 2 3 2 3 2 2 3 2" xfId="31611"/>
    <cellStyle name="Header2 2 3 2 3 2 2 3 2 2" xfId="41610"/>
    <cellStyle name="Header2 2 3 2 3 2 2 3 3" xfId="27269"/>
    <cellStyle name="Header2 2 3 2 3 2 2 3 4" xfId="36459"/>
    <cellStyle name="Header2 2 3 2 3 2 2 4" xfId="17967"/>
    <cellStyle name="Header2 2 3 2 3 2 2 4 2" xfId="29784"/>
    <cellStyle name="Header2 2 3 2 3 2 2 4 2 2" xfId="39783"/>
    <cellStyle name="Header2 2 3 2 3 2 2 4 3" xfId="25542"/>
    <cellStyle name="Header2 2 3 2 3 2 2 4 4" xfId="34632"/>
    <cellStyle name="Header2 2 3 2 3 2 2 5" xfId="20603"/>
    <cellStyle name="Header2 2 3 2 3 2 2 5 2" xfId="32420"/>
    <cellStyle name="Header2 2 3 2 3 2 2 5 2 2" xfId="42419"/>
    <cellStyle name="Header2 2 3 2 3 2 2 5 3" xfId="37268"/>
    <cellStyle name="Header2 2 3 2 3 2 2 6" xfId="23483"/>
    <cellStyle name="Header2 2 3 2 3 2 2 6 2" xfId="21888"/>
    <cellStyle name="Header2 2 3 2 3 2 2 7" xfId="23052"/>
    <cellStyle name="Header2 2 3 2 3 2 2 7 2" xfId="21298"/>
    <cellStyle name="Header2 2 3 2 3 2 2 8" xfId="22380"/>
    <cellStyle name="Header2 2 3 2 3 2 3" xfId="16186"/>
    <cellStyle name="Header2 2 3 2 3 2 3 2" xfId="19480"/>
    <cellStyle name="Header2 2 3 2 3 2 3 2 2" xfId="31297"/>
    <cellStyle name="Header2 2 3 2 3 2 3 2 2 2" xfId="41296"/>
    <cellStyle name="Header2 2 3 2 3 2 3 2 3" xfId="26955"/>
    <cellStyle name="Header2 2 3 2 3 2 3 2 4" xfId="36145"/>
    <cellStyle name="Header2 2 3 2 3 2 3 3" xfId="20086"/>
    <cellStyle name="Header2 2 3 2 3 2 3 3 2" xfId="31903"/>
    <cellStyle name="Header2 2 3 2 3 2 3 3 2 2" xfId="41902"/>
    <cellStyle name="Header2 2 3 2 3 2 3 3 3" xfId="27561"/>
    <cellStyle name="Header2 2 3 2 3 2 3 3 4" xfId="36751"/>
    <cellStyle name="Header2 2 3 2 3 2 3 4" xfId="17760"/>
    <cellStyle name="Header2 2 3 2 3 2 3 4 2" xfId="29577"/>
    <cellStyle name="Header2 2 3 2 3 2 3 4 2 2" xfId="39576"/>
    <cellStyle name="Header2 2 3 2 3 2 3 4 3" xfId="25335"/>
    <cellStyle name="Header2 2 3 2 3 2 3 4 4" xfId="34425"/>
    <cellStyle name="Header2 2 3 2 3 2 3 5" xfId="20895"/>
    <cellStyle name="Header2 2 3 2 3 2 3 5 2" xfId="32712"/>
    <cellStyle name="Header2 2 3 2 3 2 3 5 2 2" xfId="42711"/>
    <cellStyle name="Header2 2 3 2 3 2 3 5 3" xfId="37560"/>
    <cellStyle name="Header2 2 3 2 3 2 3 6" xfId="28003"/>
    <cellStyle name="Header2 2 3 2 3 2 3 6 2" xfId="38002"/>
    <cellStyle name="Header2 2 3 2 3 2 3 7" xfId="21475"/>
    <cellStyle name="Header2 2 3 2 3 2 4" xfId="15904"/>
    <cellStyle name="Header2 2 3 2 3 2 4 2" xfId="27721"/>
    <cellStyle name="Header2 2 3 2 3 2 4 2 2" xfId="37720"/>
    <cellStyle name="Header2 2 3 2 3 2 4 3" xfId="23782"/>
    <cellStyle name="Header2 2 3 2 3 2 4 4" xfId="32872"/>
    <cellStyle name="Header2 2 3 2 3 2 5" xfId="16664"/>
    <cellStyle name="Header2 2 3 2 3 2 5 2" xfId="28481"/>
    <cellStyle name="Header2 2 3 2 3 2 5 2 2" xfId="38480"/>
    <cellStyle name="Header2 2 3 2 3 2 5 3" xfId="24239"/>
    <cellStyle name="Header2 2 3 2 3 2 5 4" xfId="33329"/>
    <cellStyle name="Header2 2 3 2 3 2 6" xfId="16956"/>
    <cellStyle name="Header2 2 3 2 3 2 6 2" xfId="28773"/>
    <cellStyle name="Header2 2 3 2 3 2 6 2 2" xfId="38772"/>
    <cellStyle name="Header2 2 3 2 3 2 6 3" xfId="24531"/>
    <cellStyle name="Header2 2 3 2 3 2 6 4" xfId="33621"/>
    <cellStyle name="Header2 2 3 2 3 2 7" xfId="17120"/>
    <cellStyle name="Header2 2 3 2 3 2 7 2" xfId="28937"/>
    <cellStyle name="Header2 2 3 2 3 2 7 2 2" xfId="38936"/>
    <cellStyle name="Header2 2 3 2 3 2 7 3" xfId="24695"/>
    <cellStyle name="Header2 2 3 2 3 2 7 4" xfId="33785"/>
    <cellStyle name="Header2 2 3 2 3 2 8" xfId="17423"/>
    <cellStyle name="Header2 2 3 2 3 2 8 2" xfId="29240"/>
    <cellStyle name="Header2 2 3 2 3 2 8 2 2" xfId="39239"/>
    <cellStyle name="Header2 2 3 2 3 2 8 3" xfId="24998"/>
    <cellStyle name="Header2 2 3 2 3 2 8 4" xfId="34088"/>
    <cellStyle name="Header2 2 3 2 3 2 9" xfId="18512"/>
    <cellStyle name="Header2 2 3 2 3 2 9 2" xfId="30329"/>
    <cellStyle name="Header2 2 3 2 3 2 9 2 2" xfId="40328"/>
    <cellStyle name="Header2 2 3 2 3 2 9 3" xfId="25987"/>
    <cellStyle name="Header2 2 3 2 3 2 9 4" xfId="35177"/>
    <cellStyle name="Header2 2 3 2 3 3" xfId="7799"/>
    <cellStyle name="Header2 2 3 2 3 3 10" xfId="18803"/>
    <cellStyle name="Header2 2 3 2 3 3 10 2" xfId="30620"/>
    <cellStyle name="Header2 2 3 2 3 3 10 2 2" xfId="40619"/>
    <cellStyle name="Header2 2 3 2 3 3 10 3" xfId="26278"/>
    <cellStyle name="Header2 2 3 2 3 3 10 4" xfId="35468"/>
    <cellStyle name="Header2 2 3 2 3 3 11" xfId="20347"/>
    <cellStyle name="Header2 2 3 2 3 3 11 2" xfId="32164"/>
    <cellStyle name="Header2 2 3 2 3 3 11 2 2" xfId="42163"/>
    <cellStyle name="Header2 2 3 2 3 3 11 3" xfId="37012"/>
    <cellStyle name="Header2 2 3 2 3 3 12" xfId="23303"/>
    <cellStyle name="Header2 2 3 2 3 3 12 2" xfId="21162"/>
    <cellStyle name="Header2 2 3 2 3 3 13" xfId="22697"/>
    <cellStyle name="Header2 2 3 2 3 3 2" xfId="15606"/>
    <cellStyle name="Header2 2 3 2 3 3 2 2" xfId="19187"/>
    <cellStyle name="Header2 2 3 2 3 3 2 2 2" xfId="31004"/>
    <cellStyle name="Header2 2 3 2 3 3 2 2 2 2" xfId="41003"/>
    <cellStyle name="Header2 2 3 2 3 3 2 2 3" xfId="26662"/>
    <cellStyle name="Header2 2 3 2 3 3 2 2 4" xfId="35852"/>
    <cellStyle name="Header2 2 3 2 3 3 2 3" xfId="19793"/>
    <cellStyle name="Header2 2 3 2 3 3 2 3 2" xfId="31610"/>
    <cellStyle name="Header2 2 3 2 3 3 2 3 2 2" xfId="41609"/>
    <cellStyle name="Header2 2 3 2 3 3 2 3 3" xfId="27268"/>
    <cellStyle name="Header2 2 3 2 3 3 2 3 4" xfId="36458"/>
    <cellStyle name="Header2 2 3 2 3 3 2 4" xfId="17814"/>
    <cellStyle name="Header2 2 3 2 3 3 2 4 2" xfId="29631"/>
    <cellStyle name="Header2 2 3 2 3 3 2 4 2 2" xfId="39630"/>
    <cellStyle name="Header2 2 3 2 3 3 2 4 3" xfId="25389"/>
    <cellStyle name="Header2 2 3 2 3 3 2 4 4" xfId="34479"/>
    <cellStyle name="Header2 2 3 2 3 3 2 5" xfId="20602"/>
    <cellStyle name="Header2 2 3 2 3 3 2 5 2" xfId="32419"/>
    <cellStyle name="Header2 2 3 2 3 3 2 5 2 2" xfId="42418"/>
    <cellStyle name="Header2 2 3 2 3 3 2 5 3" xfId="37267"/>
    <cellStyle name="Header2 2 3 2 3 3 2 6" xfId="23484"/>
    <cellStyle name="Header2 2 3 2 3 3 2 6 2" xfId="21050"/>
    <cellStyle name="Header2 2 3 2 3 3 2 7" xfId="22868"/>
    <cellStyle name="Header2 2 3 2 3 3 2 7 2" xfId="21372"/>
    <cellStyle name="Header2 2 3 2 3 3 2 8" xfId="21619"/>
    <cellStyle name="Header2 2 3 2 3 3 3" xfId="16187"/>
    <cellStyle name="Header2 2 3 2 3 3 3 2" xfId="19479"/>
    <cellStyle name="Header2 2 3 2 3 3 3 2 2" xfId="31296"/>
    <cellStyle name="Header2 2 3 2 3 3 3 2 2 2" xfId="41295"/>
    <cellStyle name="Header2 2 3 2 3 3 3 2 3" xfId="26954"/>
    <cellStyle name="Header2 2 3 2 3 3 3 2 4" xfId="36144"/>
    <cellStyle name="Header2 2 3 2 3 3 3 3" xfId="20085"/>
    <cellStyle name="Header2 2 3 2 3 3 3 3 2" xfId="31902"/>
    <cellStyle name="Header2 2 3 2 3 3 3 3 2 2" xfId="41901"/>
    <cellStyle name="Header2 2 3 2 3 3 3 3 3" xfId="27560"/>
    <cellStyle name="Header2 2 3 2 3 3 3 3 4" xfId="36750"/>
    <cellStyle name="Header2 2 3 2 3 3 3 4" xfId="18056"/>
    <cellStyle name="Header2 2 3 2 3 3 3 4 2" xfId="29873"/>
    <cellStyle name="Header2 2 3 2 3 3 3 4 2 2" xfId="39872"/>
    <cellStyle name="Header2 2 3 2 3 3 3 4 3" xfId="25631"/>
    <cellStyle name="Header2 2 3 2 3 3 3 4 4" xfId="34721"/>
    <cellStyle name="Header2 2 3 2 3 3 3 5" xfId="20894"/>
    <cellStyle name="Header2 2 3 2 3 3 3 5 2" xfId="32711"/>
    <cellStyle name="Header2 2 3 2 3 3 3 5 2 2" xfId="42710"/>
    <cellStyle name="Header2 2 3 2 3 3 3 5 3" xfId="37559"/>
    <cellStyle name="Header2 2 3 2 3 3 3 6" xfId="28004"/>
    <cellStyle name="Header2 2 3 2 3 3 3 6 2" xfId="38003"/>
    <cellStyle name="Header2 2 3 2 3 3 3 7" xfId="22233"/>
    <cellStyle name="Header2 2 3 2 3 3 4" xfId="15905"/>
    <cellStyle name="Header2 2 3 2 3 3 4 2" xfId="27722"/>
    <cellStyle name="Header2 2 3 2 3 3 4 2 2" xfId="37721"/>
    <cellStyle name="Header2 2 3 2 3 3 4 3" xfId="23783"/>
    <cellStyle name="Header2 2 3 2 3 3 4 4" xfId="32873"/>
    <cellStyle name="Header2 2 3 2 3 3 5" xfId="16663"/>
    <cellStyle name="Header2 2 3 2 3 3 5 2" xfId="28480"/>
    <cellStyle name="Header2 2 3 2 3 3 5 2 2" xfId="38479"/>
    <cellStyle name="Header2 2 3 2 3 3 5 3" xfId="24238"/>
    <cellStyle name="Header2 2 3 2 3 3 5 4" xfId="33328"/>
    <cellStyle name="Header2 2 3 2 3 3 6" xfId="16955"/>
    <cellStyle name="Header2 2 3 2 3 3 6 2" xfId="28772"/>
    <cellStyle name="Header2 2 3 2 3 3 6 2 2" xfId="38771"/>
    <cellStyle name="Header2 2 3 2 3 3 6 3" xfId="24530"/>
    <cellStyle name="Header2 2 3 2 3 3 6 4" xfId="33620"/>
    <cellStyle name="Header2 2 3 2 3 3 7" xfId="17121"/>
    <cellStyle name="Header2 2 3 2 3 3 7 2" xfId="28938"/>
    <cellStyle name="Header2 2 3 2 3 3 7 2 2" xfId="38937"/>
    <cellStyle name="Header2 2 3 2 3 3 7 3" xfId="24696"/>
    <cellStyle name="Header2 2 3 2 3 3 7 4" xfId="33786"/>
    <cellStyle name="Header2 2 3 2 3 3 8" xfId="17424"/>
    <cellStyle name="Header2 2 3 2 3 3 8 2" xfId="29241"/>
    <cellStyle name="Header2 2 3 2 3 3 8 2 2" xfId="39240"/>
    <cellStyle name="Header2 2 3 2 3 3 8 3" xfId="24999"/>
    <cellStyle name="Header2 2 3 2 3 3 8 4" xfId="34089"/>
    <cellStyle name="Header2 2 3 2 3 3 9" xfId="18511"/>
    <cellStyle name="Header2 2 3 2 3 3 9 2" xfId="30328"/>
    <cellStyle name="Header2 2 3 2 3 3 9 2 2" xfId="40327"/>
    <cellStyle name="Header2 2 3 2 3 3 9 3" xfId="25986"/>
    <cellStyle name="Header2 2 3 2 3 3 9 4" xfId="35176"/>
    <cellStyle name="Header2 2 3 2 3 4" xfId="7800"/>
    <cellStyle name="Header2 2 3 2 3 4 10" xfId="18802"/>
    <cellStyle name="Header2 2 3 2 3 4 10 2" xfId="30619"/>
    <cellStyle name="Header2 2 3 2 3 4 10 2 2" xfId="40618"/>
    <cellStyle name="Header2 2 3 2 3 4 10 3" xfId="26277"/>
    <cellStyle name="Header2 2 3 2 3 4 10 4" xfId="35467"/>
    <cellStyle name="Header2 2 3 2 3 4 11" xfId="18229"/>
    <cellStyle name="Header2 2 3 2 3 4 11 2" xfId="30046"/>
    <cellStyle name="Header2 2 3 2 3 4 11 2 2" xfId="40045"/>
    <cellStyle name="Header2 2 3 2 3 4 11 3" xfId="34894"/>
    <cellStyle name="Header2 2 3 2 3 4 12" xfId="23302"/>
    <cellStyle name="Header2 2 3 2 3 4 12 2" xfId="21163"/>
    <cellStyle name="Header2 2 3 2 3 4 13" xfId="22696"/>
    <cellStyle name="Header2 2 3 2 3 4 2" xfId="15607"/>
    <cellStyle name="Header2 2 3 2 3 4 2 2" xfId="19186"/>
    <cellStyle name="Header2 2 3 2 3 4 2 2 2" xfId="31003"/>
    <cellStyle name="Header2 2 3 2 3 4 2 2 2 2" xfId="41002"/>
    <cellStyle name="Header2 2 3 2 3 4 2 2 3" xfId="26661"/>
    <cellStyle name="Header2 2 3 2 3 4 2 2 4" xfId="35851"/>
    <cellStyle name="Header2 2 3 2 3 4 2 3" xfId="19792"/>
    <cellStyle name="Header2 2 3 2 3 4 2 3 2" xfId="31609"/>
    <cellStyle name="Header2 2 3 2 3 4 2 3 2 2" xfId="41608"/>
    <cellStyle name="Header2 2 3 2 3 4 2 3 3" xfId="27267"/>
    <cellStyle name="Header2 2 3 2 3 4 2 3 4" xfId="36457"/>
    <cellStyle name="Header2 2 3 2 3 4 2 4" xfId="18140"/>
    <cellStyle name="Header2 2 3 2 3 4 2 4 2" xfId="29957"/>
    <cellStyle name="Header2 2 3 2 3 4 2 4 2 2" xfId="39956"/>
    <cellStyle name="Header2 2 3 2 3 4 2 4 3" xfId="25715"/>
    <cellStyle name="Header2 2 3 2 3 4 2 4 4" xfId="34805"/>
    <cellStyle name="Header2 2 3 2 3 4 2 5" xfId="20601"/>
    <cellStyle name="Header2 2 3 2 3 4 2 5 2" xfId="32418"/>
    <cellStyle name="Header2 2 3 2 3 4 2 5 2 2" xfId="42417"/>
    <cellStyle name="Header2 2 3 2 3 4 2 5 3" xfId="37266"/>
    <cellStyle name="Header2 2 3 2 3 4 2 6" xfId="23485"/>
    <cellStyle name="Header2 2 3 2 3 4 2 6 2" xfId="21887"/>
    <cellStyle name="Header2 2 3 2 3 4 2 7" xfId="23051"/>
    <cellStyle name="Header2 2 3 2 3 4 2 7 2" xfId="22071"/>
    <cellStyle name="Header2 2 3 2 3 4 2 8" xfId="22381"/>
    <cellStyle name="Header2 2 3 2 3 4 3" xfId="16188"/>
    <cellStyle name="Header2 2 3 2 3 4 3 2" xfId="19478"/>
    <cellStyle name="Header2 2 3 2 3 4 3 2 2" xfId="31295"/>
    <cellStyle name="Header2 2 3 2 3 4 3 2 2 2" xfId="41294"/>
    <cellStyle name="Header2 2 3 2 3 4 3 2 3" xfId="26953"/>
    <cellStyle name="Header2 2 3 2 3 4 3 2 4" xfId="36143"/>
    <cellStyle name="Header2 2 3 2 3 4 3 3" xfId="20084"/>
    <cellStyle name="Header2 2 3 2 3 4 3 3 2" xfId="31901"/>
    <cellStyle name="Header2 2 3 2 3 4 3 3 2 2" xfId="41900"/>
    <cellStyle name="Header2 2 3 2 3 4 3 3 3" xfId="27559"/>
    <cellStyle name="Header2 2 3 2 3 4 3 3 4" xfId="36749"/>
    <cellStyle name="Header2 2 3 2 3 4 3 4" xfId="17649"/>
    <cellStyle name="Header2 2 3 2 3 4 3 4 2" xfId="29466"/>
    <cellStyle name="Header2 2 3 2 3 4 3 4 2 2" xfId="39465"/>
    <cellStyle name="Header2 2 3 2 3 4 3 4 3" xfId="25224"/>
    <cellStyle name="Header2 2 3 2 3 4 3 4 4" xfId="34314"/>
    <cellStyle name="Header2 2 3 2 3 4 3 5" xfId="20893"/>
    <cellStyle name="Header2 2 3 2 3 4 3 5 2" xfId="32710"/>
    <cellStyle name="Header2 2 3 2 3 4 3 5 2 2" xfId="42709"/>
    <cellStyle name="Header2 2 3 2 3 4 3 5 3" xfId="37558"/>
    <cellStyle name="Header2 2 3 2 3 4 3 6" xfId="28005"/>
    <cellStyle name="Header2 2 3 2 3 4 3 6 2" xfId="38004"/>
    <cellStyle name="Header2 2 3 2 3 4 3 7" xfId="21476"/>
    <cellStyle name="Header2 2 3 2 3 4 4" xfId="15906"/>
    <cellStyle name="Header2 2 3 2 3 4 4 2" xfId="27723"/>
    <cellStyle name="Header2 2 3 2 3 4 4 2 2" xfId="37722"/>
    <cellStyle name="Header2 2 3 2 3 4 4 3" xfId="23784"/>
    <cellStyle name="Header2 2 3 2 3 4 4 4" xfId="32874"/>
    <cellStyle name="Header2 2 3 2 3 4 5" xfId="16662"/>
    <cellStyle name="Header2 2 3 2 3 4 5 2" xfId="28479"/>
    <cellStyle name="Header2 2 3 2 3 4 5 2 2" xfId="38478"/>
    <cellStyle name="Header2 2 3 2 3 4 5 3" xfId="24237"/>
    <cellStyle name="Header2 2 3 2 3 4 5 4" xfId="33327"/>
    <cellStyle name="Header2 2 3 2 3 4 6" xfId="16954"/>
    <cellStyle name="Header2 2 3 2 3 4 6 2" xfId="28771"/>
    <cellStyle name="Header2 2 3 2 3 4 6 2 2" xfId="38770"/>
    <cellStyle name="Header2 2 3 2 3 4 6 3" xfId="24529"/>
    <cellStyle name="Header2 2 3 2 3 4 6 4" xfId="33619"/>
    <cellStyle name="Header2 2 3 2 3 4 7" xfId="17122"/>
    <cellStyle name="Header2 2 3 2 3 4 7 2" xfId="28939"/>
    <cellStyle name="Header2 2 3 2 3 4 7 2 2" xfId="38938"/>
    <cellStyle name="Header2 2 3 2 3 4 7 3" xfId="24697"/>
    <cellStyle name="Header2 2 3 2 3 4 7 4" xfId="33787"/>
    <cellStyle name="Header2 2 3 2 3 4 8" xfId="17425"/>
    <cellStyle name="Header2 2 3 2 3 4 8 2" xfId="29242"/>
    <cellStyle name="Header2 2 3 2 3 4 8 2 2" xfId="39241"/>
    <cellStyle name="Header2 2 3 2 3 4 8 3" xfId="25000"/>
    <cellStyle name="Header2 2 3 2 3 4 8 4" xfId="34090"/>
    <cellStyle name="Header2 2 3 2 3 4 9" xfId="18510"/>
    <cellStyle name="Header2 2 3 2 3 4 9 2" xfId="30327"/>
    <cellStyle name="Header2 2 3 2 3 4 9 2 2" xfId="40326"/>
    <cellStyle name="Header2 2 3 2 3 4 9 3" xfId="25985"/>
    <cellStyle name="Header2 2 3 2 3 4 9 4" xfId="35175"/>
    <cellStyle name="Header2 2 3 2 3 5" xfId="15604"/>
    <cellStyle name="Header2 2 3 2 3 5 2" xfId="19189"/>
    <cellStyle name="Header2 2 3 2 3 5 2 2" xfId="31006"/>
    <cellStyle name="Header2 2 3 2 3 5 2 2 2" xfId="41005"/>
    <cellStyle name="Header2 2 3 2 3 5 2 3" xfId="26664"/>
    <cellStyle name="Header2 2 3 2 3 5 2 4" xfId="35854"/>
    <cellStyle name="Header2 2 3 2 3 5 3" xfId="19795"/>
    <cellStyle name="Header2 2 3 2 3 5 3 2" xfId="31612"/>
    <cellStyle name="Header2 2 3 2 3 5 3 2 2" xfId="41611"/>
    <cellStyle name="Header2 2 3 2 3 5 3 3" xfId="27270"/>
    <cellStyle name="Header2 2 3 2 3 5 3 4" xfId="36460"/>
    <cellStyle name="Header2 2 3 2 3 5 4" xfId="18139"/>
    <cellStyle name="Header2 2 3 2 3 5 4 2" xfId="29956"/>
    <cellStyle name="Header2 2 3 2 3 5 4 2 2" xfId="39955"/>
    <cellStyle name="Header2 2 3 2 3 5 4 3" xfId="25714"/>
    <cellStyle name="Header2 2 3 2 3 5 4 4" xfId="34804"/>
    <cellStyle name="Header2 2 3 2 3 5 5" xfId="20604"/>
    <cellStyle name="Header2 2 3 2 3 5 5 2" xfId="32421"/>
    <cellStyle name="Header2 2 3 2 3 5 5 2 2" xfId="42420"/>
    <cellStyle name="Header2 2 3 2 3 5 5 3" xfId="37269"/>
    <cellStyle name="Header2 2 3 2 3 5 6" xfId="23482"/>
    <cellStyle name="Header2 2 3 2 3 5 6 2" xfId="21889"/>
    <cellStyle name="Header2 2 3 2 3 5 7" xfId="23053"/>
    <cellStyle name="Header2 2 3 2 3 5 7 2" xfId="22070"/>
    <cellStyle name="Header2 2 3 2 3 5 8" xfId="22379"/>
    <cellStyle name="Header2 2 3 2 3 6" xfId="16185"/>
    <cellStyle name="Header2 2 3 2 3 6 2" xfId="19481"/>
    <cellStyle name="Header2 2 3 2 3 6 2 2" xfId="31298"/>
    <cellStyle name="Header2 2 3 2 3 6 2 2 2" xfId="41297"/>
    <cellStyle name="Header2 2 3 2 3 6 2 3" xfId="26956"/>
    <cellStyle name="Header2 2 3 2 3 6 2 4" xfId="36146"/>
    <cellStyle name="Header2 2 3 2 3 6 3" xfId="20087"/>
    <cellStyle name="Header2 2 3 2 3 6 3 2" xfId="31904"/>
    <cellStyle name="Header2 2 3 2 3 6 3 2 2" xfId="41903"/>
    <cellStyle name="Header2 2 3 2 3 6 3 3" xfId="27562"/>
    <cellStyle name="Header2 2 3 2 3 6 3 4" xfId="36752"/>
    <cellStyle name="Header2 2 3 2 3 6 4" xfId="18055"/>
    <cellStyle name="Header2 2 3 2 3 6 4 2" xfId="29872"/>
    <cellStyle name="Header2 2 3 2 3 6 4 2 2" xfId="39871"/>
    <cellStyle name="Header2 2 3 2 3 6 4 3" xfId="25630"/>
    <cellStyle name="Header2 2 3 2 3 6 4 4" xfId="34720"/>
    <cellStyle name="Header2 2 3 2 3 6 5" xfId="20896"/>
    <cellStyle name="Header2 2 3 2 3 6 5 2" xfId="32713"/>
    <cellStyle name="Header2 2 3 2 3 6 5 2 2" xfId="42712"/>
    <cellStyle name="Header2 2 3 2 3 6 5 3" xfId="37561"/>
    <cellStyle name="Header2 2 3 2 3 6 6" xfId="28002"/>
    <cellStyle name="Header2 2 3 2 3 6 6 2" xfId="38001"/>
    <cellStyle name="Header2 2 3 2 3 6 7" xfId="21474"/>
    <cellStyle name="Header2 2 3 2 3 7" xfId="15903"/>
    <cellStyle name="Header2 2 3 2 3 7 2" xfId="27720"/>
    <cellStyle name="Header2 2 3 2 3 7 2 2" xfId="37719"/>
    <cellStyle name="Header2 2 3 2 3 7 3" xfId="23781"/>
    <cellStyle name="Header2 2 3 2 3 7 4" xfId="32871"/>
    <cellStyle name="Header2 2 3 2 3 8" xfId="16665"/>
    <cellStyle name="Header2 2 3 2 3 8 2" xfId="28482"/>
    <cellStyle name="Header2 2 3 2 3 8 2 2" xfId="38481"/>
    <cellStyle name="Header2 2 3 2 3 8 3" xfId="24240"/>
    <cellStyle name="Header2 2 3 2 3 8 4" xfId="33330"/>
    <cellStyle name="Header2 2 3 2 3 9" xfId="16957"/>
    <cellStyle name="Header2 2 3 2 3 9 2" xfId="28774"/>
    <cellStyle name="Header2 2 3 2 3 9 2 2" xfId="38773"/>
    <cellStyle name="Header2 2 3 2 3 9 3" xfId="24532"/>
    <cellStyle name="Header2 2 3 2 3 9 4" xfId="33622"/>
    <cellStyle name="Header2 2 3 2 4" xfId="7801"/>
    <cellStyle name="Header2 2 3 2 4 10" xfId="18801"/>
    <cellStyle name="Header2 2 3 2 4 10 2" xfId="30618"/>
    <cellStyle name="Header2 2 3 2 4 10 2 2" xfId="40617"/>
    <cellStyle name="Header2 2 3 2 4 10 3" xfId="26276"/>
    <cellStyle name="Header2 2 3 2 4 10 4" xfId="35466"/>
    <cellStyle name="Header2 2 3 2 4 11" xfId="18230"/>
    <cellStyle name="Header2 2 3 2 4 11 2" xfId="30047"/>
    <cellStyle name="Header2 2 3 2 4 11 2 2" xfId="40046"/>
    <cellStyle name="Header2 2 3 2 4 11 3" xfId="34895"/>
    <cellStyle name="Header2 2 3 2 4 12" xfId="23301"/>
    <cellStyle name="Header2 2 3 2 4 12 2" xfId="21164"/>
    <cellStyle name="Header2 2 3 2 4 13" xfId="22695"/>
    <cellStyle name="Header2 2 3 2 4 2" xfId="15608"/>
    <cellStyle name="Header2 2 3 2 4 2 2" xfId="19185"/>
    <cellStyle name="Header2 2 3 2 4 2 2 2" xfId="31002"/>
    <cellStyle name="Header2 2 3 2 4 2 2 2 2" xfId="41001"/>
    <cellStyle name="Header2 2 3 2 4 2 2 3" xfId="26660"/>
    <cellStyle name="Header2 2 3 2 4 2 2 4" xfId="35850"/>
    <cellStyle name="Header2 2 3 2 4 2 3" xfId="19791"/>
    <cellStyle name="Header2 2 3 2 4 2 3 2" xfId="31608"/>
    <cellStyle name="Header2 2 3 2 4 2 3 2 2" xfId="41607"/>
    <cellStyle name="Header2 2 3 2 4 2 3 3" xfId="27266"/>
    <cellStyle name="Header2 2 3 2 4 2 3 4" xfId="36456"/>
    <cellStyle name="Header2 2 3 2 4 2 4" xfId="18141"/>
    <cellStyle name="Header2 2 3 2 4 2 4 2" xfId="29958"/>
    <cellStyle name="Header2 2 3 2 4 2 4 2 2" xfId="39957"/>
    <cellStyle name="Header2 2 3 2 4 2 4 3" xfId="25716"/>
    <cellStyle name="Header2 2 3 2 4 2 4 4" xfId="34806"/>
    <cellStyle name="Header2 2 3 2 4 2 5" xfId="20600"/>
    <cellStyle name="Header2 2 3 2 4 2 5 2" xfId="32417"/>
    <cellStyle name="Header2 2 3 2 4 2 5 2 2" xfId="42416"/>
    <cellStyle name="Header2 2 3 2 4 2 5 3" xfId="37265"/>
    <cellStyle name="Header2 2 3 2 4 2 6" xfId="23486"/>
    <cellStyle name="Header2 2 3 2 4 2 6 2" xfId="21049"/>
    <cellStyle name="Header2 2 3 2 4 2 7" xfId="22867"/>
    <cellStyle name="Header2 2 3 2 4 2 7 2" xfId="21373"/>
    <cellStyle name="Header2 2 3 2 4 2 8" xfId="22382"/>
    <cellStyle name="Header2 2 3 2 4 3" xfId="16189"/>
    <cellStyle name="Header2 2 3 2 4 3 2" xfId="19477"/>
    <cellStyle name="Header2 2 3 2 4 3 2 2" xfId="31294"/>
    <cellStyle name="Header2 2 3 2 4 3 2 2 2" xfId="41293"/>
    <cellStyle name="Header2 2 3 2 4 3 2 3" xfId="26952"/>
    <cellStyle name="Header2 2 3 2 4 3 2 4" xfId="36142"/>
    <cellStyle name="Header2 2 3 2 4 3 3" xfId="20083"/>
    <cellStyle name="Header2 2 3 2 4 3 3 2" xfId="31900"/>
    <cellStyle name="Header2 2 3 2 4 3 3 2 2" xfId="41899"/>
    <cellStyle name="Header2 2 3 2 4 3 3 3" xfId="27558"/>
    <cellStyle name="Header2 2 3 2 4 3 3 4" xfId="36748"/>
    <cellStyle name="Header2 2 3 2 4 3 4" xfId="17893"/>
    <cellStyle name="Header2 2 3 2 4 3 4 2" xfId="29710"/>
    <cellStyle name="Header2 2 3 2 4 3 4 2 2" xfId="39709"/>
    <cellStyle name="Header2 2 3 2 4 3 4 3" xfId="25468"/>
    <cellStyle name="Header2 2 3 2 4 3 4 4" xfId="34558"/>
    <cellStyle name="Header2 2 3 2 4 3 5" xfId="20892"/>
    <cellStyle name="Header2 2 3 2 4 3 5 2" xfId="32709"/>
    <cellStyle name="Header2 2 3 2 4 3 5 2 2" xfId="42708"/>
    <cellStyle name="Header2 2 3 2 4 3 5 3" xfId="37557"/>
    <cellStyle name="Header2 2 3 2 4 3 6" xfId="28006"/>
    <cellStyle name="Header2 2 3 2 4 3 6 2" xfId="38005"/>
    <cellStyle name="Header2 2 3 2 4 3 7" xfId="21477"/>
    <cellStyle name="Header2 2 3 2 4 4" xfId="15907"/>
    <cellStyle name="Header2 2 3 2 4 4 2" xfId="27724"/>
    <cellStyle name="Header2 2 3 2 4 4 2 2" xfId="37723"/>
    <cellStyle name="Header2 2 3 2 4 4 3" xfId="23785"/>
    <cellStyle name="Header2 2 3 2 4 4 4" xfId="32875"/>
    <cellStyle name="Header2 2 3 2 4 5" xfId="16661"/>
    <cellStyle name="Header2 2 3 2 4 5 2" xfId="28478"/>
    <cellStyle name="Header2 2 3 2 4 5 2 2" xfId="38477"/>
    <cellStyle name="Header2 2 3 2 4 5 3" xfId="24236"/>
    <cellStyle name="Header2 2 3 2 4 5 4" xfId="33326"/>
    <cellStyle name="Header2 2 3 2 4 6" xfId="16953"/>
    <cellStyle name="Header2 2 3 2 4 6 2" xfId="28770"/>
    <cellStyle name="Header2 2 3 2 4 6 2 2" xfId="38769"/>
    <cellStyle name="Header2 2 3 2 4 6 3" xfId="24528"/>
    <cellStyle name="Header2 2 3 2 4 6 4" xfId="33618"/>
    <cellStyle name="Header2 2 3 2 4 7" xfId="17123"/>
    <cellStyle name="Header2 2 3 2 4 7 2" xfId="28940"/>
    <cellStyle name="Header2 2 3 2 4 7 2 2" xfId="38939"/>
    <cellStyle name="Header2 2 3 2 4 7 3" xfId="24698"/>
    <cellStyle name="Header2 2 3 2 4 7 4" xfId="33788"/>
    <cellStyle name="Header2 2 3 2 4 8" xfId="17426"/>
    <cellStyle name="Header2 2 3 2 4 8 2" xfId="29243"/>
    <cellStyle name="Header2 2 3 2 4 8 2 2" xfId="39242"/>
    <cellStyle name="Header2 2 3 2 4 8 3" xfId="25001"/>
    <cellStyle name="Header2 2 3 2 4 8 4" xfId="34091"/>
    <cellStyle name="Header2 2 3 2 4 9" xfId="18509"/>
    <cellStyle name="Header2 2 3 2 4 9 2" xfId="30326"/>
    <cellStyle name="Header2 2 3 2 4 9 2 2" xfId="40325"/>
    <cellStyle name="Header2 2 3 2 4 9 3" xfId="25984"/>
    <cellStyle name="Header2 2 3 2 4 9 4" xfId="35174"/>
    <cellStyle name="Header2 2 3 2 5" xfId="15599"/>
    <cellStyle name="Header2 2 3 2 5 2" xfId="19194"/>
    <cellStyle name="Header2 2 3 2 5 2 2" xfId="31011"/>
    <cellStyle name="Header2 2 3 2 5 2 2 2" xfId="41010"/>
    <cellStyle name="Header2 2 3 2 5 2 3" xfId="26669"/>
    <cellStyle name="Header2 2 3 2 5 2 4" xfId="35859"/>
    <cellStyle name="Header2 2 3 2 5 3" xfId="19800"/>
    <cellStyle name="Header2 2 3 2 5 3 2" xfId="31617"/>
    <cellStyle name="Header2 2 3 2 5 3 2 2" xfId="41616"/>
    <cellStyle name="Header2 2 3 2 5 3 3" xfId="27275"/>
    <cellStyle name="Header2 2 3 2 5 3 4" xfId="36465"/>
    <cellStyle name="Header2 2 3 2 5 4" xfId="17963"/>
    <cellStyle name="Header2 2 3 2 5 4 2" xfId="29780"/>
    <cellStyle name="Header2 2 3 2 5 4 2 2" xfId="39779"/>
    <cellStyle name="Header2 2 3 2 5 4 3" xfId="25538"/>
    <cellStyle name="Header2 2 3 2 5 4 4" xfId="34628"/>
    <cellStyle name="Header2 2 3 2 5 5" xfId="20609"/>
    <cellStyle name="Header2 2 3 2 5 5 2" xfId="32426"/>
    <cellStyle name="Header2 2 3 2 5 5 2 2" xfId="42425"/>
    <cellStyle name="Header2 2 3 2 5 5 3" xfId="37274"/>
    <cellStyle name="Header2 2 3 2 5 6" xfId="23477"/>
    <cellStyle name="Header2 2 3 2 5 6 2" xfId="21051"/>
    <cellStyle name="Header2 2 3 2 5 7" xfId="22869"/>
    <cellStyle name="Header2 2 3 2 5 7 2" xfId="22180"/>
    <cellStyle name="Header2 2 3 2 5 8" xfId="22375"/>
    <cellStyle name="Header2 2 3 2 6" xfId="16180"/>
    <cellStyle name="Header2 2 3 2 6 2" xfId="19486"/>
    <cellStyle name="Header2 2 3 2 6 2 2" xfId="31303"/>
    <cellStyle name="Header2 2 3 2 6 2 2 2" xfId="41302"/>
    <cellStyle name="Header2 2 3 2 6 2 3" xfId="26961"/>
    <cellStyle name="Header2 2 3 2 6 2 4" xfId="36151"/>
    <cellStyle name="Header2 2 3 2 6 3" xfId="20092"/>
    <cellStyle name="Header2 2 3 2 6 3 2" xfId="31909"/>
    <cellStyle name="Header2 2 3 2 6 3 2 2" xfId="41908"/>
    <cellStyle name="Header2 2 3 2 6 3 3" xfId="27567"/>
    <cellStyle name="Header2 2 3 2 6 3 4" xfId="36757"/>
    <cellStyle name="Header2 2 3 2 6 4" xfId="18053"/>
    <cellStyle name="Header2 2 3 2 6 4 2" xfId="29870"/>
    <cellStyle name="Header2 2 3 2 6 4 2 2" xfId="39869"/>
    <cellStyle name="Header2 2 3 2 6 4 3" xfId="25628"/>
    <cellStyle name="Header2 2 3 2 6 4 4" xfId="34718"/>
    <cellStyle name="Header2 2 3 2 6 5" xfId="20901"/>
    <cellStyle name="Header2 2 3 2 6 5 2" xfId="32718"/>
    <cellStyle name="Header2 2 3 2 6 5 2 2" xfId="42717"/>
    <cellStyle name="Header2 2 3 2 6 5 3" xfId="37566"/>
    <cellStyle name="Header2 2 3 2 6 6" xfId="27997"/>
    <cellStyle name="Header2 2 3 2 6 6 2" xfId="37996"/>
    <cellStyle name="Header2 2 3 2 6 7" xfId="21470"/>
    <cellStyle name="Header2 2 3 2 7" xfId="15845"/>
    <cellStyle name="Header2 2 3 2 7 2" xfId="27662"/>
    <cellStyle name="Header2 2 3 2 7 2 2" xfId="37661"/>
    <cellStyle name="Header2 2 3 2 7 3" xfId="23723"/>
    <cellStyle name="Header2 2 3 2 7 4" xfId="32813"/>
    <cellStyle name="Header2 2 3 2 8" xfId="16670"/>
    <cellStyle name="Header2 2 3 2 8 2" xfId="28487"/>
    <cellStyle name="Header2 2 3 2 8 2 2" xfId="38486"/>
    <cellStyle name="Header2 2 3 2 8 3" xfId="24245"/>
    <cellStyle name="Header2 2 3 2 8 4" xfId="33335"/>
    <cellStyle name="Header2 2 3 2 9" xfId="16962"/>
    <cellStyle name="Header2 2 3 2 9 2" xfId="28779"/>
    <cellStyle name="Header2 2 3 2 9 2 2" xfId="38778"/>
    <cellStyle name="Header2 2 3 2 9 3" xfId="24537"/>
    <cellStyle name="Header2 2 3 2 9 4" xfId="33627"/>
    <cellStyle name="Header2 2 3 3" xfId="7802"/>
    <cellStyle name="Header2 2 3 3 10" xfId="17124"/>
    <cellStyle name="Header2 2 3 3 10 2" xfId="28941"/>
    <cellStyle name="Header2 2 3 3 10 2 2" xfId="38940"/>
    <cellStyle name="Header2 2 3 3 10 3" xfId="24699"/>
    <cellStyle name="Header2 2 3 3 10 4" xfId="33789"/>
    <cellStyle name="Header2 2 3 3 11" xfId="17427"/>
    <cellStyle name="Header2 2 3 3 11 2" xfId="29244"/>
    <cellStyle name="Header2 2 3 3 11 2 2" xfId="39243"/>
    <cellStyle name="Header2 2 3 3 11 3" xfId="25002"/>
    <cellStyle name="Header2 2 3 3 11 4" xfId="34092"/>
    <cellStyle name="Header2 2 3 3 12" xfId="18508"/>
    <cellStyle name="Header2 2 3 3 12 2" xfId="30325"/>
    <cellStyle name="Header2 2 3 3 12 2 2" xfId="40324"/>
    <cellStyle name="Header2 2 3 3 12 3" xfId="25983"/>
    <cellStyle name="Header2 2 3 3 12 4" xfId="35173"/>
    <cellStyle name="Header2 2 3 3 13" xfId="18800"/>
    <cellStyle name="Header2 2 3 3 13 2" xfId="30617"/>
    <cellStyle name="Header2 2 3 3 13 2 2" xfId="40616"/>
    <cellStyle name="Header2 2 3 3 13 3" xfId="26275"/>
    <cellStyle name="Header2 2 3 3 13 4" xfId="35465"/>
    <cellStyle name="Header2 2 3 3 14" xfId="18231"/>
    <cellStyle name="Header2 2 3 3 14 2" xfId="30048"/>
    <cellStyle name="Header2 2 3 3 14 2 2" xfId="40047"/>
    <cellStyle name="Header2 2 3 3 14 3" xfId="34896"/>
    <cellStyle name="Header2 2 3 3 15" xfId="23300"/>
    <cellStyle name="Header2 2 3 3 15 2" xfId="21957"/>
    <cellStyle name="Header2 2 3 3 16" xfId="22694"/>
    <cellStyle name="Header2 2 3 3 2" xfId="7803"/>
    <cellStyle name="Header2 2 3 3 2 10" xfId="18926"/>
    <cellStyle name="Header2 2 3 3 2 10 2" xfId="30743"/>
    <cellStyle name="Header2 2 3 3 2 10 2 2" xfId="40742"/>
    <cellStyle name="Header2 2 3 3 2 10 3" xfId="26401"/>
    <cellStyle name="Header2 2 3 3 2 10 4" xfId="35591"/>
    <cellStyle name="Header2 2 3 3 2 11" xfId="20228"/>
    <cellStyle name="Header2 2 3 3 2 11 2" xfId="32045"/>
    <cellStyle name="Header2 2 3 3 2 11 2 2" xfId="42044"/>
    <cellStyle name="Header2 2 3 3 2 11 3" xfId="36893"/>
    <cellStyle name="Header2 2 3 3 2 12" xfId="23299"/>
    <cellStyle name="Header2 2 3 3 2 12 2" xfId="21165"/>
    <cellStyle name="Header2 2 3 3 2 13" xfId="22693"/>
    <cellStyle name="Header2 2 3 3 2 2" xfId="15610"/>
    <cellStyle name="Header2 2 3 3 2 2 2" xfId="19183"/>
    <cellStyle name="Header2 2 3 3 2 2 2 2" xfId="31000"/>
    <cellStyle name="Header2 2 3 3 2 2 2 2 2" xfId="40999"/>
    <cellStyle name="Header2 2 3 3 2 2 2 3" xfId="26658"/>
    <cellStyle name="Header2 2 3 3 2 2 2 4" xfId="35848"/>
    <cellStyle name="Header2 2 3 3 2 2 3" xfId="19789"/>
    <cellStyle name="Header2 2 3 3 2 2 3 2" xfId="31606"/>
    <cellStyle name="Header2 2 3 3 2 2 3 2 2" xfId="41605"/>
    <cellStyle name="Header2 2 3 3 2 2 3 3" xfId="27264"/>
    <cellStyle name="Header2 2 3 3 2 2 3 4" xfId="36454"/>
    <cellStyle name="Header2 2 3 3 2 2 4" xfId="18142"/>
    <cellStyle name="Header2 2 3 3 2 2 4 2" xfId="29959"/>
    <cellStyle name="Header2 2 3 3 2 2 4 2 2" xfId="39958"/>
    <cellStyle name="Header2 2 3 3 2 2 4 3" xfId="25717"/>
    <cellStyle name="Header2 2 3 3 2 2 4 4" xfId="34807"/>
    <cellStyle name="Header2 2 3 3 2 2 5" xfId="20598"/>
    <cellStyle name="Header2 2 3 3 2 2 5 2" xfId="32415"/>
    <cellStyle name="Header2 2 3 3 2 2 5 2 2" xfId="42414"/>
    <cellStyle name="Header2 2 3 3 2 2 5 3" xfId="37263"/>
    <cellStyle name="Header2 2 3 3 2 2 6" xfId="23488"/>
    <cellStyle name="Header2 2 3 3 2 2 6 2" xfId="21048"/>
    <cellStyle name="Header2 2 3 3 2 2 7" xfId="22866"/>
    <cellStyle name="Header2 2 3 3 2 2 7 2" xfId="21374"/>
    <cellStyle name="Header2 2 3 3 2 2 8" xfId="22384"/>
    <cellStyle name="Header2 2 3 3 2 3" xfId="16191"/>
    <cellStyle name="Header2 2 3 3 2 3 2" xfId="19533"/>
    <cellStyle name="Header2 2 3 3 2 3 2 2" xfId="31350"/>
    <cellStyle name="Header2 2 3 3 2 3 2 2 2" xfId="41349"/>
    <cellStyle name="Header2 2 3 3 2 3 2 3" xfId="27008"/>
    <cellStyle name="Header2 2 3 3 2 3 2 4" xfId="36198"/>
    <cellStyle name="Header2 2 3 3 2 3 3" xfId="20139"/>
    <cellStyle name="Header2 2 3 3 2 3 3 2" xfId="31956"/>
    <cellStyle name="Header2 2 3 3 2 3 3 2 2" xfId="41955"/>
    <cellStyle name="Header2 2 3 3 2 3 3 3" xfId="27614"/>
    <cellStyle name="Header2 2 3 3 2 3 3 4" xfId="36804"/>
    <cellStyle name="Header2 2 3 3 2 3 4" xfId="17749"/>
    <cellStyle name="Header2 2 3 3 2 3 4 2" xfId="29566"/>
    <cellStyle name="Header2 2 3 3 2 3 4 2 2" xfId="39565"/>
    <cellStyle name="Header2 2 3 3 2 3 4 3" xfId="25324"/>
    <cellStyle name="Header2 2 3 3 2 3 4 4" xfId="34414"/>
    <cellStyle name="Header2 2 3 3 2 3 5" xfId="20948"/>
    <cellStyle name="Header2 2 3 3 2 3 5 2" xfId="32765"/>
    <cellStyle name="Header2 2 3 3 2 3 5 2 2" xfId="42764"/>
    <cellStyle name="Header2 2 3 3 2 3 5 3" xfId="37613"/>
    <cellStyle name="Header2 2 3 3 2 3 6" xfId="28008"/>
    <cellStyle name="Header2 2 3 3 2 3 6 2" xfId="38007"/>
    <cellStyle name="Header2 2 3 3 2 3 7" xfId="22215"/>
    <cellStyle name="Header2 2 3 3 2 4" xfId="15831"/>
    <cellStyle name="Header2 2 3 3 2 4 2" xfId="27648"/>
    <cellStyle name="Header2 2 3 3 2 4 2 2" xfId="37647"/>
    <cellStyle name="Header2 2 3 3 2 4 3" xfId="23709"/>
    <cellStyle name="Header2 2 3 3 2 4 4" xfId="32799"/>
    <cellStyle name="Header2 2 3 3 2 5" xfId="16659"/>
    <cellStyle name="Header2 2 3 3 2 5 2" xfId="28476"/>
    <cellStyle name="Header2 2 3 3 2 5 2 2" xfId="38475"/>
    <cellStyle name="Header2 2 3 3 2 5 3" xfId="24234"/>
    <cellStyle name="Header2 2 3 3 2 5 4" xfId="33324"/>
    <cellStyle name="Header2 2 3 3 2 6" xfId="17012"/>
    <cellStyle name="Header2 2 3 3 2 6 2" xfId="28829"/>
    <cellStyle name="Header2 2 3 3 2 6 2 2" xfId="38828"/>
    <cellStyle name="Header2 2 3 3 2 6 3" xfId="24587"/>
    <cellStyle name="Header2 2 3 3 2 6 4" xfId="33677"/>
    <cellStyle name="Header2 2 3 3 2 7" xfId="17125"/>
    <cellStyle name="Header2 2 3 3 2 7 2" xfId="28942"/>
    <cellStyle name="Header2 2 3 3 2 7 2 2" xfId="38941"/>
    <cellStyle name="Header2 2 3 3 2 7 3" xfId="24700"/>
    <cellStyle name="Header2 2 3 3 2 7 4" xfId="33790"/>
    <cellStyle name="Header2 2 3 3 2 8" xfId="17428"/>
    <cellStyle name="Header2 2 3 3 2 8 2" xfId="29245"/>
    <cellStyle name="Header2 2 3 3 2 8 2 2" xfId="39244"/>
    <cellStyle name="Header2 2 3 3 2 8 3" xfId="25003"/>
    <cellStyle name="Header2 2 3 3 2 8 4" xfId="34093"/>
    <cellStyle name="Header2 2 3 3 2 9" xfId="18507"/>
    <cellStyle name="Header2 2 3 3 2 9 2" xfId="30324"/>
    <cellStyle name="Header2 2 3 3 2 9 2 2" xfId="40323"/>
    <cellStyle name="Header2 2 3 3 2 9 3" xfId="25982"/>
    <cellStyle name="Header2 2 3 3 2 9 4" xfId="35172"/>
    <cellStyle name="Header2 2 3 3 3" xfId="7804"/>
    <cellStyle name="Header2 2 3 3 3 10" xfId="18799"/>
    <cellStyle name="Header2 2 3 3 3 10 2" xfId="30616"/>
    <cellStyle name="Header2 2 3 3 3 10 2 2" xfId="40615"/>
    <cellStyle name="Header2 2 3 3 3 10 3" xfId="26274"/>
    <cellStyle name="Header2 2 3 3 3 10 4" xfId="35464"/>
    <cellStyle name="Header2 2 3 3 3 11" xfId="20327"/>
    <cellStyle name="Header2 2 3 3 3 11 2" xfId="32144"/>
    <cellStyle name="Header2 2 3 3 3 11 2 2" xfId="42143"/>
    <cellStyle name="Header2 2 3 3 3 11 3" xfId="36992"/>
    <cellStyle name="Header2 2 3 3 3 12" xfId="23298"/>
    <cellStyle name="Header2 2 3 3 3 12 2" xfId="21166"/>
    <cellStyle name="Header2 2 3 3 3 13" xfId="22692"/>
    <cellStyle name="Header2 2 3 3 3 2" xfId="15611"/>
    <cellStyle name="Header2 2 3 3 3 2 2" xfId="19182"/>
    <cellStyle name="Header2 2 3 3 3 2 2 2" xfId="30999"/>
    <cellStyle name="Header2 2 3 3 3 2 2 2 2" xfId="40998"/>
    <cellStyle name="Header2 2 3 3 3 2 2 3" xfId="26657"/>
    <cellStyle name="Header2 2 3 3 3 2 2 4" xfId="35847"/>
    <cellStyle name="Header2 2 3 3 3 2 3" xfId="19788"/>
    <cellStyle name="Header2 2 3 3 3 2 3 2" xfId="31605"/>
    <cellStyle name="Header2 2 3 3 3 2 3 2 2" xfId="41604"/>
    <cellStyle name="Header2 2 3 3 3 2 3 3" xfId="27263"/>
    <cellStyle name="Header2 2 3 3 3 2 3 4" xfId="36453"/>
    <cellStyle name="Header2 2 3 3 3 2 4" xfId="18143"/>
    <cellStyle name="Header2 2 3 3 3 2 4 2" xfId="29960"/>
    <cellStyle name="Header2 2 3 3 3 2 4 2 2" xfId="39959"/>
    <cellStyle name="Header2 2 3 3 3 2 4 3" xfId="25718"/>
    <cellStyle name="Header2 2 3 3 3 2 4 4" xfId="34808"/>
    <cellStyle name="Header2 2 3 3 3 2 5" xfId="20597"/>
    <cellStyle name="Header2 2 3 3 3 2 5 2" xfId="32414"/>
    <cellStyle name="Header2 2 3 3 3 2 5 2 2" xfId="42413"/>
    <cellStyle name="Header2 2 3 3 3 2 5 3" xfId="37262"/>
    <cellStyle name="Header2 2 3 3 3 2 6" xfId="23489"/>
    <cellStyle name="Header2 2 3 3 3 2 6 2" xfId="21047"/>
    <cellStyle name="Header2 2 3 3 3 2 7" xfId="22865"/>
    <cellStyle name="Header2 2 3 3 3 2 7 2" xfId="22181"/>
    <cellStyle name="Header2 2 3 3 3 2 8" xfId="22385"/>
    <cellStyle name="Header2 2 3 3 3 3" xfId="16192"/>
    <cellStyle name="Header2 2 3 3 3 3 2" xfId="19475"/>
    <cellStyle name="Header2 2 3 3 3 3 2 2" xfId="31292"/>
    <cellStyle name="Header2 2 3 3 3 3 2 2 2" xfId="41291"/>
    <cellStyle name="Header2 2 3 3 3 3 2 3" xfId="26950"/>
    <cellStyle name="Header2 2 3 3 3 3 2 4" xfId="36140"/>
    <cellStyle name="Header2 2 3 3 3 3 3" xfId="20081"/>
    <cellStyle name="Header2 2 3 3 3 3 3 2" xfId="31898"/>
    <cellStyle name="Header2 2 3 3 3 3 3 2 2" xfId="41897"/>
    <cellStyle name="Header2 2 3 3 3 3 3 3" xfId="27556"/>
    <cellStyle name="Header2 2 3 3 3 3 3 4" xfId="36746"/>
    <cellStyle name="Header2 2 3 3 3 3 4" xfId="17894"/>
    <cellStyle name="Header2 2 3 3 3 3 4 2" xfId="29711"/>
    <cellStyle name="Header2 2 3 3 3 3 4 2 2" xfId="39710"/>
    <cellStyle name="Header2 2 3 3 3 3 4 3" xfId="25469"/>
    <cellStyle name="Header2 2 3 3 3 3 4 4" xfId="34559"/>
    <cellStyle name="Header2 2 3 3 3 3 5" xfId="20890"/>
    <cellStyle name="Header2 2 3 3 3 3 5 2" xfId="32707"/>
    <cellStyle name="Header2 2 3 3 3 3 5 2 2" xfId="42706"/>
    <cellStyle name="Header2 2 3 3 3 3 5 3" xfId="37555"/>
    <cellStyle name="Header2 2 3 3 3 3 6" xfId="28009"/>
    <cellStyle name="Header2 2 3 3 3 3 6 2" xfId="38008"/>
    <cellStyle name="Header2 2 3 3 3 3 7" xfId="21479"/>
    <cellStyle name="Header2 2 3 3 3 4" xfId="15909"/>
    <cellStyle name="Header2 2 3 3 3 4 2" xfId="27726"/>
    <cellStyle name="Header2 2 3 3 3 4 2 2" xfId="37725"/>
    <cellStyle name="Header2 2 3 3 3 4 3" xfId="23787"/>
    <cellStyle name="Header2 2 3 3 3 4 4" xfId="32877"/>
    <cellStyle name="Header2 2 3 3 3 5" xfId="16658"/>
    <cellStyle name="Header2 2 3 3 3 5 2" xfId="28475"/>
    <cellStyle name="Header2 2 3 3 3 5 2 2" xfId="38474"/>
    <cellStyle name="Header2 2 3 3 3 5 3" xfId="24233"/>
    <cellStyle name="Header2 2 3 3 3 5 4" xfId="33323"/>
    <cellStyle name="Header2 2 3 3 3 6" xfId="16951"/>
    <cellStyle name="Header2 2 3 3 3 6 2" xfId="28768"/>
    <cellStyle name="Header2 2 3 3 3 6 2 2" xfId="38767"/>
    <cellStyle name="Header2 2 3 3 3 6 3" xfId="24526"/>
    <cellStyle name="Header2 2 3 3 3 6 4" xfId="33616"/>
    <cellStyle name="Header2 2 3 3 3 7" xfId="17126"/>
    <cellStyle name="Header2 2 3 3 3 7 2" xfId="28943"/>
    <cellStyle name="Header2 2 3 3 3 7 2 2" xfId="38942"/>
    <cellStyle name="Header2 2 3 3 3 7 3" xfId="24701"/>
    <cellStyle name="Header2 2 3 3 3 7 4" xfId="33791"/>
    <cellStyle name="Header2 2 3 3 3 8" xfId="17429"/>
    <cellStyle name="Header2 2 3 3 3 8 2" xfId="29246"/>
    <cellStyle name="Header2 2 3 3 3 8 2 2" xfId="39245"/>
    <cellStyle name="Header2 2 3 3 3 8 3" xfId="25004"/>
    <cellStyle name="Header2 2 3 3 3 8 4" xfId="34094"/>
    <cellStyle name="Header2 2 3 3 3 9" xfId="18506"/>
    <cellStyle name="Header2 2 3 3 3 9 2" xfId="30323"/>
    <cellStyle name="Header2 2 3 3 3 9 2 2" xfId="40322"/>
    <cellStyle name="Header2 2 3 3 3 9 3" xfId="25981"/>
    <cellStyle name="Header2 2 3 3 3 9 4" xfId="35171"/>
    <cellStyle name="Header2 2 3 3 4" xfId="7805"/>
    <cellStyle name="Header2 2 3 3 4 10" xfId="18798"/>
    <cellStyle name="Header2 2 3 3 4 10 2" xfId="30615"/>
    <cellStyle name="Header2 2 3 3 4 10 2 2" xfId="40614"/>
    <cellStyle name="Header2 2 3 3 4 10 3" xfId="26273"/>
    <cellStyle name="Header2 2 3 3 4 10 4" xfId="35463"/>
    <cellStyle name="Header2 2 3 3 4 11" xfId="18232"/>
    <cellStyle name="Header2 2 3 3 4 11 2" xfId="30049"/>
    <cellStyle name="Header2 2 3 3 4 11 2 2" xfId="40048"/>
    <cellStyle name="Header2 2 3 3 4 11 3" xfId="34897"/>
    <cellStyle name="Header2 2 3 3 4 12" xfId="23297"/>
    <cellStyle name="Header2 2 3 3 4 12 2" xfId="21167"/>
    <cellStyle name="Header2 2 3 3 4 13" xfId="22691"/>
    <cellStyle name="Header2 2 3 3 4 2" xfId="15612"/>
    <cellStyle name="Header2 2 3 3 4 2 2" xfId="19181"/>
    <cellStyle name="Header2 2 3 3 4 2 2 2" xfId="30998"/>
    <cellStyle name="Header2 2 3 3 4 2 2 2 2" xfId="40997"/>
    <cellStyle name="Header2 2 3 3 4 2 2 3" xfId="26656"/>
    <cellStyle name="Header2 2 3 3 4 2 2 4" xfId="35846"/>
    <cellStyle name="Header2 2 3 3 4 2 3" xfId="19787"/>
    <cellStyle name="Header2 2 3 3 4 2 3 2" xfId="31604"/>
    <cellStyle name="Header2 2 3 3 4 2 3 2 2" xfId="41603"/>
    <cellStyle name="Header2 2 3 3 4 2 3 3" xfId="27262"/>
    <cellStyle name="Header2 2 3 3 4 2 3 4" xfId="36452"/>
    <cellStyle name="Header2 2 3 3 4 2 4" xfId="18144"/>
    <cellStyle name="Header2 2 3 3 4 2 4 2" xfId="29961"/>
    <cellStyle name="Header2 2 3 3 4 2 4 2 2" xfId="39960"/>
    <cellStyle name="Header2 2 3 3 4 2 4 3" xfId="25719"/>
    <cellStyle name="Header2 2 3 3 4 2 4 4" xfId="34809"/>
    <cellStyle name="Header2 2 3 3 4 2 5" xfId="20596"/>
    <cellStyle name="Header2 2 3 3 4 2 5 2" xfId="32413"/>
    <cellStyle name="Header2 2 3 3 4 2 5 2 2" xfId="42412"/>
    <cellStyle name="Header2 2 3 3 4 2 5 3" xfId="37261"/>
    <cellStyle name="Header2 2 3 3 4 2 6" xfId="23490"/>
    <cellStyle name="Header2 2 3 3 4 2 6 2" xfId="21046"/>
    <cellStyle name="Header2 2 3 3 4 2 7" xfId="22864"/>
    <cellStyle name="Header2 2 3 3 4 2 7 2" xfId="21375"/>
    <cellStyle name="Header2 2 3 3 4 2 8" xfId="21620"/>
    <cellStyle name="Header2 2 3 3 4 3" xfId="16193"/>
    <cellStyle name="Header2 2 3 3 4 3 2" xfId="19474"/>
    <cellStyle name="Header2 2 3 3 4 3 2 2" xfId="31291"/>
    <cellStyle name="Header2 2 3 3 4 3 2 2 2" xfId="41290"/>
    <cellStyle name="Header2 2 3 3 4 3 2 3" xfId="26949"/>
    <cellStyle name="Header2 2 3 3 4 3 2 4" xfId="36139"/>
    <cellStyle name="Header2 2 3 3 4 3 3" xfId="20080"/>
    <cellStyle name="Header2 2 3 3 4 3 3 2" xfId="31897"/>
    <cellStyle name="Header2 2 3 3 4 3 3 2 2" xfId="41896"/>
    <cellStyle name="Header2 2 3 3 4 3 3 3" xfId="27555"/>
    <cellStyle name="Header2 2 3 3 4 3 3 4" xfId="36745"/>
    <cellStyle name="Header2 2 3 3 4 3 4" xfId="18058"/>
    <cellStyle name="Header2 2 3 3 4 3 4 2" xfId="29875"/>
    <cellStyle name="Header2 2 3 3 4 3 4 2 2" xfId="39874"/>
    <cellStyle name="Header2 2 3 3 4 3 4 3" xfId="25633"/>
    <cellStyle name="Header2 2 3 3 4 3 4 4" xfId="34723"/>
    <cellStyle name="Header2 2 3 3 4 3 5" xfId="20889"/>
    <cellStyle name="Header2 2 3 3 4 3 5 2" xfId="32706"/>
    <cellStyle name="Header2 2 3 3 4 3 5 2 2" xfId="42705"/>
    <cellStyle name="Header2 2 3 3 4 3 5 3" xfId="37554"/>
    <cellStyle name="Header2 2 3 3 4 3 6" xfId="28010"/>
    <cellStyle name="Header2 2 3 3 4 3 6 2" xfId="38009"/>
    <cellStyle name="Header2 2 3 3 4 3 7" xfId="21480"/>
    <cellStyle name="Header2 2 3 3 4 4" xfId="15910"/>
    <cellStyle name="Header2 2 3 3 4 4 2" xfId="27727"/>
    <cellStyle name="Header2 2 3 3 4 4 2 2" xfId="37726"/>
    <cellStyle name="Header2 2 3 3 4 4 3" xfId="23788"/>
    <cellStyle name="Header2 2 3 3 4 4 4" xfId="32878"/>
    <cellStyle name="Header2 2 3 3 4 5" xfId="16657"/>
    <cellStyle name="Header2 2 3 3 4 5 2" xfId="28474"/>
    <cellStyle name="Header2 2 3 3 4 5 2 2" xfId="38473"/>
    <cellStyle name="Header2 2 3 3 4 5 3" xfId="24232"/>
    <cellStyle name="Header2 2 3 3 4 5 4" xfId="33322"/>
    <cellStyle name="Header2 2 3 3 4 6" xfId="16950"/>
    <cellStyle name="Header2 2 3 3 4 6 2" xfId="28767"/>
    <cellStyle name="Header2 2 3 3 4 6 2 2" xfId="38766"/>
    <cellStyle name="Header2 2 3 3 4 6 3" xfId="24525"/>
    <cellStyle name="Header2 2 3 3 4 6 4" xfId="33615"/>
    <cellStyle name="Header2 2 3 3 4 7" xfId="17127"/>
    <cellStyle name="Header2 2 3 3 4 7 2" xfId="28944"/>
    <cellStyle name="Header2 2 3 3 4 7 2 2" xfId="38943"/>
    <cellStyle name="Header2 2 3 3 4 7 3" xfId="24702"/>
    <cellStyle name="Header2 2 3 3 4 7 4" xfId="33792"/>
    <cellStyle name="Header2 2 3 3 4 8" xfId="17430"/>
    <cellStyle name="Header2 2 3 3 4 8 2" xfId="29247"/>
    <cellStyle name="Header2 2 3 3 4 8 2 2" xfId="39246"/>
    <cellStyle name="Header2 2 3 3 4 8 3" xfId="25005"/>
    <cellStyle name="Header2 2 3 3 4 8 4" xfId="34095"/>
    <cellStyle name="Header2 2 3 3 4 9" xfId="18505"/>
    <cellStyle name="Header2 2 3 3 4 9 2" xfId="30322"/>
    <cellStyle name="Header2 2 3 3 4 9 2 2" xfId="40321"/>
    <cellStyle name="Header2 2 3 3 4 9 3" xfId="25980"/>
    <cellStyle name="Header2 2 3 3 4 9 4" xfId="35170"/>
    <cellStyle name="Header2 2 3 3 5" xfId="15609"/>
    <cellStyle name="Header2 2 3 3 5 2" xfId="19184"/>
    <cellStyle name="Header2 2 3 3 5 2 2" xfId="31001"/>
    <cellStyle name="Header2 2 3 3 5 2 2 2" xfId="41000"/>
    <cellStyle name="Header2 2 3 3 5 2 3" xfId="26659"/>
    <cellStyle name="Header2 2 3 3 5 2 4" xfId="35849"/>
    <cellStyle name="Header2 2 3 3 5 3" xfId="19790"/>
    <cellStyle name="Header2 2 3 3 5 3 2" xfId="31607"/>
    <cellStyle name="Header2 2 3 3 5 3 2 2" xfId="41606"/>
    <cellStyle name="Header2 2 3 3 5 3 3" xfId="27265"/>
    <cellStyle name="Header2 2 3 3 5 3 4" xfId="36455"/>
    <cellStyle name="Header2 2 3 3 5 4" xfId="17695"/>
    <cellStyle name="Header2 2 3 3 5 4 2" xfId="29512"/>
    <cellStyle name="Header2 2 3 3 5 4 2 2" xfId="39511"/>
    <cellStyle name="Header2 2 3 3 5 4 3" xfId="25270"/>
    <cellStyle name="Header2 2 3 3 5 4 4" xfId="34360"/>
    <cellStyle name="Header2 2 3 3 5 5" xfId="20599"/>
    <cellStyle name="Header2 2 3 3 5 5 2" xfId="32416"/>
    <cellStyle name="Header2 2 3 3 5 5 2 2" xfId="42415"/>
    <cellStyle name="Header2 2 3 3 5 5 3" xfId="37264"/>
    <cellStyle name="Header2 2 3 3 5 6" xfId="23487"/>
    <cellStyle name="Header2 2 3 3 5 6 2" xfId="21886"/>
    <cellStyle name="Header2 2 3 3 5 7" xfId="23050"/>
    <cellStyle name="Header2 2 3 3 5 7 2" xfId="22072"/>
    <cellStyle name="Header2 2 3 3 5 8" xfId="22383"/>
    <cellStyle name="Header2 2 3 3 6" xfId="16190"/>
    <cellStyle name="Header2 2 3 3 6 2" xfId="19476"/>
    <cellStyle name="Header2 2 3 3 6 2 2" xfId="31293"/>
    <cellStyle name="Header2 2 3 3 6 2 2 2" xfId="41292"/>
    <cellStyle name="Header2 2 3 3 6 2 3" xfId="26951"/>
    <cellStyle name="Header2 2 3 3 6 2 4" xfId="36141"/>
    <cellStyle name="Header2 2 3 3 6 3" xfId="20082"/>
    <cellStyle name="Header2 2 3 3 6 3 2" xfId="31899"/>
    <cellStyle name="Header2 2 3 3 6 3 2 2" xfId="41898"/>
    <cellStyle name="Header2 2 3 3 6 3 3" xfId="27557"/>
    <cellStyle name="Header2 2 3 3 6 3 4" xfId="36747"/>
    <cellStyle name="Header2 2 3 3 6 4" xfId="18057"/>
    <cellStyle name="Header2 2 3 3 6 4 2" xfId="29874"/>
    <cellStyle name="Header2 2 3 3 6 4 2 2" xfId="39873"/>
    <cellStyle name="Header2 2 3 3 6 4 3" xfId="25632"/>
    <cellStyle name="Header2 2 3 3 6 4 4" xfId="34722"/>
    <cellStyle name="Header2 2 3 3 6 5" xfId="20891"/>
    <cellStyle name="Header2 2 3 3 6 5 2" xfId="32708"/>
    <cellStyle name="Header2 2 3 3 6 5 2 2" xfId="42707"/>
    <cellStyle name="Header2 2 3 3 6 5 3" xfId="37556"/>
    <cellStyle name="Header2 2 3 3 6 6" xfId="28007"/>
    <cellStyle name="Header2 2 3 3 6 6 2" xfId="38006"/>
    <cellStyle name="Header2 2 3 3 6 7" xfId="21478"/>
    <cellStyle name="Header2 2 3 3 7" xfId="15908"/>
    <cellStyle name="Header2 2 3 3 7 2" xfId="27725"/>
    <cellStyle name="Header2 2 3 3 7 2 2" xfId="37724"/>
    <cellStyle name="Header2 2 3 3 7 3" xfId="23786"/>
    <cellStyle name="Header2 2 3 3 7 4" xfId="32876"/>
    <cellStyle name="Header2 2 3 3 8" xfId="16660"/>
    <cellStyle name="Header2 2 3 3 8 2" xfId="28477"/>
    <cellStyle name="Header2 2 3 3 8 2 2" xfId="38476"/>
    <cellStyle name="Header2 2 3 3 8 3" xfId="24235"/>
    <cellStyle name="Header2 2 3 3 8 4" xfId="33325"/>
    <cellStyle name="Header2 2 3 3 9" xfId="16952"/>
    <cellStyle name="Header2 2 3 3 9 2" xfId="28769"/>
    <cellStyle name="Header2 2 3 3 9 2 2" xfId="38768"/>
    <cellStyle name="Header2 2 3 3 9 3" xfId="24527"/>
    <cellStyle name="Header2 2 3 3 9 4" xfId="33617"/>
    <cellStyle name="Header2 2 3 4" xfId="7806"/>
    <cellStyle name="Header2 2 3 4 10" xfId="17128"/>
    <cellStyle name="Header2 2 3 4 10 2" xfId="28945"/>
    <cellStyle name="Header2 2 3 4 10 2 2" xfId="38944"/>
    <cellStyle name="Header2 2 3 4 10 3" xfId="24703"/>
    <cellStyle name="Header2 2 3 4 10 4" xfId="33793"/>
    <cellStyle name="Header2 2 3 4 11" xfId="17431"/>
    <cellStyle name="Header2 2 3 4 11 2" xfId="29248"/>
    <cellStyle name="Header2 2 3 4 11 2 2" xfId="39247"/>
    <cellStyle name="Header2 2 3 4 11 3" xfId="25006"/>
    <cellStyle name="Header2 2 3 4 11 4" xfId="34096"/>
    <cellStyle name="Header2 2 3 4 12" xfId="18504"/>
    <cellStyle name="Header2 2 3 4 12 2" xfId="30321"/>
    <cellStyle name="Header2 2 3 4 12 2 2" xfId="40320"/>
    <cellStyle name="Header2 2 3 4 12 3" xfId="25979"/>
    <cellStyle name="Header2 2 3 4 12 4" xfId="35169"/>
    <cellStyle name="Header2 2 3 4 13" xfId="18797"/>
    <cellStyle name="Header2 2 3 4 13 2" xfId="30614"/>
    <cellStyle name="Header2 2 3 4 13 2 2" xfId="40613"/>
    <cellStyle name="Header2 2 3 4 13 3" xfId="26272"/>
    <cellStyle name="Header2 2 3 4 13 4" xfId="35462"/>
    <cellStyle name="Header2 2 3 4 14" xfId="20227"/>
    <cellStyle name="Header2 2 3 4 14 2" xfId="32044"/>
    <cellStyle name="Header2 2 3 4 14 2 2" xfId="42043"/>
    <cellStyle name="Header2 2 3 4 14 3" xfId="36892"/>
    <cellStyle name="Header2 2 3 4 15" xfId="23296"/>
    <cellStyle name="Header2 2 3 4 15 2" xfId="21958"/>
    <cellStyle name="Header2 2 3 4 16" xfId="22690"/>
    <cellStyle name="Header2 2 3 4 2" xfId="7807"/>
    <cellStyle name="Header2 2 3 4 2 10" xfId="18796"/>
    <cellStyle name="Header2 2 3 4 2 10 2" xfId="30613"/>
    <cellStyle name="Header2 2 3 4 2 10 2 2" xfId="40612"/>
    <cellStyle name="Header2 2 3 4 2 10 3" xfId="26271"/>
    <cellStyle name="Header2 2 3 4 2 10 4" xfId="35461"/>
    <cellStyle name="Header2 2 3 4 2 11" xfId="20326"/>
    <cellStyle name="Header2 2 3 4 2 11 2" xfId="32143"/>
    <cellStyle name="Header2 2 3 4 2 11 2 2" xfId="42142"/>
    <cellStyle name="Header2 2 3 4 2 11 3" xfId="36991"/>
    <cellStyle name="Header2 2 3 4 2 12" xfId="23295"/>
    <cellStyle name="Header2 2 3 4 2 12 2" xfId="21168"/>
    <cellStyle name="Header2 2 3 4 2 13" xfId="22689"/>
    <cellStyle name="Header2 2 3 4 2 2" xfId="15614"/>
    <cellStyle name="Header2 2 3 4 2 2 2" xfId="19179"/>
    <cellStyle name="Header2 2 3 4 2 2 2 2" xfId="30996"/>
    <cellStyle name="Header2 2 3 4 2 2 2 2 2" xfId="40995"/>
    <cellStyle name="Header2 2 3 4 2 2 2 3" xfId="26654"/>
    <cellStyle name="Header2 2 3 4 2 2 2 4" xfId="35844"/>
    <cellStyle name="Header2 2 3 4 2 2 3" xfId="19785"/>
    <cellStyle name="Header2 2 3 4 2 2 3 2" xfId="31602"/>
    <cellStyle name="Header2 2 3 4 2 2 3 2 2" xfId="41601"/>
    <cellStyle name="Header2 2 3 4 2 2 3 3" xfId="27260"/>
    <cellStyle name="Header2 2 3 4 2 2 3 4" xfId="36450"/>
    <cellStyle name="Header2 2 3 4 2 2 4" xfId="17816"/>
    <cellStyle name="Header2 2 3 4 2 2 4 2" xfId="29633"/>
    <cellStyle name="Header2 2 3 4 2 2 4 2 2" xfId="39632"/>
    <cellStyle name="Header2 2 3 4 2 2 4 3" xfId="25391"/>
    <cellStyle name="Header2 2 3 4 2 2 4 4" xfId="34481"/>
    <cellStyle name="Header2 2 3 4 2 2 5" xfId="20594"/>
    <cellStyle name="Header2 2 3 4 2 2 5 2" xfId="32411"/>
    <cellStyle name="Header2 2 3 4 2 2 5 2 2" xfId="42410"/>
    <cellStyle name="Header2 2 3 4 2 2 5 3" xfId="37259"/>
    <cellStyle name="Header2 2 3 4 2 2 6" xfId="23492"/>
    <cellStyle name="Header2 2 3 4 2 2 6 2" xfId="21884"/>
    <cellStyle name="Header2 2 3 4 2 2 7" xfId="23048"/>
    <cellStyle name="Header2 2 3 4 2 2 7 2" xfId="22074"/>
    <cellStyle name="Header2 2 3 4 2 2 8" xfId="21622"/>
    <cellStyle name="Header2 2 3 4 2 3" xfId="16195"/>
    <cellStyle name="Header2 2 3 4 2 3 2" xfId="19472"/>
    <cellStyle name="Header2 2 3 4 2 3 2 2" xfId="31289"/>
    <cellStyle name="Header2 2 3 4 2 3 2 2 2" xfId="41288"/>
    <cellStyle name="Header2 2 3 4 2 3 2 3" xfId="26947"/>
    <cellStyle name="Header2 2 3 4 2 3 2 4" xfId="36137"/>
    <cellStyle name="Header2 2 3 4 2 3 3" xfId="20078"/>
    <cellStyle name="Header2 2 3 4 2 3 3 2" xfId="31895"/>
    <cellStyle name="Header2 2 3 4 2 3 3 2 2" xfId="41894"/>
    <cellStyle name="Header2 2 3 4 2 3 3 3" xfId="27553"/>
    <cellStyle name="Header2 2 3 4 2 3 3 4" xfId="36743"/>
    <cellStyle name="Header2 2 3 4 2 3 4" xfId="17896"/>
    <cellStyle name="Header2 2 3 4 2 3 4 2" xfId="29713"/>
    <cellStyle name="Header2 2 3 4 2 3 4 2 2" xfId="39712"/>
    <cellStyle name="Header2 2 3 4 2 3 4 3" xfId="25471"/>
    <cellStyle name="Header2 2 3 4 2 3 4 4" xfId="34561"/>
    <cellStyle name="Header2 2 3 4 2 3 5" xfId="20887"/>
    <cellStyle name="Header2 2 3 4 2 3 5 2" xfId="32704"/>
    <cellStyle name="Header2 2 3 4 2 3 5 2 2" xfId="42703"/>
    <cellStyle name="Header2 2 3 4 2 3 5 3" xfId="37552"/>
    <cellStyle name="Header2 2 3 4 2 3 6" xfId="28012"/>
    <cellStyle name="Header2 2 3 4 2 3 6 2" xfId="38011"/>
    <cellStyle name="Header2 2 3 4 2 3 7" xfId="21482"/>
    <cellStyle name="Header2 2 3 4 2 4" xfId="15912"/>
    <cellStyle name="Header2 2 3 4 2 4 2" xfId="27729"/>
    <cellStyle name="Header2 2 3 4 2 4 2 2" xfId="37728"/>
    <cellStyle name="Header2 2 3 4 2 4 3" xfId="23790"/>
    <cellStyle name="Header2 2 3 4 2 4 4" xfId="32880"/>
    <cellStyle name="Header2 2 3 4 2 5" xfId="16655"/>
    <cellStyle name="Header2 2 3 4 2 5 2" xfId="28472"/>
    <cellStyle name="Header2 2 3 4 2 5 2 2" xfId="38471"/>
    <cellStyle name="Header2 2 3 4 2 5 3" xfId="24230"/>
    <cellStyle name="Header2 2 3 4 2 5 4" xfId="33320"/>
    <cellStyle name="Header2 2 3 4 2 6" xfId="16948"/>
    <cellStyle name="Header2 2 3 4 2 6 2" xfId="28765"/>
    <cellStyle name="Header2 2 3 4 2 6 2 2" xfId="38764"/>
    <cellStyle name="Header2 2 3 4 2 6 3" xfId="24523"/>
    <cellStyle name="Header2 2 3 4 2 6 4" xfId="33613"/>
    <cellStyle name="Header2 2 3 4 2 7" xfId="17129"/>
    <cellStyle name="Header2 2 3 4 2 7 2" xfId="28946"/>
    <cellStyle name="Header2 2 3 4 2 7 2 2" xfId="38945"/>
    <cellStyle name="Header2 2 3 4 2 7 3" xfId="24704"/>
    <cellStyle name="Header2 2 3 4 2 7 4" xfId="33794"/>
    <cellStyle name="Header2 2 3 4 2 8" xfId="17432"/>
    <cellStyle name="Header2 2 3 4 2 8 2" xfId="29249"/>
    <cellStyle name="Header2 2 3 4 2 8 2 2" xfId="39248"/>
    <cellStyle name="Header2 2 3 4 2 8 3" xfId="25007"/>
    <cellStyle name="Header2 2 3 4 2 8 4" xfId="34097"/>
    <cellStyle name="Header2 2 3 4 2 9" xfId="18503"/>
    <cellStyle name="Header2 2 3 4 2 9 2" xfId="30320"/>
    <cellStyle name="Header2 2 3 4 2 9 2 2" xfId="40319"/>
    <cellStyle name="Header2 2 3 4 2 9 3" xfId="25978"/>
    <cellStyle name="Header2 2 3 4 2 9 4" xfId="35168"/>
    <cellStyle name="Header2 2 3 4 3" xfId="7808"/>
    <cellStyle name="Header2 2 3 4 3 10" xfId="18795"/>
    <cellStyle name="Header2 2 3 4 3 10 2" xfId="30612"/>
    <cellStyle name="Header2 2 3 4 3 10 2 2" xfId="40611"/>
    <cellStyle name="Header2 2 3 4 3 10 3" xfId="26270"/>
    <cellStyle name="Header2 2 3 4 3 10 4" xfId="35460"/>
    <cellStyle name="Header2 2 3 4 3 11" xfId="18233"/>
    <cellStyle name="Header2 2 3 4 3 11 2" xfId="30050"/>
    <cellStyle name="Header2 2 3 4 3 11 2 2" xfId="40049"/>
    <cellStyle name="Header2 2 3 4 3 11 3" xfId="34898"/>
    <cellStyle name="Header2 2 3 4 3 12" xfId="23294"/>
    <cellStyle name="Header2 2 3 4 3 12 2" xfId="21169"/>
    <cellStyle name="Header2 2 3 4 3 13" xfId="22688"/>
    <cellStyle name="Header2 2 3 4 3 2" xfId="15615"/>
    <cellStyle name="Header2 2 3 4 3 2 2" xfId="19178"/>
    <cellStyle name="Header2 2 3 4 3 2 2 2" xfId="30995"/>
    <cellStyle name="Header2 2 3 4 3 2 2 2 2" xfId="40994"/>
    <cellStyle name="Header2 2 3 4 3 2 2 3" xfId="26653"/>
    <cellStyle name="Header2 2 3 4 3 2 2 4" xfId="35843"/>
    <cellStyle name="Header2 2 3 4 3 2 3" xfId="19784"/>
    <cellStyle name="Header2 2 3 4 3 2 3 2" xfId="31601"/>
    <cellStyle name="Header2 2 3 4 3 2 3 2 2" xfId="41600"/>
    <cellStyle name="Header2 2 3 4 3 2 3 3" xfId="27259"/>
    <cellStyle name="Header2 2 3 4 3 2 3 4" xfId="36449"/>
    <cellStyle name="Header2 2 3 4 3 2 4" xfId="17968"/>
    <cellStyle name="Header2 2 3 4 3 2 4 2" xfId="29785"/>
    <cellStyle name="Header2 2 3 4 3 2 4 2 2" xfId="39784"/>
    <cellStyle name="Header2 2 3 4 3 2 4 3" xfId="25543"/>
    <cellStyle name="Header2 2 3 4 3 2 4 4" xfId="34633"/>
    <cellStyle name="Header2 2 3 4 3 2 5" xfId="20593"/>
    <cellStyle name="Header2 2 3 4 3 2 5 2" xfId="32410"/>
    <cellStyle name="Header2 2 3 4 3 2 5 2 2" xfId="42409"/>
    <cellStyle name="Header2 2 3 4 3 2 5 3" xfId="37258"/>
    <cellStyle name="Header2 2 3 4 3 2 6" xfId="23493"/>
    <cellStyle name="Header2 2 3 4 3 2 6 2" xfId="21883"/>
    <cellStyle name="Header2 2 3 4 3 2 7" xfId="23047"/>
    <cellStyle name="Header2 2 3 4 3 2 7 2" xfId="22075"/>
    <cellStyle name="Header2 2 3 4 3 2 8" xfId="22386"/>
    <cellStyle name="Header2 2 3 4 3 3" xfId="16196"/>
    <cellStyle name="Header2 2 3 4 3 3 2" xfId="19471"/>
    <cellStyle name="Header2 2 3 4 3 3 2 2" xfId="31288"/>
    <cellStyle name="Header2 2 3 4 3 3 2 2 2" xfId="41287"/>
    <cellStyle name="Header2 2 3 4 3 3 2 3" xfId="26946"/>
    <cellStyle name="Header2 2 3 4 3 3 2 4" xfId="36136"/>
    <cellStyle name="Header2 2 3 4 3 3 3" xfId="20077"/>
    <cellStyle name="Header2 2 3 4 3 3 3 2" xfId="31894"/>
    <cellStyle name="Header2 2 3 4 3 3 3 2 2" xfId="41893"/>
    <cellStyle name="Header2 2 3 4 3 3 3 3" xfId="27552"/>
    <cellStyle name="Header2 2 3 4 3 3 3 4" xfId="36742"/>
    <cellStyle name="Header2 2 3 4 3 3 4" xfId="17897"/>
    <cellStyle name="Header2 2 3 4 3 3 4 2" xfId="29714"/>
    <cellStyle name="Header2 2 3 4 3 3 4 2 2" xfId="39713"/>
    <cellStyle name="Header2 2 3 4 3 3 4 3" xfId="25472"/>
    <cellStyle name="Header2 2 3 4 3 3 4 4" xfId="34562"/>
    <cellStyle name="Header2 2 3 4 3 3 5" xfId="20886"/>
    <cellStyle name="Header2 2 3 4 3 3 5 2" xfId="32703"/>
    <cellStyle name="Header2 2 3 4 3 3 5 2 2" xfId="42702"/>
    <cellStyle name="Header2 2 3 4 3 3 5 3" xfId="37551"/>
    <cellStyle name="Header2 2 3 4 3 3 6" xfId="28013"/>
    <cellStyle name="Header2 2 3 4 3 3 6 2" xfId="38012"/>
    <cellStyle name="Header2 2 3 4 3 3 7" xfId="21483"/>
    <cellStyle name="Header2 2 3 4 3 4" xfId="15913"/>
    <cellStyle name="Header2 2 3 4 3 4 2" xfId="27730"/>
    <cellStyle name="Header2 2 3 4 3 4 2 2" xfId="37729"/>
    <cellStyle name="Header2 2 3 4 3 4 3" xfId="23791"/>
    <cellStyle name="Header2 2 3 4 3 4 4" xfId="32881"/>
    <cellStyle name="Header2 2 3 4 3 5" xfId="16654"/>
    <cellStyle name="Header2 2 3 4 3 5 2" xfId="28471"/>
    <cellStyle name="Header2 2 3 4 3 5 2 2" xfId="38470"/>
    <cellStyle name="Header2 2 3 4 3 5 3" xfId="24229"/>
    <cellStyle name="Header2 2 3 4 3 5 4" xfId="33319"/>
    <cellStyle name="Header2 2 3 4 3 6" xfId="16947"/>
    <cellStyle name="Header2 2 3 4 3 6 2" xfId="28764"/>
    <cellStyle name="Header2 2 3 4 3 6 2 2" xfId="38763"/>
    <cellStyle name="Header2 2 3 4 3 6 3" xfId="24522"/>
    <cellStyle name="Header2 2 3 4 3 6 4" xfId="33612"/>
    <cellStyle name="Header2 2 3 4 3 7" xfId="17130"/>
    <cellStyle name="Header2 2 3 4 3 7 2" xfId="28947"/>
    <cellStyle name="Header2 2 3 4 3 7 2 2" xfId="38946"/>
    <cellStyle name="Header2 2 3 4 3 7 3" xfId="24705"/>
    <cellStyle name="Header2 2 3 4 3 7 4" xfId="33795"/>
    <cellStyle name="Header2 2 3 4 3 8" xfId="17433"/>
    <cellStyle name="Header2 2 3 4 3 8 2" xfId="29250"/>
    <cellStyle name="Header2 2 3 4 3 8 2 2" xfId="39249"/>
    <cellStyle name="Header2 2 3 4 3 8 3" xfId="25008"/>
    <cellStyle name="Header2 2 3 4 3 8 4" xfId="34098"/>
    <cellStyle name="Header2 2 3 4 3 9" xfId="18502"/>
    <cellStyle name="Header2 2 3 4 3 9 2" xfId="30319"/>
    <cellStyle name="Header2 2 3 4 3 9 2 2" xfId="40318"/>
    <cellStyle name="Header2 2 3 4 3 9 3" xfId="25977"/>
    <cellStyle name="Header2 2 3 4 3 9 4" xfId="35167"/>
    <cellStyle name="Header2 2 3 4 4" xfId="7809"/>
    <cellStyle name="Header2 2 3 4 4 10" xfId="18794"/>
    <cellStyle name="Header2 2 3 4 4 10 2" xfId="30611"/>
    <cellStyle name="Header2 2 3 4 4 10 2 2" xfId="40610"/>
    <cellStyle name="Header2 2 3 4 4 10 3" xfId="26269"/>
    <cellStyle name="Header2 2 3 4 4 10 4" xfId="35459"/>
    <cellStyle name="Header2 2 3 4 4 11" xfId="20226"/>
    <cellStyle name="Header2 2 3 4 4 11 2" xfId="32043"/>
    <cellStyle name="Header2 2 3 4 4 11 2 2" xfId="42042"/>
    <cellStyle name="Header2 2 3 4 4 11 3" xfId="36891"/>
    <cellStyle name="Header2 2 3 4 4 12" xfId="23293"/>
    <cellStyle name="Header2 2 3 4 4 12 2" xfId="21170"/>
    <cellStyle name="Header2 2 3 4 4 13" xfId="22687"/>
    <cellStyle name="Header2 2 3 4 4 2" xfId="15616"/>
    <cellStyle name="Header2 2 3 4 4 2 2" xfId="19177"/>
    <cellStyle name="Header2 2 3 4 4 2 2 2" xfId="30994"/>
    <cellStyle name="Header2 2 3 4 4 2 2 2 2" xfId="40993"/>
    <cellStyle name="Header2 2 3 4 4 2 2 3" xfId="26652"/>
    <cellStyle name="Header2 2 3 4 4 2 2 4" xfId="35842"/>
    <cellStyle name="Header2 2 3 4 4 2 3" xfId="19783"/>
    <cellStyle name="Header2 2 3 4 4 2 3 2" xfId="31600"/>
    <cellStyle name="Header2 2 3 4 4 2 3 2 2" xfId="41599"/>
    <cellStyle name="Header2 2 3 4 4 2 3 3" xfId="27258"/>
    <cellStyle name="Header2 2 3 4 4 2 3 4" xfId="36448"/>
    <cellStyle name="Header2 2 3 4 4 2 4" xfId="18885"/>
    <cellStyle name="Header2 2 3 4 4 2 4 2" xfId="30702"/>
    <cellStyle name="Header2 2 3 4 4 2 4 2 2" xfId="40701"/>
    <cellStyle name="Header2 2 3 4 4 2 4 3" xfId="26360"/>
    <cellStyle name="Header2 2 3 4 4 2 4 4" xfId="35550"/>
    <cellStyle name="Header2 2 3 4 4 2 5" xfId="20592"/>
    <cellStyle name="Header2 2 3 4 4 2 5 2" xfId="32409"/>
    <cellStyle name="Header2 2 3 4 4 2 5 2 2" xfId="42408"/>
    <cellStyle name="Header2 2 3 4 4 2 5 3" xfId="37257"/>
    <cellStyle name="Header2 2 3 4 4 2 6" xfId="23494"/>
    <cellStyle name="Header2 2 3 4 4 2 6 2" xfId="21882"/>
    <cellStyle name="Header2 2 3 4 4 2 7" xfId="23046"/>
    <cellStyle name="Header2 2 3 4 4 2 7 2" xfId="21299"/>
    <cellStyle name="Header2 2 3 4 4 2 8" xfId="21623"/>
    <cellStyle name="Header2 2 3 4 4 3" xfId="16197"/>
    <cellStyle name="Header2 2 3 4 4 3 2" xfId="19470"/>
    <cellStyle name="Header2 2 3 4 4 3 2 2" xfId="31287"/>
    <cellStyle name="Header2 2 3 4 4 3 2 2 2" xfId="41286"/>
    <cellStyle name="Header2 2 3 4 4 3 2 3" xfId="26945"/>
    <cellStyle name="Header2 2 3 4 4 3 2 4" xfId="36135"/>
    <cellStyle name="Header2 2 3 4 4 3 3" xfId="20076"/>
    <cellStyle name="Header2 2 3 4 4 3 3 2" xfId="31893"/>
    <cellStyle name="Header2 2 3 4 4 3 3 2 2" xfId="41892"/>
    <cellStyle name="Header2 2 3 4 4 3 3 3" xfId="27551"/>
    <cellStyle name="Header2 2 3 4 4 3 3 4" xfId="36741"/>
    <cellStyle name="Header2 2 3 4 4 3 4" xfId="18059"/>
    <cellStyle name="Header2 2 3 4 4 3 4 2" xfId="29876"/>
    <cellStyle name="Header2 2 3 4 4 3 4 2 2" xfId="39875"/>
    <cellStyle name="Header2 2 3 4 4 3 4 3" xfId="25634"/>
    <cellStyle name="Header2 2 3 4 4 3 4 4" xfId="34724"/>
    <cellStyle name="Header2 2 3 4 4 3 5" xfId="20885"/>
    <cellStyle name="Header2 2 3 4 4 3 5 2" xfId="32702"/>
    <cellStyle name="Header2 2 3 4 4 3 5 2 2" xfId="42701"/>
    <cellStyle name="Header2 2 3 4 4 3 5 3" xfId="37550"/>
    <cellStyle name="Header2 2 3 4 4 3 6" xfId="28014"/>
    <cellStyle name="Header2 2 3 4 4 3 6 2" xfId="38013"/>
    <cellStyle name="Header2 2 3 4 4 3 7" xfId="21484"/>
    <cellStyle name="Header2 2 3 4 4 4" xfId="15914"/>
    <cellStyle name="Header2 2 3 4 4 4 2" xfId="27731"/>
    <cellStyle name="Header2 2 3 4 4 4 2 2" xfId="37730"/>
    <cellStyle name="Header2 2 3 4 4 4 3" xfId="23792"/>
    <cellStyle name="Header2 2 3 4 4 4 4" xfId="32882"/>
    <cellStyle name="Header2 2 3 4 4 5" xfId="16653"/>
    <cellStyle name="Header2 2 3 4 4 5 2" xfId="28470"/>
    <cellStyle name="Header2 2 3 4 4 5 2 2" xfId="38469"/>
    <cellStyle name="Header2 2 3 4 4 5 3" xfId="24228"/>
    <cellStyle name="Header2 2 3 4 4 5 4" xfId="33318"/>
    <cellStyle name="Header2 2 3 4 4 6" xfId="16946"/>
    <cellStyle name="Header2 2 3 4 4 6 2" xfId="28763"/>
    <cellStyle name="Header2 2 3 4 4 6 2 2" xfId="38762"/>
    <cellStyle name="Header2 2 3 4 4 6 3" xfId="24521"/>
    <cellStyle name="Header2 2 3 4 4 6 4" xfId="33611"/>
    <cellStyle name="Header2 2 3 4 4 7" xfId="17131"/>
    <cellStyle name="Header2 2 3 4 4 7 2" xfId="28948"/>
    <cellStyle name="Header2 2 3 4 4 7 2 2" xfId="38947"/>
    <cellStyle name="Header2 2 3 4 4 7 3" xfId="24706"/>
    <cellStyle name="Header2 2 3 4 4 7 4" xfId="33796"/>
    <cellStyle name="Header2 2 3 4 4 8" xfId="17434"/>
    <cellStyle name="Header2 2 3 4 4 8 2" xfId="29251"/>
    <cellStyle name="Header2 2 3 4 4 8 2 2" xfId="39250"/>
    <cellStyle name="Header2 2 3 4 4 8 3" xfId="25009"/>
    <cellStyle name="Header2 2 3 4 4 8 4" xfId="34099"/>
    <cellStyle name="Header2 2 3 4 4 9" xfId="18501"/>
    <cellStyle name="Header2 2 3 4 4 9 2" xfId="30318"/>
    <cellStyle name="Header2 2 3 4 4 9 2 2" xfId="40317"/>
    <cellStyle name="Header2 2 3 4 4 9 3" xfId="25976"/>
    <cellStyle name="Header2 2 3 4 4 9 4" xfId="35166"/>
    <cellStyle name="Header2 2 3 4 5" xfId="15613"/>
    <cellStyle name="Header2 2 3 4 5 2" xfId="19180"/>
    <cellStyle name="Header2 2 3 4 5 2 2" xfId="30997"/>
    <cellStyle name="Header2 2 3 4 5 2 2 2" xfId="40996"/>
    <cellStyle name="Header2 2 3 4 5 2 3" xfId="26655"/>
    <cellStyle name="Header2 2 3 4 5 2 4" xfId="35845"/>
    <cellStyle name="Header2 2 3 4 5 3" xfId="19786"/>
    <cellStyle name="Header2 2 3 4 5 3 2" xfId="31603"/>
    <cellStyle name="Header2 2 3 4 5 3 2 2" xfId="41602"/>
    <cellStyle name="Header2 2 3 4 5 3 3" xfId="27261"/>
    <cellStyle name="Header2 2 3 4 5 3 4" xfId="36451"/>
    <cellStyle name="Header2 2 3 4 5 4" xfId="17815"/>
    <cellStyle name="Header2 2 3 4 5 4 2" xfId="29632"/>
    <cellStyle name="Header2 2 3 4 5 4 2 2" xfId="39631"/>
    <cellStyle name="Header2 2 3 4 5 4 3" xfId="25390"/>
    <cellStyle name="Header2 2 3 4 5 4 4" xfId="34480"/>
    <cellStyle name="Header2 2 3 4 5 5" xfId="20595"/>
    <cellStyle name="Header2 2 3 4 5 5 2" xfId="32412"/>
    <cellStyle name="Header2 2 3 4 5 5 2 2" xfId="42411"/>
    <cellStyle name="Header2 2 3 4 5 5 3" xfId="37260"/>
    <cellStyle name="Header2 2 3 4 5 6" xfId="23491"/>
    <cellStyle name="Header2 2 3 4 5 6 2" xfId="21885"/>
    <cellStyle name="Header2 2 3 4 5 7" xfId="23049"/>
    <cellStyle name="Header2 2 3 4 5 7 2" xfId="22073"/>
    <cellStyle name="Header2 2 3 4 5 8" xfId="21621"/>
    <cellStyle name="Header2 2 3 4 6" xfId="16194"/>
    <cellStyle name="Header2 2 3 4 6 2" xfId="19473"/>
    <cellStyle name="Header2 2 3 4 6 2 2" xfId="31290"/>
    <cellStyle name="Header2 2 3 4 6 2 2 2" xfId="41289"/>
    <cellStyle name="Header2 2 3 4 6 2 3" xfId="26948"/>
    <cellStyle name="Header2 2 3 4 6 2 4" xfId="36138"/>
    <cellStyle name="Header2 2 3 4 6 3" xfId="20079"/>
    <cellStyle name="Header2 2 3 4 6 3 2" xfId="31896"/>
    <cellStyle name="Header2 2 3 4 6 3 2 2" xfId="41895"/>
    <cellStyle name="Header2 2 3 4 6 3 3" xfId="27554"/>
    <cellStyle name="Header2 2 3 4 6 3 4" xfId="36744"/>
    <cellStyle name="Header2 2 3 4 6 4" xfId="17895"/>
    <cellStyle name="Header2 2 3 4 6 4 2" xfId="29712"/>
    <cellStyle name="Header2 2 3 4 6 4 2 2" xfId="39711"/>
    <cellStyle name="Header2 2 3 4 6 4 3" xfId="25470"/>
    <cellStyle name="Header2 2 3 4 6 4 4" xfId="34560"/>
    <cellStyle name="Header2 2 3 4 6 5" xfId="20888"/>
    <cellStyle name="Header2 2 3 4 6 5 2" xfId="32705"/>
    <cellStyle name="Header2 2 3 4 6 5 2 2" xfId="42704"/>
    <cellStyle name="Header2 2 3 4 6 5 3" xfId="37553"/>
    <cellStyle name="Header2 2 3 4 6 6" xfId="28011"/>
    <cellStyle name="Header2 2 3 4 6 6 2" xfId="38010"/>
    <cellStyle name="Header2 2 3 4 6 7" xfId="21481"/>
    <cellStyle name="Header2 2 3 4 7" xfId="15911"/>
    <cellStyle name="Header2 2 3 4 7 2" xfId="27728"/>
    <cellStyle name="Header2 2 3 4 7 2 2" xfId="37727"/>
    <cellStyle name="Header2 2 3 4 7 3" xfId="23789"/>
    <cellStyle name="Header2 2 3 4 7 4" xfId="32879"/>
    <cellStyle name="Header2 2 3 4 8" xfId="16656"/>
    <cellStyle name="Header2 2 3 4 8 2" xfId="28473"/>
    <cellStyle name="Header2 2 3 4 8 2 2" xfId="38472"/>
    <cellStyle name="Header2 2 3 4 8 3" xfId="24231"/>
    <cellStyle name="Header2 2 3 4 8 4" xfId="33321"/>
    <cellStyle name="Header2 2 3 4 9" xfId="16949"/>
    <cellStyle name="Header2 2 3 4 9 2" xfId="28766"/>
    <cellStyle name="Header2 2 3 4 9 2 2" xfId="38765"/>
    <cellStyle name="Header2 2 3 4 9 3" xfId="24524"/>
    <cellStyle name="Header2 2 3 4 9 4" xfId="33614"/>
    <cellStyle name="Header2 2 3 5" xfId="7810"/>
    <cellStyle name="Header2 2 3 5 10" xfId="18793"/>
    <cellStyle name="Header2 2 3 5 10 2" xfId="30610"/>
    <cellStyle name="Header2 2 3 5 10 2 2" xfId="40609"/>
    <cellStyle name="Header2 2 3 5 10 3" xfId="26268"/>
    <cellStyle name="Header2 2 3 5 10 4" xfId="35458"/>
    <cellStyle name="Header2 2 3 5 11" xfId="20325"/>
    <cellStyle name="Header2 2 3 5 11 2" xfId="32142"/>
    <cellStyle name="Header2 2 3 5 11 2 2" xfId="42141"/>
    <cellStyle name="Header2 2 3 5 11 3" xfId="36990"/>
    <cellStyle name="Header2 2 3 5 12" xfId="23292"/>
    <cellStyle name="Header2 2 3 5 12 2" xfId="21959"/>
    <cellStyle name="Header2 2 3 5 13" xfId="22686"/>
    <cellStyle name="Header2 2 3 5 2" xfId="15617"/>
    <cellStyle name="Header2 2 3 5 2 2" xfId="19176"/>
    <cellStyle name="Header2 2 3 5 2 2 2" xfId="30993"/>
    <cellStyle name="Header2 2 3 5 2 2 2 2" xfId="40992"/>
    <cellStyle name="Header2 2 3 5 2 2 3" xfId="26651"/>
    <cellStyle name="Header2 2 3 5 2 2 4" xfId="35841"/>
    <cellStyle name="Header2 2 3 5 2 3" xfId="19782"/>
    <cellStyle name="Header2 2 3 5 2 3 2" xfId="31599"/>
    <cellStyle name="Header2 2 3 5 2 3 2 2" xfId="41598"/>
    <cellStyle name="Header2 2 3 5 2 3 3" xfId="27257"/>
    <cellStyle name="Header2 2 3 5 2 3 4" xfId="36447"/>
    <cellStyle name="Header2 2 3 5 2 4" xfId="18886"/>
    <cellStyle name="Header2 2 3 5 2 4 2" xfId="30703"/>
    <cellStyle name="Header2 2 3 5 2 4 2 2" xfId="40702"/>
    <cellStyle name="Header2 2 3 5 2 4 3" xfId="26361"/>
    <cellStyle name="Header2 2 3 5 2 4 4" xfId="35551"/>
    <cellStyle name="Header2 2 3 5 2 5" xfId="20591"/>
    <cellStyle name="Header2 2 3 5 2 5 2" xfId="32408"/>
    <cellStyle name="Header2 2 3 5 2 5 2 2" xfId="42407"/>
    <cellStyle name="Header2 2 3 5 2 5 3" xfId="37256"/>
    <cellStyle name="Header2 2 3 5 2 6" xfId="23495"/>
    <cellStyle name="Header2 2 3 5 2 6 2" xfId="21881"/>
    <cellStyle name="Header2 2 3 5 2 7" xfId="23045"/>
    <cellStyle name="Header2 2 3 5 2 7 2" xfId="22076"/>
    <cellStyle name="Header2 2 3 5 2 8" xfId="22387"/>
    <cellStyle name="Header2 2 3 5 3" xfId="16198"/>
    <cellStyle name="Header2 2 3 5 3 2" xfId="19469"/>
    <cellStyle name="Header2 2 3 5 3 2 2" xfId="31286"/>
    <cellStyle name="Header2 2 3 5 3 2 2 2" xfId="41285"/>
    <cellStyle name="Header2 2 3 5 3 2 3" xfId="26944"/>
    <cellStyle name="Header2 2 3 5 3 2 4" xfId="36134"/>
    <cellStyle name="Header2 2 3 5 3 3" xfId="20075"/>
    <cellStyle name="Header2 2 3 5 3 3 2" xfId="31892"/>
    <cellStyle name="Header2 2 3 5 3 3 2 2" xfId="41891"/>
    <cellStyle name="Header2 2 3 5 3 3 3" xfId="27550"/>
    <cellStyle name="Header2 2 3 5 3 3 4" xfId="36740"/>
    <cellStyle name="Header2 2 3 5 3 4" xfId="17650"/>
    <cellStyle name="Header2 2 3 5 3 4 2" xfId="29467"/>
    <cellStyle name="Header2 2 3 5 3 4 2 2" xfId="39466"/>
    <cellStyle name="Header2 2 3 5 3 4 3" xfId="25225"/>
    <cellStyle name="Header2 2 3 5 3 4 4" xfId="34315"/>
    <cellStyle name="Header2 2 3 5 3 5" xfId="20884"/>
    <cellStyle name="Header2 2 3 5 3 5 2" xfId="32701"/>
    <cellStyle name="Header2 2 3 5 3 5 2 2" xfId="42700"/>
    <cellStyle name="Header2 2 3 5 3 5 3" xfId="37549"/>
    <cellStyle name="Header2 2 3 5 3 6" xfId="28015"/>
    <cellStyle name="Header2 2 3 5 3 6 2" xfId="38014"/>
    <cellStyle name="Header2 2 3 5 3 7" xfId="22234"/>
    <cellStyle name="Header2 2 3 5 4" xfId="15915"/>
    <cellStyle name="Header2 2 3 5 4 2" xfId="27732"/>
    <cellStyle name="Header2 2 3 5 4 2 2" xfId="37731"/>
    <cellStyle name="Header2 2 3 5 4 3" xfId="23793"/>
    <cellStyle name="Header2 2 3 5 4 4" xfId="32883"/>
    <cellStyle name="Header2 2 3 5 5" xfId="16652"/>
    <cellStyle name="Header2 2 3 5 5 2" xfId="28469"/>
    <cellStyle name="Header2 2 3 5 5 2 2" xfId="38468"/>
    <cellStyle name="Header2 2 3 5 5 3" xfId="24227"/>
    <cellStyle name="Header2 2 3 5 5 4" xfId="33317"/>
    <cellStyle name="Header2 2 3 5 6" xfId="16945"/>
    <cellStyle name="Header2 2 3 5 6 2" xfId="28762"/>
    <cellStyle name="Header2 2 3 5 6 2 2" xfId="38761"/>
    <cellStyle name="Header2 2 3 5 6 3" xfId="24520"/>
    <cellStyle name="Header2 2 3 5 6 4" xfId="33610"/>
    <cellStyle name="Header2 2 3 5 7" xfId="17132"/>
    <cellStyle name="Header2 2 3 5 7 2" xfId="28949"/>
    <cellStyle name="Header2 2 3 5 7 2 2" xfId="38948"/>
    <cellStyle name="Header2 2 3 5 7 3" xfId="24707"/>
    <cellStyle name="Header2 2 3 5 7 4" xfId="33797"/>
    <cellStyle name="Header2 2 3 5 8" xfId="17435"/>
    <cellStyle name="Header2 2 3 5 8 2" xfId="29252"/>
    <cellStyle name="Header2 2 3 5 8 2 2" xfId="39251"/>
    <cellStyle name="Header2 2 3 5 8 3" xfId="25010"/>
    <cellStyle name="Header2 2 3 5 8 4" xfId="34100"/>
    <cellStyle name="Header2 2 3 5 9" xfId="18500"/>
    <cellStyle name="Header2 2 3 5 9 2" xfId="30317"/>
    <cellStyle name="Header2 2 3 5 9 2 2" xfId="40316"/>
    <cellStyle name="Header2 2 3 5 9 3" xfId="25975"/>
    <cellStyle name="Header2 2 3 5 9 4" xfId="35165"/>
    <cellStyle name="Header2 2 3 6" xfId="15598"/>
    <cellStyle name="Header2 2 3 6 2" xfId="19195"/>
    <cellStyle name="Header2 2 3 6 2 2" xfId="31012"/>
    <cellStyle name="Header2 2 3 6 2 2 2" xfId="41011"/>
    <cellStyle name="Header2 2 3 6 2 3" xfId="26670"/>
    <cellStyle name="Header2 2 3 6 2 4" xfId="35860"/>
    <cellStyle name="Header2 2 3 6 3" xfId="19801"/>
    <cellStyle name="Header2 2 3 6 3 2" xfId="31618"/>
    <cellStyle name="Header2 2 3 6 3 2 2" xfId="41617"/>
    <cellStyle name="Header2 2 3 6 3 3" xfId="27276"/>
    <cellStyle name="Header2 2 3 6 3 4" xfId="36466"/>
    <cellStyle name="Header2 2 3 6 4" xfId="18137"/>
    <cellStyle name="Header2 2 3 6 4 2" xfId="29954"/>
    <cellStyle name="Header2 2 3 6 4 2 2" xfId="39953"/>
    <cellStyle name="Header2 2 3 6 4 3" xfId="25712"/>
    <cellStyle name="Header2 2 3 6 4 4" xfId="34802"/>
    <cellStyle name="Header2 2 3 6 5" xfId="20610"/>
    <cellStyle name="Header2 2 3 6 5 2" xfId="32427"/>
    <cellStyle name="Header2 2 3 6 5 2 2" xfId="42426"/>
    <cellStyle name="Header2 2 3 6 5 3" xfId="37275"/>
    <cellStyle name="Header2 2 3 6 6" xfId="23476"/>
    <cellStyle name="Header2 2 3 6 6 2" xfId="21894"/>
    <cellStyle name="Header2 2 3 6 7" xfId="23058"/>
    <cellStyle name="Header2 2 3 6 7 2" xfId="21294"/>
    <cellStyle name="Header2 2 3 6 8" xfId="21617"/>
    <cellStyle name="Header2 2 3 7" xfId="16179"/>
    <cellStyle name="Header2 2 3 7 2" xfId="19487"/>
    <cellStyle name="Header2 2 3 7 2 2" xfId="31304"/>
    <cellStyle name="Header2 2 3 7 2 2 2" xfId="41303"/>
    <cellStyle name="Header2 2 3 7 2 3" xfId="26962"/>
    <cellStyle name="Header2 2 3 7 2 4" xfId="36152"/>
    <cellStyle name="Header2 2 3 7 3" xfId="20093"/>
    <cellStyle name="Header2 2 3 7 3 2" xfId="31910"/>
    <cellStyle name="Header2 2 3 7 3 2 2" xfId="41909"/>
    <cellStyle name="Header2 2 3 7 3 3" xfId="27568"/>
    <cellStyle name="Header2 2 3 7 3 4" xfId="36758"/>
    <cellStyle name="Header2 2 3 7 4" xfId="18052"/>
    <cellStyle name="Header2 2 3 7 4 2" xfId="29869"/>
    <cellStyle name="Header2 2 3 7 4 2 2" xfId="39868"/>
    <cellStyle name="Header2 2 3 7 4 3" xfId="25627"/>
    <cellStyle name="Header2 2 3 7 4 4" xfId="34717"/>
    <cellStyle name="Header2 2 3 7 5" xfId="20902"/>
    <cellStyle name="Header2 2 3 7 5 2" xfId="32719"/>
    <cellStyle name="Header2 2 3 7 5 2 2" xfId="42718"/>
    <cellStyle name="Header2 2 3 7 5 3" xfId="37567"/>
    <cellStyle name="Header2 2 3 7 6" xfId="27996"/>
    <cellStyle name="Header2 2 3 7 6 2" xfId="37995"/>
    <cellStyle name="Header2 2 3 7 7" xfId="21469"/>
    <cellStyle name="Header2 2 3 8" xfId="15898"/>
    <cellStyle name="Header2 2 3 8 2" xfId="27715"/>
    <cellStyle name="Header2 2 3 8 2 2" xfId="37714"/>
    <cellStyle name="Header2 2 3 8 3" xfId="23776"/>
    <cellStyle name="Header2 2 3 8 4" xfId="32866"/>
    <cellStyle name="Header2 2 3 9" xfId="16671"/>
    <cellStyle name="Header2 2 3 9 2" xfId="28488"/>
    <cellStyle name="Header2 2 3 9 2 2" xfId="38487"/>
    <cellStyle name="Header2 2 3 9 3" xfId="24246"/>
    <cellStyle name="Header2 2 3 9 4" xfId="33336"/>
    <cellStyle name="Header2 2 4" xfId="15517"/>
    <cellStyle name="Header2 2 4 2" xfId="19276"/>
    <cellStyle name="Header2 2 4 2 2" xfId="31093"/>
    <cellStyle name="Header2 2 4 2 2 2" xfId="41092"/>
    <cellStyle name="Header2 2 4 2 3" xfId="26751"/>
    <cellStyle name="Header2 2 4 2 4" xfId="35941"/>
    <cellStyle name="Header2 2 4 3" xfId="19882"/>
    <cellStyle name="Header2 2 4 3 2" xfId="31699"/>
    <cellStyle name="Header2 2 4 3 2 2" xfId="41698"/>
    <cellStyle name="Header2 2 4 3 3" xfId="27357"/>
    <cellStyle name="Header2 2 4 3 4" xfId="36547"/>
    <cellStyle name="Header2 2 4 4" xfId="18125"/>
    <cellStyle name="Header2 2 4 4 2" xfId="29942"/>
    <cellStyle name="Header2 2 4 4 2 2" xfId="39941"/>
    <cellStyle name="Header2 2 4 4 3" xfId="25700"/>
    <cellStyle name="Header2 2 4 4 4" xfId="34790"/>
    <cellStyle name="Header2 2 4 5" xfId="20691"/>
    <cellStyle name="Header2 2 4 5 2" xfId="32508"/>
    <cellStyle name="Header2 2 4 5 2 2" xfId="42507"/>
    <cellStyle name="Header2 2 4 5 3" xfId="37356"/>
    <cellStyle name="Header2 2 4 6" xfId="23395"/>
    <cellStyle name="Header2 2 4 6 2" xfId="21926"/>
    <cellStyle name="Header2 2 4 7" xfId="23090"/>
    <cellStyle name="Header2 2 4 7 2" xfId="22049"/>
    <cellStyle name="Header2 2 4 8" xfId="22327"/>
    <cellStyle name="Header2 2 5" xfId="16098"/>
    <cellStyle name="Header2 2 5 2" xfId="19554"/>
    <cellStyle name="Header2 2 5 2 2" xfId="31371"/>
    <cellStyle name="Header2 2 5 2 2 2" xfId="41370"/>
    <cellStyle name="Header2 2 5 2 3" xfId="27029"/>
    <cellStyle name="Header2 2 5 2 4" xfId="36219"/>
    <cellStyle name="Header2 2 5 3" xfId="20160"/>
    <cellStyle name="Header2 2 5 3 2" xfId="31977"/>
    <cellStyle name="Header2 2 5 3 2 2" xfId="41976"/>
    <cellStyle name="Header2 2 5 3 3" xfId="27635"/>
    <cellStyle name="Header2 2 5 3 4" xfId="36825"/>
    <cellStyle name="Header2 2 5 4" xfId="17741"/>
    <cellStyle name="Header2 2 5 4 2" xfId="29558"/>
    <cellStyle name="Header2 2 5 4 2 2" xfId="39557"/>
    <cellStyle name="Header2 2 5 4 3" xfId="25316"/>
    <cellStyle name="Header2 2 5 4 4" xfId="34406"/>
    <cellStyle name="Header2 2 5 5" xfId="20969"/>
    <cellStyle name="Header2 2 5 5 2" xfId="32786"/>
    <cellStyle name="Header2 2 5 5 2 2" xfId="42785"/>
    <cellStyle name="Header2 2 5 5 3" xfId="37634"/>
    <cellStyle name="Header2 2 5 6" xfId="27915"/>
    <cellStyle name="Header2 2 5 6 2" xfId="37914"/>
    <cellStyle name="Header2 2 5 7" xfId="21428"/>
    <cellStyle name="Header2 2 6" xfId="15819"/>
    <cellStyle name="Header2 2 6 2" xfId="27636"/>
    <cellStyle name="Header2 2 6 2 2" xfId="37635"/>
    <cellStyle name="Header2 2 6 3" xfId="23697"/>
    <cellStyle name="Header2 2 6 4" xfId="32787"/>
    <cellStyle name="Header2 2 7" xfId="16752"/>
    <cellStyle name="Header2 2 7 2" xfId="28569"/>
    <cellStyle name="Header2 2 7 2 2" xfId="38568"/>
    <cellStyle name="Header2 2 7 3" xfId="24327"/>
    <cellStyle name="Header2 2 7 4" xfId="33417"/>
    <cellStyle name="Header2 2 8" xfId="17030"/>
    <cellStyle name="Header2 2 8 2" xfId="28847"/>
    <cellStyle name="Header2 2 8 2 2" xfId="38846"/>
    <cellStyle name="Header2 2 8 3" xfId="24605"/>
    <cellStyle name="Header2 2 8 4" xfId="33695"/>
    <cellStyle name="Header2 2 9" xfId="17032"/>
    <cellStyle name="Header2 2 9 2" xfId="28849"/>
    <cellStyle name="Header2 2 9 2 2" xfId="38848"/>
    <cellStyle name="Header2 2 9 3" xfId="24607"/>
    <cellStyle name="Header2 2 9 4" xfId="33697"/>
    <cellStyle name="Header2 3" xfId="7811"/>
    <cellStyle name="Header2 3 10" xfId="17436"/>
    <cellStyle name="Header2 3 10 2" xfId="29253"/>
    <cellStyle name="Header2 3 10 2 2" xfId="39252"/>
    <cellStyle name="Header2 3 10 3" xfId="25011"/>
    <cellStyle name="Header2 3 10 4" xfId="34101"/>
    <cellStyle name="Header2 3 11" xfId="18499"/>
    <cellStyle name="Header2 3 11 2" xfId="30316"/>
    <cellStyle name="Header2 3 11 2 2" xfId="40315"/>
    <cellStyle name="Header2 3 11 3" xfId="25974"/>
    <cellStyle name="Header2 3 11 4" xfId="35164"/>
    <cellStyle name="Header2 3 12" xfId="18792"/>
    <cellStyle name="Header2 3 12 2" xfId="30609"/>
    <cellStyle name="Header2 3 12 2 2" xfId="40608"/>
    <cellStyle name="Header2 3 12 3" xfId="26267"/>
    <cellStyle name="Header2 3 12 4" xfId="35457"/>
    <cellStyle name="Header2 3 13" xfId="20229"/>
    <cellStyle name="Header2 3 13 2" xfId="32046"/>
    <cellStyle name="Header2 3 13 2 2" xfId="42045"/>
    <cellStyle name="Header2 3 13 3" xfId="36894"/>
    <cellStyle name="Header2 3 14" xfId="23291"/>
    <cellStyle name="Header2 3 14 2" xfId="21171"/>
    <cellStyle name="Header2 3 15" xfId="22685"/>
    <cellStyle name="Header2 3 2" xfId="7812"/>
    <cellStyle name="Header2 3 2 10" xfId="7813"/>
    <cellStyle name="Header2 3 2 10 10" xfId="17135"/>
    <cellStyle name="Header2 3 2 10 10 2" xfId="28952"/>
    <cellStyle name="Header2 3 2 10 10 2 2" xfId="38951"/>
    <cellStyle name="Header2 3 2 10 10 3" xfId="24710"/>
    <cellStyle name="Header2 3 2 10 10 4" xfId="33800"/>
    <cellStyle name="Header2 3 2 10 11" xfId="17438"/>
    <cellStyle name="Header2 3 2 10 11 2" xfId="29255"/>
    <cellStyle name="Header2 3 2 10 11 2 2" xfId="39254"/>
    <cellStyle name="Header2 3 2 10 11 3" xfId="25013"/>
    <cellStyle name="Header2 3 2 10 11 4" xfId="34103"/>
    <cellStyle name="Header2 3 2 10 12" xfId="18497"/>
    <cellStyle name="Header2 3 2 10 12 2" xfId="30314"/>
    <cellStyle name="Header2 3 2 10 12 2 2" xfId="40313"/>
    <cellStyle name="Header2 3 2 10 12 3" xfId="25972"/>
    <cellStyle name="Header2 3 2 10 12 4" xfId="35162"/>
    <cellStyle name="Header2 3 2 10 13" xfId="18790"/>
    <cellStyle name="Header2 3 2 10 13 2" xfId="30607"/>
    <cellStyle name="Header2 3 2 10 13 2 2" xfId="40606"/>
    <cellStyle name="Header2 3 2 10 13 3" xfId="26265"/>
    <cellStyle name="Header2 3 2 10 13 4" xfId="35455"/>
    <cellStyle name="Header2 3 2 10 14" xfId="18234"/>
    <cellStyle name="Header2 3 2 10 14 2" xfId="30051"/>
    <cellStyle name="Header2 3 2 10 14 2 2" xfId="40050"/>
    <cellStyle name="Header2 3 2 10 14 3" xfId="34899"/>
    <cellStyle name="Header2 3 2 10 15" xfId="23289"/>
    <cellStyle name="Header2 3 2 10 15 2" xfId="21172"/>
    <cellStyle name="Header2 3 2 10 16" xfId="22683"/>
    <cellStyle name="Header2 3 2 10 2" xfId="7814"/>
    <cellStyle name="Header2 3 2 10 2 10" xfId="18789"/>
    <cellStyle name="Header2 3 2 10 2 10 2" xfId="30606"/>
    <cellStyle name="Header2 3 2 10 2 10 2 2" xfId="40605"/>
    <cellStyle name="Header2 3 2 10 2 10 3" xfId="26264"/>
    <cellStyle name="Header2 3 2 10 2 10 4" xfId="35454"/>
    <cellStyle name="Header2 3 2 10 2 11" xfId="18235"/>
    <cellStyle name="Header2 3 2 10 2 11 2" xfId="30052"/>
    <cellStyle name="Header2 3 2 10 2 11 2 2" xfId="40051"/>
    <cellStyle name="Header2 3 2 10 2 11 3" xfId="34900"/>
    <cellStyle name="Header2 3 2 10 2 12" xfId="23288"/>
    <cellStyle name="Header2 3 2 10 2 12 2" xfId="21961"/>
    <cellStyle name="Header2 3 2 10 2 13" xfId="22682"/>
    <cellStyle name="Header2 3 2 10 2 2" xfId="15621"/>
    <cellStyle name="Header2 3 2 10 2 2 2" xfId="19172"/>
    <cellStyle name="Header2 3 2 10 2 2 2 2" xfId="30989"/>
    <cellStyle name="Header2 3 2 10 2 2 2 2 2" xfId="40988"/>
    <cellStyle name="Header2 3 2 10 2 2 2 3" xfId="26647"/>
    <cellStyle name="Header2 3 2 10 2 2 2 4" xfId="35837"/>
    <cellStyle name="Header2 3 2 10 2 2 3" xfId="19778"/>
    <cellStyle name="Header2 3 2 10 2 2 3 2" xfId="31595"/>
    <cellStyle name="Header2 3 2 10 2 2 3 2 2" xfId="41594"/>
    <cellStyle name="Header2 3 2 10 2 2 3 3" xfId="27253"/>
    <cellStyle name="Header2 3 2 10 2 2 3 4" xfId="36443"/>
    <cellStyle name="Header2 3 2 10 2 2 4" xfId="17970"/>
    <cellStyle name="Header2 3 2 10 2 2 4 2" xfId="29787"/>
    <cellStyle name="Header2 3 2 10 2 2 4 2 2" xfId="39786"/>
    <cellStyle name="Header2 3 2 10 2 2 4 3" xfId="25545"/>
    <cellStyle name="Header2 3 2 10 2 2 4 4" xfId="34635"/>
    <cellStyle name="Header2 3 2 10 2 2 5" xfId="20587"/>
    <cellStyle name="Header2 3 2 10 2 2 5 2" xfId="32404"/>
    <cellStyle name="Header2 3 2 10 2 2 5 2 2" xfId="42403"/>
    <cellStyle name="Header2 3 2 10 2 2 5 3" xfId="37252"/>
    <cellStyle name="Header2 3 2 10 2 2 6" xfId="23499"/>
    <cellStyle name="Header2 3 2 10 2 2 6 2" xfId="21878"/>
    <cellStyle name="Header2 3 2 10 2 2 7" xfId="23042"/>
    <cellStyle name="Header2 3 2 10 2 2 7 2" xfId="22079"/>
    <cellStyle name="Header2 3 2 10 2 2 8" xfId="22390"/>
    <cellStyle name="Header2 3 2 10 2 3" xfId="16202"/>
    <cellStyle name="Header2 3 2 10 2 3 2" xfId="19465"/>
    <cellStyle name="Header2 3 2 10 2 3 2 2" xfId="31282"/>
    <cellStyle name="Header2 3 2 10 2 3 2 2 2" xfId="41281"/>
    <cellStyle name="Header2 3 2 10 2 3 2 3" xfId="26940"/>
    <cellStyle name="Header2 3 2 10 2 3 2 4" xfId="36130"/>
    <cellStyle name="Header2 3 2 10 2 3 3" xfId="20071"/>
    <cellStyle name="Header2 3 2 10 2 3 3 2" xfId="31888"/>
    <cellStyle name="Header2 3 2 10 2 3 3 2 2" xfId="41887"/>
    <cellStyle name="Header2 3 2 10 2 3 3 3" xfId="27546"/>
    <cellStyle name="Header2 3 2 10 2 3 3 4" xfId="36736"/>
    <cellStyle name="Header2 3 2 10 2 3 4" xfId="17762"/>
    <cellStyle name="Header2 3 2 10 2 3 4 2" xfId="29579"/>
    <cellStyle name="Header2 3 2 10 2 3 4 2 2" xfId="39578"/>
    <cellStyle name="Header2 3 2 10 2 3 4 3" xfId="25337"/>
    <cellStyle name="Header2 3 2 10 2 3 4 4" xfId="34427"/>
    <cellStyle name="Header2 3 2 10 2 3 5" xfId="20880"/>
    <cellStyle name="Header2 3 2 10 2 3 5 2" xfId="32697"/>
    <cellStyle name="Header2 3 2 10 2 3 5 2 2" xfId="42696"/>
    <cellStyle name="Header2 3 2 10 2 3 5 3" xfId="37545"/>
    <cellStyle name="Header2 3 2 10 2 3 6" xfId="28019"/>
    <cellStyle name="Header2 3 2 10 2 3 6 2" xfId="38018"/>
    <cellStyle name="Header2 3 2 10 2 3 7" xfId="22235"/>
    <cellStyle name="Header2 3 2 10 2 4" xfId="15918"/>
    <cellStyle name="Header2 3 2 10 2 4 2" xfId="27735"/>
    <cellStyle name="Header2 3 2 10 2 4 2 2" xfId="37734"/>
    <cellStyle name="Header2 3 2 10 2 4 3" xfId="23796"/>
    <cellStyle name="Header2 3 2 10 2 4 4" xfId="32886"/>
    <cellStyle name="Header2 3 2 10 2 5" xfId="16648"/>
    <cellStyle name="Header2 3 2 10 2 5 2" xfId="28465"/>
    <cellStyle name="Header2 3 2 10 2 5 2 2" xfId="38464"/>
    <cellStyle name="Header2 3 2 10 2 5 3" xfId="24223"/>
    <cellStyle name="Header2 3 2 10 2 5 4" xfId="33313"/>
    <cellStyle name="Header2 3 2 10 2 6" xfId="16941"/>
    <cellStyle name="Header2 3 2 10 2 6 2" xfId="28758"/>
    <cellStyle name="Header2 3 2 10 2 6 2 2" xfId="38757"/>
    <cellStyle name="Header2 3 2 10 2 6 3" xfId="24516"/>
    <cellStyle name="Header2 3 2 10 2 6 4" xfId="33606"/>
    <cellStyle name="Header2 3 2 10 2 7" xfId="17136"/>
    <cellStyle name="Header2 3 2 10 2 7 2" xfId="28953"/>
    <cellStyle name="Header2 3 2 10 2 7 2 2" xfId="38952"/>
    <cellStyle name="Header2 3 2 10 2 7 3" xfId="24711"/>
    <cellStyle name="Header2 3 2 10 2 7 4" xfId="33801"/>
    <cellStyle name="Header2 3 2 10 2 8" xfId="17439"/>
    <cellStyle name="Header2 3 2 10 2 8 2" xfId="29256"/>
    <cellStyle name="Header2 3 2 10 2 8 2 2" xfId="39255"/>
    <cellStyle name="Header2 3 2 10 2 8 3" xfId="25014"/>
    <cellStyle name="Header2 3 2 10 2 8 4" xfId="34104"/>
    <cellStyle name="Header2 3 2 10 2 9" xfId="18496"/>
    <cellStyle name="Header2 3 2 10 2 9 2" xfId="30313"/>
    <cellStyle name="Header2 3 2 10 2 9 2 2" xfId="40312"/>
    <cellStyle name="Header2 3 2 10 2 9 3" xfId="25971"/>
    <cellStyle name="Header2 3 2 10 2 9 4" xfId="35161"/>
    <cellStyle name="Header2 3 2 10 3" xfId="7815"/>
    <cellStyle name="Header2 3 2 10 3 10" xfId="18788"/>
    <cellStyle name="Header2 3 2 10 3 10 2" xfId="30605"/>
    <cellStyle name="Header2 3 2 10 3 10 2 2" xfId="40604"/>
    <cellStyle name="Header2 3 2 10 3 10 3" xfId="26263"/>
    <cellStyle name="Header2 3 2 10 3 10 4" xfId="35453"/>
    <cellStyle name="Header2 3 2 10 3 11" xfId="20224"/>
    <cellStyle name="Header2 3 2 10 3 11 2" xfId="32041"/>
    <cellStyle name="Header2 3 2 10 3 11 2 2" xfId="42040"/>
    <cellStyle name="Header2 3 2 10 3 11 3" xfId="36889"/>
    <cellStyle name="Header2 3 2 10 3 12" xfId="23287"/>
    <cellStyle name="Header2 3 2 10 3 12 2" xfId="21962"/>
    <cellStyle name="Header2 3 2 10 3 13" xfId="22681"/>
    <cellStyle name="Header2 3 2 10 3 2" xfId="15622"/>
    <cellStyle name="Header2 3 2 10 3 2 2" xfId="19171"/>
    <cellStyle name="Header2 3 2 10 3 2 2 2" xfId="30988"/>
    <cellStyle name="Header2 3 2 10 3 2 2 2 2" xfId="40987"/>
    <cellStyle name="Header2 3 2 10 3 2 2 3" xfId="26646"/>
    <cellStyle name="Header2 3 2 10 3 2 2 4" xfId="35836"/>
    <cellStyle name="Header2 3 2 10 3 2 3" xfId="19777"/>
    <cellStyle name="Header2 3 2 10 3 2 3 2" xfId="31594"/>
    <cellStyle name="Header2 3 2 10 3 2 3 2 2" xfId="41593"/>
    <cellStyle name="Header2 3 2 10 3 2 3 3" xfId="27252"/>
    <cellStyle name="Header2 3 2 10 3 2 3 4" xfId="36442"/>
    <cellStyle name="Header2 3 2 10 3 2 4" xfId="18888"/>
    <cellStyle name="Header2 3 2 10 3 2 4 2" xfId="30705"/>
    <cellStyle name="Header2 3 2 10 3 2 4 2 2" xfId="40704"/>
    <cellStyle name="Header2 3 2 10 3 2 4 3" xfId="26363"/>
    <cellStyle name="Header2 3 2 10 3 2 4 4" xfId="35553"/>
    <cellStyle name="Header2 3 2 10 3 2 5" xfId="20586"/>
    <cellStyle name="Header2 3 2 10 3 2 5 2" xfId="32403"/>
    <cellStyle name="Header2 3 2 10 3 2 5 2 2" xfId="42402"/>
    <cellStyle name="Header2 3 2 10 3 2 5 3" xfId="37251"/>
    <cellStyle name="Header2 3 2 10 3 2 6" xfId="23500"/>
    <cellStyle name="Header2 3 2 10 3 2 6 2" xfId="21877"/>
    <cellStyle name="Header2 3 2 10 3 2 7" xfId="23041"/>
    <cellStyle name="Header2 3 2 10 3 2 7 2" xfId="22080"/>
    <cellStyle name="Header2 3 2 10 3 2 8" xfId="22391"/>
    <cellStyle name="Header2 3 2 10 3 3" xfId="16203"/>
    <cellStyle name="Header2 3 2 10 3 3 2" xfId="19464"/>
    <cellStyle name="Header2 3 2 10 3 3 2 2" xfId="31281"/>
    <cellStyle name="Header2 3 2 10 3 3 2 2 2" xfId="41280"/>
    <cellStyle name="Header2 3 2 10 3 3 2 3" xfId="26939"/>
    <cellStyle name="Header2 3 2 10 3 3 2 4" xfId="36129"/>
    <cellStyle name="Header2 3 2 10 3 3 3" xfId="20070"/>
    <cellStyle name="Header2 3 2 10 3 3 3 2" xfId="31887"/>
    <cellStyle name="Header2 3 2 10 3 3 3 2 2" xfId="41886"/>
    <cellStyle name="Header2 3 2 10 3 3 3 3" xfId="27545"/>
    <cellStyle name="Header2 3 2 10 3 3 3 4" xfId="36735"/>
    <cellStyle name="Header2 3 2 10 3 3 4" xfId="18061"/>
    <cellStyle name="Header2 3 2 10 3 3 4 2" xfId="29878"/>
    <cellStyle name="Header2 3 2 10 3 3 4 2 2" xfId="39877"/>
    <cellStyle name="Header2 3 2 10 3 3 4 3" xfId="25636"/>
    <cellStyle name="Header2 3 2 10 3 3 4 4" xfId="34726"/>
    <cellStyle name="Header2 3 2 10 3 3 5" xfId="20879"/>
    <cellStyle name="Header2 3 2 10 3 3 5 2" xfId="32696"/>
    <cellStyle name="Header2 3 2 10 3 3 5 2 2" xfId="42695"/>
    <cellStyle name="Header2 3 2 10 3 3 5 3" xfId="37544"/>
    <cellStyle name="Header2 3 2 10 3 3 6" xfId="28020"/>
    <cellStyle name="Header2 3 2 10 3 3 6 2" xfId="38019"/>
    <cellStyle name="Header2 3 2 10 3 3 7" xfId="21488"/>
    <cellStyle name="Header2 3 2 10 3 4" xfId="15919"/>
    <cellStyle name="Header2 3 2 10 3 4 2" xfId="27736"/>
    <cellStyle name="Header2 3 2 10 3 4 2 2" xfId="37735"/>
    <cellStyle name="Header2 3 2 10 3 4 3" xfId="23797"/>
    <cellStyle name="Header2 3 2 10 3 4 4" xfId="32887"/>
    <cellStyle name="Header2 3 2 10 3 5" xfId="16647"/>
    <cellStyle name="Header2 3 2 10 3 5 2" xfId="28464"/>
    <cellStyle name="Header2 3 2 10 3 5 2 2" xfId="38463"/>
    <cellStyle name="Header2 3 2 10 3 5 3" xfId="24222"/>
    <cellStyle name="Header2 3 2 10 3 5 4" xfId="33312"/>
    <cellStyle name="Header2 3 2 10 3 6" xfId="16940"/>
    <cellStyle name="Header2 3 2 10 3 6 2" xfId="28757"/>
    <cellStyle name="Header2 3 2 10 3 6 2 2" xfId="38756"/>
    <cellStyle name="Header2 3 2 10 3 6 3" xfId="24515"/>
    <cellStyle name="Header2 3 2 10 3 6 4" xfId="33605"/>
    <cellStyle name="Header2 3 2 10 3 7" xfId="17137"/>
    <cellStyle name="Header2 3 2 10 3 7 2" xfId="28954"/>
    <cellStyle name="Header2 3 2 10 3 7 2 2" xfId="38953"/>
    <cellStyle name="Header2 3 2 10 3 7 3" xfId="24712"/>
    <cellStyle name="Header2 3 2 10 3 7 4" xfId="33802"/>
    <cellStyle name="Header2 3 2 10 3 8" xfId="17440"/>
    <cellStyle name="Header2 3 2 10 3 8 2" xfId="29257"/>
    <cellStyle name="Header2 3 2 10 3 8 2 2" xfId="39256"/>
    <cellStyle name="Header2 3 2 10 3 8 3" xfId="25015"/>
    <cellStyle name="Header2 3 2 10 3 8 4" xfId="34105"/>
    <cellStyle name="Header2 3 2 10 3 9" xfId="18495"/>
    <cellStyle name="Header2 3 2 10 3 9 2" xfId="30312"/>
    <cellStyle name="Header2 3 2 10 3 9 2 2" xfId="40311"/>
    <cellStyle name="Header2 3 2 10 3 9 3" xfId="25970"/>
    <cellStyle name="Header2 3 2 10 3 9 4" xfId="35160"/>
    <cellStyle name="Header2 3 2 10 4" xfId="7816"/>
    <cellStyle name="Header2 3 2 10 4 10" xfId="18787"/>
    <cellStyle name="Header2 3 2 10 4 10 2" xfId="30604"/>
    <cellStyle name="Header2 3 2 10 4 10 2 2" xfId="40603"/>
    <cellStyle name="Header2 3 2 10 4 10 3" xfId="26262"/>
    <cellStyle name="Header2 3 2 10 4 10 4" xfId="35452"/>
    <cellStyle name="Header2 3 2 10 4 11" xfId="20323"/>
    <cellStyle name="Header2 3 2 10 4 11 2" xfId="32140"/>
    <cellStyle name="Header2 3 2 10 4 11 2 2" xfId="42139"/>
    <cellStyle name="Header2 3 2 10 4 11 3" xfId="36988"/>
    <cellStyle name="Header2 3 2 10 4 12" xfId="23286"/>
    <cellStyle name="Header2 3 2 10 4 12 2" xfId="21963"/>
    <cellStyle name="Header2 3 2 10 4 13" xfId="22680"/>
    <cellStyle name="Header2 3 2 10 4 2" xfId="15623"/>
    <cellStyle name="Header2 3 2 10 4 2 2" xfId="19170"/>
    <cellStyle name="Header2 3 2 10 4 2 2 2" xfId="30987"/>
    <cellStyle name="Header2 3 2 10 4 2 2 2 2" xfId="40986"/>
    <cellStyle name="Header2 3 2 10 4 2 2 3" xfId="26645"/>
    <cellStyle name="Header2 3 2 10 4 2 2 4" xfId="35835"/>
    <cellStyle name="Header2 3 2 10 4 2 3" xfId="19776"/>
    <cellStyle name="Header2 3 2 10 4 2 3 2" xfId="31593"/>
    <cellStyle name="Header2 3 2 10 4 2 3 2 2" xfId="41592"/>
    <cellStyle name="Header2 3 2 10 4 2 3 3" xfId="27251"/>
    <cellStyle name="Header2 3 2 10 4 2 3 4" xfId="36441"/>
    <cellStyle name="Header2 3 2 10 4 2 4" xfId="18889"/>
    <cellStyle name="Header2 3 2 10 4 2 4 2" xfId="30706"/>
    <cellStyle name="Header2 3 2 10 4 2 4 2 2" xfId="40705"/>
    <cellStyle name="Header2 3 2 10 4 2 4 3" xfId="26364"/>
    <cellStyle name="Header2 3 2 10 4 2 4 4" xfId="35554"/>
    <cellStyle name="Header2 3 2 10 4 2 5" xfId="20585"/>
    <cellStyle name="Header2 3 2 10 4 2 5 2" xfId="32402"/>
    <cellStyle name="Header2 3 2 10 4 2 5 2 2" xfId="42401"/>
    <cellStyle name="Header2 3 2 10 4 2 5 3" xfId="37250"/>
    <cellStyle name="Header2 3 2 10 4 2 6" xfId="23501"/>
    <cellStyle name="Header2 3 2 10 4 2 6 2" xfId="21876"/>
    <cellStyle name="Header2 3 2 10 4 2 7" xfId="23040"/>
    <cellStyle name="Header2 3 2 10 4 2 7 2" xfId="21300"/>
    <cellStyle name="Header2 3 2 10 4 2 8" xfId="22392"/>
    <cellStyle name="Header2 3 2 10 4 3" xfId="16204"/>
    <cellStyle name="Header2 3 2 10 4 3 2" xfId="19463"/>
    <cellStyle name="Header2 3 2 10 4 3 2 2" xfId="31280"/>
    <cellStyle name="Header2 3 2 10 4 3 2 2 2" xfId="41279"/>
    <cellStyle name="Header2 3 2 10 4 3 2 3" xfId="26938"/>
    <cellStyle name="Header2 3 2 10 4 3 2 4" xfId="36128"/>
    <cellStyle name="Header2 3 2 10 4 3 3" xfId="20069"/>
    <cellStyle name="Header2 3 2 10 4 3 3 2" xfId="31886"/>
    <cellStyle name="Header2 3 2 10 4 3 3 2 2" xfId="41885"/>
    <cellStyle name="Header2 3 2 10 4 3 3 3" xfId="27544"/>
    <cellStyle name="Header2 3 2 10 4 3 3 4" xfId="36734"/>
    <cellStyle name="Header2 3 2 10 4 3 4" xfId="17763"/>
    <cellStyle name="Header2 3 2 10 4 3 4 2" xfId="29580"/>
    <cellStyle name="Header2 3 2 10 4 3 4 2 2" xfId="39579"/>
    <cellStyle name="Header2 3 2 10 4 3 4 3" xfId="25338"/>
    <cellStyle name="Header2 3 2 10 4 3 4 4" xfId="34428"/>
    <cellStyle name="Header2 3 2 10 4 3 5" xfId="20878"/>
    <cellStyle name="Header2 3 2 10 4 3 5 2" xfId="32695"/>
    <cellStyle name="Header2 3 2 10 4 3 5 2 2" xfId="42694"/>
    <cellStyle name="Header2 3 2 10 4 3 5 3" xfId="37543"/>
    <cellStyle name="Header2 3 2 10 4 3 6" xfId="28021"/>
    <cellStyle name="Header2 3 2 10 4 3 6 2" xfId="38020"/>
    <cellStyle name="Header2 3 2 10 4 3 7" xfId="21489"/>
    <cellStyle name="Header2 3 2 10 4 4" xfId="15920"/>
    <cellStyle name="Header2 3 2 10 4 4 2" xfId="27737"/>
    <cellStyle name="Header2 3 2 10 4 4 2 2" xfId="37736"/>
    <cellStyle name="Header2 3 2 10 4 4 3" xfId="23798"/>
    <cellStyle name="Header2 3 2 10 4 4 4" xfId="32888"/>
    <cellStyle name="Header2 3 2 10 4 5" xfId="16646"/>
    <cellStyle name="Header2 3 2 10 4 5 2" xfId="28463"/>
    <cellStyle name="Header2 3 2 10 4 5 2 2" xfId="38462"/>
    <cellStyle name="Header2 3 2 10 4 5 3" xfId="24221"/>
    <cellStyle name="Header2 3 2 10 4 5 4" xfId="33311"/>
    <cellStyle name="Header2 3 2 10 4 6" xfId="16939"/>
    <cellStyle name="Header2 3 2 10 4 6 2" xfId="28756"/>
    <cellStyle name="Header2 3 2 10 4 6 2 2" xfId="38755"/>
    <cellStyle name="Header2 3 2 10 4 6 3" xfId="24514"/>
    <cellStyle name="Header2 3 2 10 4 6 4" xfId="33604"/>
    <cellStyle name="Header2 3 2 10 4 7" xfId="17138"/>
    <cellStyle name="Header2 3 2 10 4 7 2" xfId="28955"/>
    <cellStyle name="Header2 3 2 10 4 7 2 2" xfId="38954"/>
    <cellStyle name="Header2 3 2 10 4 7 3" xfId="24713"/>
    <cellStyle name="Header2 3 2 10 4 7 4" xfId="33803"/>
    <cellStyle name="Header2 3 2 10 4 8" xfId="17441"/>
    <cellStyle name="Header2 3 2 10 4 8 2" xfId="29258"/>
    <cellStyle name="Header2 3 2 10 4 8 2 2" xfId="39257"/>
    <cellStyle name="Header2 3 2 10 4 8 3" xfId="25016"/>
    <cellStyle name="Header2 3 2 10 4 8 4" xfId="34106"/>
    <cellStyle name="Header2 3 2 10 4 9" xfId="18494"/>
    <cellStyle name="Header2 3 2 10 4 9 2" xfId="30311"/>
    <cellStyle name="Header2 3 2 10 4 9 2 2" xfId="40310"/>
    <cellStyle name="Header2 3 2 10 4 9 3" xfId="25969"/>
    <cellStyle name="Header2 3 2 10 4 9 4" xfId="35159"/>
    <cellStyle name="Header2 3 2 10 5" xfId="15620"/>
    <cellStyle name="Header2 3 2 10 5 2" xfId="19173"/>
    <cellStyle name="Header2 3 2 10 5 2 2" xfId="30990"/>
    <cellStyle name="Header2 3 2 10 5 2 2 2" xfId="40989"/>
    <cellStyle name="Header2 3 2 10 5 2 3" xfId="26648"/>
    <cellStyle name="Header2 3 2 10 5 2 4" xfId="35838"/>
    <cellStyle name="Header2 3 2 10 5 3" xfId="19779"/>
    <cellStyle name="Header2 3 2 10 5 3 2" xfId="31596"/>
    <cellStyle name="Header2 3 2 10 5 3 2 2" xfId="41595"/>
    <cellStyle name="Header2 3 2 10 5 3 3" xfId="27254"/>
    <cellStyle name="Header2 3 2 10 5 3 4" xfId="36444"/>
    <cellStyle name="Header2 3 2 10 5 4" xfId="18887"/>
    <cellStyle name="Header2 3 2 10 5 4 2" xfId="30704"/>
    <cellStyle name="Header2 3 2 10 5 4 2 2" xfId="40703"/>
    <cellStyle name="Header2 3 2 10 5 4 3" xfId="26362"/>
    <cellStyle name="Header2 3 2 10 5 4 4" xfId="35552"/>
    <cellStyle name="Header2 3 2 10 5 5" xfId="20588"/>
    <cellStyle name="Header2 3 2 10 5 5 2" xfId="32405"/>
    <cellStyle name="Header2 3 2 10 5 5 2 2" xfId="42404"/>
    <cellStyle name="Header2 3 2 10 5 5 3" xfId="37253"/>
    <cellStyle name="Header2 3 2 10 5 6" xfId="23498"/>
    <cellStyle name="Header2 3 2 10 5 6 2" xfId="21879"/>
    <cellStyle name="Header2 3 2 10 5 7" xfId="23043"/>
    <cellStyle name="Header2 3 2 10 5 7 2" xfId="22078"/>
    <cellStyle name="Header2 3 2 10 5 8" xfId="22389"/>
    <cellStyle name="Header2 3 2 10 6" xfId="16201"/>
    <cellStyle name="Header2 3 2 10 6 2" xfId="19466"/>
    <cellStyle name="Header2 3 2 10 6 2 2" xfId="31283"/>
    <cellStyle name="Header2 3 2 10 6 2 2 2" xfId="41282"/>
    <cellStyle name="Header2 3 2 10 6 2 3" xfId="26941"/>
    <cellStyle name="Header2 3 2 10 6 2 4" xfId="36131"/>
    <cellStyle name="Header2 3 2 10 6 3" xfId="20072"/>
    <cellStyle name="Header2 3 2 10 6 3 2" xfId="31889"/>
    <cellStyle name="Header2 3 2 10 6 3 2 2" xfId="41888"/>
    <cellStyle name="Header2 3 2 10 6 3 3" xfId="27547"/>
    <cellStyle name="Header2 3 2 10 6 3 4" xfId="36737"/>
    <cellStyle name="Header2 3 2 10 6 4" xfId="17761"/>
    <cellStyle name="Header2 3 2 10 6 4 2" xfId="29578"/>
    <cellStyle name="Header2 3 2 10 6 4 2 2" xfId="39577"/>
    <cellStyle name="Header2 3 2 10 6 4 3" xfId="25336"/>
    <cellStyle name="Header2 3 2 10 6 4 4" xfId="34426"/>
    <cellStyle name="Header2 3 2 10 6 5" xfId="20881"/>
    <cellStyle name="Header2 3 2 10 6 5 2" xfId="32698"/>
    <cellStyle name="Header2 3 2 10 6 5 2 2" xfId="42697"/>
    <cellStyle name="Header2 3 2 10 6 5 3" xfId="37546"/>
    <cellStyle name="Header2 3 2 10 6 6" xfId="28018"/>
    <cellStyle name="Header2 3 2 10 6 6 2" xfId="38017"/>
    <cellStyle name="Header2 3 2 10 6 7" xfId="21487"/>
    <cellStyle name="Header2 3 2 10 7" xfId="15853"/>
    <cellStyle name="Header2 3 2 10 7 2" xfId="27670"/>
    <cellStyle name="Header2 3 2 10 7 2 2" xfId="37669"/>
    <cellStyle name="Header2 3 2 10 7 3" xfId="23731"/>
    <cellStyle name="Header2 3 2 10 7 4" xfId="32821"/>
    <cellStyle name="Header2 3 2 10 8" xfId="16649"/>
    <cellStyle name="Header2 3 2 10 8 2" xfId="28466"/>
    <cellStyle name="Header2 3 2 10 8 2 2" xfId="38465"/>
    <cellStyle name="Header2 3 2 10 8 3" xfId="24224"/>
    <cellStyle name="Header2 3 2 10 8 4" xfId="33314"/>
    <cellStyle name="Header2 3 2 10 9" xfId="16942"/>
    <cellStyle name="Header2 3 2 10 9 2" xfId="28759"/>
    <cellStyle name="Header2 3 2 10 9 2 2" xfId="38758"/>
    <cellStyle name="Header2 3 2 10 9 3" xfId="24517"/>
    <cellStyle name="Header2 3 2 10 9 4" xfId="33607"/>
    <cellStyle name="Header2 3 2 11" xfId="7817"/>
    <cellStyle name="Header2 3 2 11 10" xfId="17139"/>
    <cellStyle name="Header2 3 2 11 10 2" xfId="28956"/>
    <cellStyle name="Header2 3 2 11 10 2 2" xfId="38955"/>
    <cellStyle name="Header2 3 2 11 10 3" xfId="24714"/>
    <cellStyle name="Header2 3 2 11 10 4" xfId="33804"/>
    <cellStyle name="Header2 3 2 11 11" xfId="17442"/>
    <cellStyle name="Header2 3 2 11 11 2" xfId="29259"/>
    <cellStyle name="Header2 3 2 11 11 2 2" xfId="39258"/>
    <cellStyle name="Header2 3 2 11 11 3" xfId="25017"/>
    <cellStyle name="Header2 3 2 11 11 4" xfId="34107"/>
    <cellStyle name="Header2 3 2 11 12" xfId="18493"/>
    <cellStyle name="Header2 3 2 11 12 2" xfId="30310"/>
    <cellStyle name="Header2 3 2 11 12 2 2" xfId="40309"/>
    <cellStyle name="Header2 3 2 11 12 3" xfId="25968"/>
    <cellStyle name="Header2 3 2 11 12 4" xfId="35158"/>
    <cellStyle name="Header2 3 2 11 13" xfId="18786"/>
    <cellStyle name="Header2 3 2 11 13 2" xfId="30603"/>
    <cellStyle name="Header2 3 2 11 13 2 2" xfId="40602"/>
    <cellStyle name="Header2 3 2 11 13 3" xfId="26261"/>
    <cellStyle name="Header2 3 2 11 13 4" xfId="35451"/>
    <cellStyle name="Header2 3 2 11 14" xfId="18236"/>
    <cellStyle name="Header2 3 2 11 14 2" xfId="30053"/>
    <cellStyle name="Header2 3 2 11 14 2 2" xfId="40052"/>
    <cellStyle name="Header2 3 2 11 14 3" xfId="34901"/>
    <cellStyle name="Header2 3 2 11 15" xfId="23285"/>
    <cellStyle name="Header2 3 2 11 15 2" xfId="21173"/>
    <cellStyle name="Header2 3 2 11 16" xfId="22679"/>
    <cellStyle name="Header2 3 2 11 2" xfId="7818"/>
    <cellStyle name="Header2 3 2 11 2 10" xfId="18785"/>
    <cellStyle name="Header2 3 2 11 2 10 2" xfId="30602"/>
    <cellStyle name="Header2 3 2 11 2 10 2 2" xfId="40601"/>
    <cellStyle name="Header2 3 2 11 2 10 3" xfId="26260"/>
    <cellStyle name="Header2 3 2 11 2 10 4" xfId="35450"/>
    <cellStyle name="Header2 3 2 11 2 11" xfId="20223"/>
    <cellStyle name="Header2 3 2 11 2 11 2" xfId="32040"/>
    <cellStyle name="Header2 3 2 11 2 11 2 2" xfId="42039"/>
    <cellStyle name="Header2 3 2 11 2 11 3" xfId="36888"/>
    <cellStyle name="Header2 3 2 11 2 12" xfId="23284"/>
    <cellStyle name="Header2 3 2 11 2 12 2" xfId="21964"/>
    <cellStyle name="Header2 3 2 11 2 13" xfId="22678"/>
    <cellStyle name="Header2 3 2 11 2 2" xfId="15625"/>
    <cellStyle name="Header2 3 2 11 2 2 2" xfId="19168"/>
    <cellStyle name="Header2 3 2 11 2 2 2 2" xfId="30985"/>
    <cellStyle name="Header2 3 2 11 2 2 2 2 2" xfId="40984"/>
    <cellStyle name="Header2 3 2 11 2 2 2 3" xfId="26643"/>
    <cellStyle name="Header2 3 2 11 2 2 2 4" xfId="35833"/>
    <cellStyle name="Header2 3 2 11 2 2 3" xfId="19774"/>
    <cellStyle name="Header2 3 2 11 2 2 3 2" xfId="31591"/>
    <cellStyle name="Header2 3 2 11 2 2 3 2 2" xfId="41590"/>
    <cellStyle name="Header2 3 2 11 2 2 3 3" xfId="27249"/>
    <cellStyle name="Header2 3 2 11 2 2 3 4" xfId="36439"/>
    <cellStyle name="Header2 3 2 11 2 2 4" xfId="18145"/>
    <cellStyle name="Header2 3 2 11 2 2 4 2" xfId="29962"/>
    <cellStyle name="Header2 3 2 11 2 2 4 2 2" xfId="39961"/>
    <cellStyle name="Header2 3 2 11 2 2 4 3" xfId="25720"/>
    <cellStyle name="Header2 3 2 11 2 2 4 4" xfId="34810"/>
    <cellStyle name="Header2 3 2 11 2 2 5" xfId="20583"/>
    <cellStyle name="Header2 3 2 11 2 2 5 2" xfId="32400"/>
    <cellStyle name="Header2 3 2 11 2 2 5 2 2" xfId="42399"/>
    <cellStyle name="Header2 3 2 11 2 2 5 3" xfId="37248"/>
    <cellStyle name="Header2 3 2 11 2 2 6" xfId="23503"/>
    <cellStyle name="Header2 3 2 11 2 2 6 2" xfId="21044"/>
    <cellStyle name="Header2 3 2 11 2 2 7" xfId="22862"/>
    <cellStyle name="Header2 3 2 11 2 2 7 2" xfId="22183"/>
    <cellStyle name="Header2 3 2 11 2 2 8" xfId="21625"/>
    <cellStyle name="Header2 3 2 11 2 3" xfId="16206"/>
    <cellStyle name="Header2 3 2 11 2 3 2" xfId="19461"/>
    <cellStyle name="Header2 3 2 11 2 3 2 2" xfId="31278"/>
    <cellStyle name="Header2 3 2 11 2 3 2 2 2" xfId="41277"/>
    <cellStyle name="Header2 3 2 11 2 3 2 3" xfId="26936"/>
    <cellStyle name="Header2 3 2 11 2 3 2 4" xfId="36126"/>
    <cellStyle name="Header2 3 2 11 2 3 3" xfId="20067"/>
    <cellStyle name="Header2 3 2 11 2 3 3 2" xfId="31884"/>
    <cellStyle name="Header2 3 2 11 2 3 3 2 2" xfId="41883"/>
    <cellStyle name="Header2 3 2 11 2 3 3 3" xfId="27542"/>
    <cellStyle name="Header2 3 2 11 2 3 3 4" xfId="36732"/>
    <cellStyle name="Header2 3 2 11 2 3 4" xfId="17899"/>
    <cellStyle name="Header2 3 2 11 2 3 4 2" xfId="29716"/>
    <cellStyle name="Header2 3 2 11 2 3 4 2 2" xfId="39715"/>
    <cellStyle name="Header2 3 2 11 2 3 4 3" xfId="25474"/>
    <cellStyle name="Header2 3 2 11 2 3 4 4" xfId="34564"/>
    <cellStyle name="Header2 3 2 11 2 3 5" xfId="20876"/>
    <cellStyle name="Header2 3 2 11 2 3 5 2" xfId="32693"/>
    <cellStyle name="Header2 3 2 11 2 3 5 2 2" xfId="42692"/>
    <cellStyle name="Header2 3 2 11 2 3 5 3" xfId="37541"/>
    <cellStyle name="Header2 3 2 11 2 3 6" xfId="28023"/>
    <cellStyle name="Header2 3 2 11 2 3 6 2" xfId="38022"/>
    <cellStyle name="Header2 3 2 11 2 3 7" xfId="22236"/>
    <cellStyle name="Header2 3 2 11 2 4" xfId="15922"/>
    <cellStyle name="Header2 3 2 11 2 4 2" xfId="27739"/>
    <cellStyle name="Header2 3 2 11 2 4 2 2" xfId="37738"/>
    <cellStyle name="Header2 3 2 11 2 4 3" xfId="23800"/>
    <cellStyle name="Header2 3 2 11 2 4 4" xfId="32890"/>
    <cellStyle name="Header2 3 2 11 2 5" xfId="16644"/>
    <cellStyle name="Header2 3 2 11 2 5 2" xfId="28461"/>
    <cellStyle name="Header2 3 2 11 2 5 2 2" xfId="38460"/>
    <cellStyle name="Header2 3 2 11 2 5 3" xfId="24219"/>
    <cellStyle name="Header2 3 2 11 2 5 4" xfId="33309"/>
    <cellStyle name="Header2 3 2 11 2 6" xfId="16937"/>
    <cellStyle name="Header2 3 2 11 2 6 2" xfId="28754"/>
    <cellStyle name="Header2 3 2 11 2 6 2 2" xfId="38753"/>
    <cellStyle name="Header2 3 2 11 2 6 3" xfId="24512"/>
    <cellStyle name="Header2 3 2 11 2 6 4" xfId="33602"/>
    <cellStyle name="Header2 3 2 11 2 7" xfId="17140"/>
    <cellStyle name="Header2 3 2 11 2 7 2" xfId="28957"/>
    <cellStyle name="Header2 3 2 11 2 7 2 2" xfId="38956"/>
    <cellStyle name="Header2 3 2 11 2 7 3" xfId="24715"/>
    <cellStyle name="Header2 3 2 11 2 7 4" xfId="33805"/>
    <cellStyle name="Header2 3 2 11 2 8" xfId="17443"/>
    <cellStyle name="Header2 3 2 11 2 8 2" xfId="29260"/>
    <cellStyle name="Header2 3 2 11 2 8 2 2" xfId="39259"/>
    <cellStyle name="Header2 3 2 11 2 8 3" xfId="25018"/>
    <cellStyle name="Header2 3 2 11 2 8 4" xfId="34108"/>
    <cellStyle name="Header2 3 2 11 2 9" xfId="18492"/>
    <cellStyle name="Header2 3 2 11 2 9 2" xfId="30309"/>
    <cellStyle name="Header2 3 2 11 2 9 2 2" xfId="40308"/>
    <cellStyle name="Header2 3 2 11 2 9 3" xfId="25967"/>
    <cellStyle name="Header2 3 2 11 2 9 4" xfId="35157"/>
    <cellStyle name="Header2 3 2 11 3" xfId="7819"/>
    <cellStyle name="Header2 3 2 11 3 10" xfId="18784"/>
    <cellStyle name="Header2 3 2 11 3 10 2" xfId="30601"/>
    <cellStyle name="Header2 3 2 11 3 10 2 2" xfId="40600"/>
    <cellStyle name="Header2 3 2 11 3 10 3" xfId="26259"/>
    <cellStyle name="Header2 3 2 11 3 10 4" xfId="35449"/>
    <cellStyle name="Header2 3 2 11 3 11" xfId="20322"/>
    <cellStyle name="Header2 3 2 11 3 11 2" xfId="32139"/>
    <cellStyle name="Header2 3 2 11 3 11 2 2" xfId="42138"/>
    <cellStyle name="Header2 3 2 11 3 11 3" xfId="36987"/>
    <cellStyle name="Header2 3 2 11 3 12" xfId="23283"/>
    <cellStyle name="Header2 3 2 11 3 12 2" xfId="21965"/>
    <cellStyle name="Header2 3 2 11 3 13" xfId="22677"/>
    <cellStyle name="Header2 3 2 11 3 2" xfId="15626"/>
    <cellStyle name="Header2 3 2 11 3 2 2" xfId="19167"/>
    <cellStyle name="Header2 3 2 11 3 2 2 2" xfId="30984"/>
    <cellStyle name="Header2 3 2 11 3 2 2 2 2" xfId="40983"/>
    <cellStyle name="Header2 3 2 11 3 2 2 3" xfId="26642"/>
    <cellStyle name="Header2 3 2 11 3 2 2 4" xfId="35832"/>
    <cellStyle name="Header2 3 2 11 3 2 3" xfId="19773"/>
    <cellStyle name="Header2 3 2 11 3 2 3 2" xfId="31590"/>
    <cellStyle name="Header2 3 2 11 3 2 3 2 2" xfId="41589"/>
    <cellStyle name="Header2 3 2 11 3 2 3 3" xfId="27248"/>
    <cellStyle name="Header2 3 2 11 3 2 3 4" xfId="36438"/>
    <cellStyle name="Header2 3 2 11 3 2 4" xfId="17972"/>
    <cellStyle name="Header2 3 2 11 3 2 4 2" xfId="29789"/>
    <cellStyle name="Header2 3 2 11 3 2 4 2 2" xfId="39788"/>
    <cellStyle name="Header2 3 2 11 3 2 4 3" xfId="25547"/>
    <cellStyle name="Header2 3 2 11 3 2 4 4" xfId="34637"/>
    <cellStyle name="Header2 3 2 11 3 2 5" xfId="20582"/>
    <cellStyle name="Header2 3 2 11 3 2 5 2" xfId="32399"/>
    <cellStyle name="Header2 3 2 11 3 2 5 2 2" xfId="42398"/>
    <cellStyle name="Header2 3 2 11 3 2 5 3" xfId="37247"/>
    <cellStyle name="Header2 3 2 11 3 2 6" xfId="23504"/>
    <cellStyle name="Header2 3 2 11 3 2 6 2" xfId="21874"/>
    <cellStyle name="Header2 3 2 11 3 2 7" xfId="23038"/>
    <cellStyle name="Header2 3 2 11 3 2 7 2" xfId="22081"/>
    <cellStyle name="Header2 3 2 11 3 2 8" xfId="22394"/>
    <cellStyle name="Header2 3 2 11 3 3" xfId="16207"/>
    <cellStyle name="Header2 3 2 11 3 3 2" xfId="19460"/>
    <cellStyle name="Header2 3 2 11 3 3 2 2" xfId="31277"/>
    <cellStyle name="Header2 3 2 11 3 3 2 2 2" xfId="41276"/>
    <cellStyle name="Header2 3 2 11 3 3 2 3" xfId="26935"/>
    <cellStyle name="Header2 3 2 11 3 3 2 4" xfId="36125"/>
    <cellStyle name="Header2 3 2 11 3 3 3" xfId="20066"/>
    <cellStyle name="Header2 3 2 11 3 3 3 2" xfId="31883"/>
    <cellStyle name="Header2 3 2 11 3 3 3 2 2" xfId="41882"/>
    <cellStyle name="Header2 3 2 11 3 3 3 3" xfId="27541"/>
    <cellStyle name="Header2 3 2 11 3 3 3 4" xfId="36731"/>
    <cellStyle name="Header2 3 2 11 3 3 4" xfId="17764"/>
    <cellStyle name="Header2 3 2 11 3 3 4 2" xfId="29581"/>
    <cellStyle name="Header2 3 2 11 3 3 4 2 2" xfId="39580"/>
    <cellStyle name="Header2 3 2 11 3 3 4 3" xfId="25339"/>
    <cellStyle name="Header2 3 2 11 3 3 4 4" xfId="34429"/>
    <cellStyle name="Header2 3 2 11 3 3 5" xfId="20875"/>
    <cellStyle name="Header2 3 2 11 3 3 5 2" xfId="32692"/>
    <cellStyle name="Header2 3 2 11 3 3 5 2 2" xfId="42691"/>
    <cellStyle name="Header2 3 2 11 3 3 5 3" xfId="37540"/>
    <cellStyle name="Header2 3 2 11 3 3 6" xfId="28024"/>
    <cellStyle name="Header2 3 2 11 3 3 6 2" xfId="38023"/>
    <cellStyle name="Header2 3 2 11 3 3 7" xfId="21491"/>
    <cellStyle name="Header2 3 2 11 3 4" xfId="15923"/>
    <cellStyle name="Header2 3 2 11 3 4 2" xfId="27740"/>
    <cellStyle name="Header2 3 2 11 3 4 2 2" xfId="37739"/>
    <cellStyle name="Header2 3 2 11 3 4 3" xfId="23801"/>
    <cellStyle name="Header2 3 2 11 3 4 4" xfId="32891"/>
    <cellStyle name="Header2 3 2 11 3 5" xfId="16643"/>
    <cellStyle name="Header2 3 2 11 3 5 2" xfId="28460"/>
    <cellStyle name="Header2 3 2 11 3 5 2 2" xfId="38459"/>
    <cellStyle name="Header2 3 2 11 3 5 3" xfId="24218"/>
    <cellStyle name="Header2 3 2 11 3 5 4" xfId="33308"/>
    <cellStyle name="Header2 3 2 11 3 6" xfId="16936"/>
    <cellStyle name="Header2 3 2 11 3 6 2" xfId="28753"/>
    <cellStyle name="Header2 3 2 11 3 6 2 2" xfId="38752"/>
    <cellStyle name="Header2 3 2 11 3 6 3" xfId="24511"/>
    <cellStyle name="Header2 3 2 11 3 6 4" xfId="33601"/>
    <cellStyle name="Header2 3 2 11 3 7" xfId="17141"/>
    <cellStyle name="Header2 3 2 11 3 7 2" xfId="28958"/>
    <cellStyle name="Header2 3 2 11 3 7 2 2" xfId="38957"/>
    <cellStyle name="Header2 3 2 11 3 7 3" xfId="24716"/>
    <cellStyle name="Header2 3 2 11 3 7 4" xfId="33806"/>
    <cellStyle name="Header2 3 2 11 3 8" xfId="17444"/>
    <cellStyle name="Header2 3 2 11 3 8 2" xfId="29261"/>
    <cellStyle name="Header2 3 2 11 3 8 2 2" xfId="39260"/>
    <cellStyle name="Header2 3 2 11 3 8 3" xfId="25019"/>
    <cellStyle name="Header2 3 2 11 3 8 4" xfId="34109"/>
    <cellStyle name="Header2 3 2 11 3 9" xfId="18491"/>
    <cellStyle name="Header2 3 2 11 3 9 2" xfId="30308"/>
    <cellStyle name="Header2 3 2 11 3 9 2 2" xfId="40307"/>
    <cellStyle name="Header2 3 2 11 3 9 3" xfId="25966"/>
    <cellStyle name="Header2 3 2 11 3 9 4" xfId="35156"/>
    <cellStyle name="Header2 3 2 11 4" xfId="7820"/>
    <cellStyle name="Header2 3 2 11 4 10" xfId="18783"/>
    <cellStyle name="Header2 3 2 11 4 10 2" xfId="30600"/>
    <cellStyle name="Header2 3 2 11 4 10 2 2" xfId="40599"/>
    <cellStyle name="Header2 3 2 11 4 10 3" xfId="26258"/>
    <cellStyle name="Header2 3 2 11 4 10 4" xfId="35448"/>
    <cellStyle name="Header2 3 2 11 4 11" xfId="18237"/>
    <cellStyle name="Header2 3 2 11 4 11 2" xfId="30054"/>
    <cellStyle name="Header2 3 2 11 4 11 2 2" xfId="40053"/>
    <cellStyle name="Header2 3 2 11 4 11 3" xfId="34902"/>
    <cellStyle name="Header2 3 2 11 4 12" xfId="23282"/>
    <cellStyle name="Header2 3 2 11 4 12 2" xfId="21966"/>
    <cellStyle name="Header2 3 2 11 4 13" xfId="22676"/>
    <cellStyle name="Header2 3 2 11 4 2" xfId="15627"/>
    <cellStyle name="Header2 3 2 11 4 2 2" xfId="19166"/>
    <cellStyle name="Header2 3 2 11 4 2 2 2" xfId="30983"/>
    <cellStyle name="Header2 3 2 11 4 2 2 2 2" xfId="40982"/>
    <cellStyle name="Header2 3 2 11 4 2 2 3" xfId="26641"/>
    <cellStyle name="Header2 3 2 11 4 2 2 4" xfId="35831"/>
    <cellStyle name="Header2 3 2 11 4 2 3" xfId="19772"/>
    <cellStyle name="Header2 3 2 11 4 2 3 2" xfId="31589"/>
    <cellStyle name="Header2 3 2 11 4 2 3 2 2" xfId="41588"/>
    <cellStyle name="Header2 3 2 11 4 2 3 3" xfId="27247"/>
    <cellStyle name="Header2 3 2 11 4 2 3 4" xfId="36437"/>
    <cellStyle name="Header2 3 2 11 4 2 4" xfId="18890"/>
    <cellStyle name="Header2 3 2 11 4 2 4 2" xfId="30707"/>
    <cellStyle name="Header2 3 2 11 4 2 4 2 2" xfId="40706"/>
    <cellStyle name="Header2 3 2 11 4 2 4 3" xfId="26365"/>
    <cellStyle name="Header2 3 2 11 4 2 4 4" xfId="35555"/>
    <cellStyle name="Header2 3 2 11 4 2 5" xfId="20581"/>
    <cellStyle name="Header2 3 2 11 4 2 5 2" xfId="32398"/>
    <cellStyle name="Header2 3 2 11 4 2 5 2 2" xfId="42397"/>
    <cellStyle name="Header2 3 2 11 4 2 5 3" xfId="37246"/>
    <cellStyle name="Header2 3 2 11 4 2 6" xfId="23505"/>
    <cellStyle name="Header2 3 2 11 4 2 6 2" xfId="21043"/>
    <cellStyle name="Header2 3 2 11 4 2 7" xfId="22861"/>
    <cellStyle name="Header2 3 2 11 4 2 7 2" xfId="22184"/>
    <cellStyle name="Header2 3 2 11 4 2 8" xfId="22395"/>
    <cellStyle name="Header2 3 2 11 4 3" xfId="16208"/>
    <cellStyle name="Header2 3 2 11 4 3 2" xfId="19459"/>
    <cellStyle name="Header2 3 2 11 4 3 2 2" xfId="31276"/>
    <cellStyle name="Header2 3 2 11 4 3 2 2 2" xfId="41275"/>
    <cellStyle name="Header2 3 2 11 4 3 2 3" xfId="26934"/>
    <cellStyle name="Header2 3 2 11 4 3 2 4" xfId="36124"/>
    <cellStyle name="Header2 3 2 11 4 3 3" xfId="20065"/>
    <cellStyle name="Header2 3 2 11 4 3 3 2" xfId="31882"/>
    <cellStyle name="Header2 3 2 11 4 3 3 2 2" xfId="41881"/>
    <cellStyle name="Header2 3 2 11 4 3 3 3" xfId="27540"/>
    <cellStyle name="Header2 3 2 11 4 3 3 4" xfId="36730"/>
    <cellStyle name="Header2 3 2 11 4 3 4" xfId="17765"/>
    <cellStyle name="Header2 3 2 11 4 3 4 2" xfId="29582"/>
    <cellStyle name="Header2 3 2 11 4 3 4 2 2" xfId="39581"/>
    <cellStyle name="Header2 3 2 11 4 3 4 3" xfId="25340"/>
    <cellStyle name="Header2 3 2 11 4 3 4 4" xfId="34430"/>
    <cellStyle name="Header2 3 2 11 4 3 5" xfId="20874"/>
    <cellStyle name="Header2 3 2 11 4 3 5 2" xfId="32691"/>
    <cellStyle name="Header2 3 2 11 4 3 5 2 2" xfId="42690"/>
    <cellStyle name="Header2 3 2 11 4 3 5 3" xfId="37539"/>
    <cellStyle name="Header2 3 2 11 4 3 6" xfId="28025"/>
    <cellStyle name="Header2 3 2 11 4 3 6 2" xfId="38024"/>
    <cellStyle name="Header2 3 2 11 4 3 7" xfId="22237"/>
    <cellStyle name="Header2 3 2 11 4 4" xfId="15924"/>
    <cellStyle name="Header2 3 2 11 4 4 2" xfId="27741"/>
    <cellStyle name="Header2 3 2 11 4 4 2 2" xfId="37740"/>
    <cellStyle name="Header2 3 2 11 4 4 3" xfId="23802"/>
    <cellStyle name="Header2 3 2 11 4 4 4" xfId="32892"/>
    <cellStyle name="Header2 3 2 11 4 5" xfId="16642"/>
    <cellStyle name="Header2 3 2 11 4 5 2" xfId="28459"/>
    <cellStyle name="Header2 3 2 11 4 5 2 2" xfId="38458"/>
    <cellStyle name="Header2 3 2 11 4 5 3" xfId="24217"/>
    <cellStyle name="Header2 3 2 11 4 5 4" xfId="33307"/>
    <cellStyle name="Header2 3 2 11 4 6" xfId="16935"/>
    <cellStyle name="Header2 3 2 11 4 6 2" xfId="28752"/>
    <cellStyle name="Header2 3 2 11 4 6 2 2" xfId="38751"/>
    <cellStyle name="Header2 3 2 11 4 6 3" xfId="24510"/>
    <cellStyle name="Header2 3 2 11 4 6 4" xfId="33600"/>
    <cellStyle name="Header2 3 2 11 4 7" xfId="17142"/>
    <cellStyle name="Header2 3 2 11 4 7 2" xfId="28959"/>
    <cellStyle name="Header2 3 2 11 4 7 2 2" xfId="38958"/>
    <cellStyle name="Header2 3 2 11 4 7 3" xfId="24717"/>
    <cellStyle name="Header2 3 2 11 4 7 4" xfId="33807"/>
    <cellStyle name="Header2 3 2 11 4 8" xfId="17445"/>
    <cellStyle name="Header2 3 2 11 4 8 2" xfId="29262"/>
    <cellStyle name="Header2 3 2 11 4 8 2 2" xfId="39261"/>
    <cellStyle name="Header2 3 2 11 4 8 3" xfId="25020"/>
    <cellStyle name="Header2 3 2 11 4 8 4" xfId="34110"/>
    <cellStyle name="Header2 3 2 11 4 9" xfId="18490"/>
    <cellStyle name="Header2 3 2 11 4 9 2" xfId="30307"/>
    <cellStyle name="Header2 3 2 11 4 9 2 2" xfId="40306"/>
    <cellStyle name="Header2 3 2 11 4 9 3" xfId="25965"/>
    <cellStyle name="Header2 3 2 11 4 9 4" xfId="35155"/>
    <cellStyle name="Header2 3 2 11 5" xfId="15624"/>
    <cellStyle name="Header2 3 2 11 5 2" xfId="19169"/>
    <cellStyle name="Header2 3 2 11 5 2 2" xfId="30986"/>
    <cellStyle name="Header2 3 2 11 5 2 2 2" xfId="40985"/>
    <cellStyle name="Header2 3 2 11 5 2 3" xfId="26644"/>
    <cellStyle name="Header2 3 2 11 5 2 4" xfId="35834"/>
    <cellStyle name="Header2 3 2 11 5 3" xfId="19775"/>
    <cellStyle name="Header2 3 2 11 5 3 2" xfId="31592"/>
    <cellStyle name="Header2 3 2 11 5 3 2 2" xfId="41591"/>
    <cellStyle name="Header2 3 2 11 5 3 3" xfId="27250"/>
    <cellStyle name="Header2 3 2 11 5 3 4" xfId="36440"/>
    <cellStyle name="Header2 3 2 11 5 4" xfId="17971"/>
    <cellStyle name="Header2 3 2 11 5 4 2" xfId="29788"/>
    <cellStyle name="Header2 3 2 11 5 4 2 2" xfId="39787"/>
    <cellStyle name="Header2 3 2 11 5 4 3" xfId="25546"/>
    <cellStyle name="Header2 3 2 11 5 4 4" xfId="34636"/>
    <cellStyle name="Header2 3 2 11 5 5" xfId="20584"/>
    <cellStyle name="Header2 3 2 11 5 5 2" xfId="32401"/>
    <cellStyle name="Header2 3 2 11 5 5 2 2" xfId="42400"/>
    <cellStyle name="Header2 3 2 11 5 5 3" xfId="37249"/>
    <cellStyle name="Header2 3 2 11 5 6" xfId="23502"/>
    <cellStyle name="Header2 3 2 11 5 6 2" xfId="21875"/>
    <cellStyle name="Header2 3 2 11 5 7" xfId="23039"/>
    <cellStyle name="Header2 3 2 11 5 7 2" xfId="21301"/>
    <cellStyle name="Header2 3 2 11 5 8" xfId="22393"/>
    <cellStyle name="Header2 3 2 11 6" xfId="16205"/>
    <cellStyle name="Header2 3 2 11 6 2" xfId="19462"/>
    <cellStyle name="Header2 3 2 11 6 2 2" xfId="31279"/>
    <cellStyle name="Header2 3 2 11 6 2 2 2" xfId="41278"/>
    <cellStyle name="Header2 3 2 11 6 2 3" xfId="26937"/>
    <cellStyle name="Header2 3 2 11 6 2 4" xfId="36127"/>
    <cellStyle name="Header2 3 2 11 6 3" xfId="20068"/>
    <cellStyle name="Header2 3 2 11 6 3 2" xfId="31885"/>
    <cellStyle name="Header2 3 2 11 6 3 2 2" xfId="41884"/>
    <cellStyle name="Header2 3 2 11 6 3 3" xfId="27543"/>
    <cellStyle name="Header2 3 2 11 6 3 4" xfId="36733"/>
    <cellStyle name="Header2 3 2 11 6 4" xfId="18062"/>
    <cellStyle name="Header2 3 2 11 6 4 2" xfId="29879"/>
    <cellStyle name="Header2 3 2 11 6 4 2 2" xfId="39878"/>
    <cellStyle name="Header2 3 2 11 6 4 3" xfId="25637"/>
    <cellStyle name="Header2 3 2 11 6 4 4" xfId="34727"/>
    <cellStyle name="Header2 3 2 11 6 5" xfId="20877"/>
    <cellStyle name="Header2 3 2 11 6 5 2" xfId="32694"/>
    <cellStyle name="Header2 3 2 11 6 5 2 2" xfId="42693"/>
    <cellStyle name="Header2 3 2 11 6 5 3" xfId="37542"/>
    <cellStyle name="Header2 3 2 11 6 6" xfId="28022"/>
    <cellStyle name="Header2 3 2 11 6 6 2" xfId="38021"/>
    <cellStyle name="Header2 3 2 11 6 7" xfId="21490"/>
    <cellStyle name="Header2 3 2 11 7" xfId="15921"/>
    <cellStyle name="Header2 3 2 11 7 2" xfId="27738"/>
    <cellStyle name="Header2 3 2 11 7 2 2" xfId="37737"/>
    <cellStyle name="Header2 3 2 11 7 3" xfId="23799"/>
    <cellStyle name="Header2 3 2 11 7 4" xfId="32889"/>
    <cellStyle name="Header2 3 2 11 8" xfId="16645"/>
    <cellStyle name="Header2 3 2 11 8 2" xfId="28462"/>
    <cellStyle name="Header2 3 2 11 8 2 2" xfId="38461"/>
    <cellStyle name="Header2 3 2 11 8 3" xfId="24220"/>
    <cellStyle name="Header2 3 2 11 8 4" xfId="33310"/>
    <cellStyle name="Header2 3 2 11 9" xfId="16938"/>
    <cellStyle name="Header2 3 2 11 9 2" xfId="28755"/>
    <cellStyle name="Header2 3 2 11 9 2 2" xfId="38754"/>
    <cellStyle name="Header2 3 2 11 9 3" xfId="24513"/>
    <cellStyle name="Header2 3 2 11 9 4" xfId="33603"/>
    <cellStyle name="Header2 3 2 12" xfId="7821"/>
    <cellStyle name="Header2 3 2 12 10" xfId="18782"/>
    <cellStyle name="Header2 3 2 12 10 2" xfId="30599"/>
    <cellStyle name="Header2 3 2 12 10 2 2" xfId="40598"/>
    <cellStyle name="Header2 3 2 12 10 3" xfId="26257"/>
    <cellStyle name="Header2 3 2 12 10 4" xfId="35447"/>
    <cellStyle name="Header2 3 2 12 11" xfId="20222"/>
    <cellStyle name="Header2 3 2 12 11 2" xfId="32039"/>
    <cellStyle name="Header2 3 2 12 11 2 2" xfId="42038"/>
    <cellStyle name="Header2 3 2 12 11 3" xfId="36887"/>
    <cellStyle name="Header2 3 2 12 12" xfId="23281"/>
    <cellStyle name="Header2 3 2 12 12 2" xfId="21967"/>
    <cellStyle name="Header2 3 2 12 13" xfId="22675"/>
    <cellStyle name="Header2 3 2 12 2" xfId="15628"/>
    <cellStyle name="Header2 3 2 12 2 2" xfId="19165"/>
    <cellStyle name="Header2 3 2 12 2 2 2" xfId="30982"/>
    <cellStyle name="Header2 3 2 12 2 2 2 2" xfId="40981"/>
    <cellStyle name="Header2 3 2 12 2 2 3" xfId="26640"/>
    <cellStyle name="Header2 3 2 12 2 2 4" xfId="35830"/>
    <cellStyle name="Header2 3 2 12 2 3" xfId="19771"/>
    <cellStyle name="Header2 3 2 12 2 3 2" xfId="31588"/>
    <cellStyle name="Header2 3 2 12 2 3 2 2" xfId="41587"/>
    <cellStyle name="Header2 3 2 12 2 3 3" xfId="27246"/>
    <cellStyle name="Header2 3 2 12 2 3 4" xfId="36436"/>
    <cellStyle name="Header2 3 2 12 2 4" xfId="17696"/>
    <cellStyle name="Header2 3 2 12 2 4 2" xfId="29513"/>
    <cellStyle name="Header2 3 2 12 2 4 2 2" xfId="39512"/>
    <cellStyle name="Header2 3 2 12 2 4 3" xfId="25271"/>
    <cellStyle name="Header2 3 2 12 2 4 4" xfId="34361"/>
    <cellStyle name="Header2 3 2 12 2 5" xfId="20580"/>
    <cellStyle name="Header2 3 2 12 2 5 2" xfId="32397"/>
    <cellStyle name="Header2 3 2 12 2 5 2 2" xfId="42396"/>
    <cellStyle name="Header2 3 2 12 2 5 3" xfId="37245"/>
    <cellStyle name="Header2 3 2 12 2 6" xfId="23506"/>
    <cellStyle name="Header2 3 2 12 2 6 2" xfId="21873"/>
    <cellStyle name="Header2 3 2 12 2 7" xfId="23037"/>
    <cellStyle name="Header2 3 2 12 2 7 2" xfId="21302"/>
    <cellStyle name="Header2 3 2 12 2 8" xfId="22396"/>
    <cellStyle name="Header2 3 2 12 3" xfId="16209"/>
    <cellStyle name="Header2 3 2 12 3 2" xfId="19458"/>
    <cellStyle name="Header2 3 2 12 3 2 2" xfId="31275"/>
    <cellStyle name="Header2 3 2 12 3 2 2 2" xfId="41274"/>
    <cellStyle name="Header2 3 2 12 3 2 3" xfId="26933"/>
    <cellStyle name="Header2 3 2 12 3 2 4" xfId="36123"/>
    <cellStyle name="Header2 3 2 12 3 3" xfId="20064"/>
    <cellStyle name="Header2 3 2 12 3 3 2" xfId="31881"/>
    <cellStyle name="Header2 3 2 12 3 3 2 2" xfId="41880"/>
    <cellStyle name="Header2 3 2 12 3 3 3" xfId="27539"/>
    <cellStyle name="Header2 3 2 12 3 3 4" xfId="36729"/>
    <cellStyle name="Header2 3 2 12 3 4" xfId="17766"/>
    <cellStyle name="Header2 3 2 12 3 4 2" xfId="29583"/>
    <cellStyle name="Header2 3 2 12 3 4 2 2" xfId="39582"/>
    <cellStyle name="Header2 3 2 12 3 4 3" xfId="25341"/>
    <cellStyle name="Header2 3 2 12 3 4 4" xfId="34431"/>
    <cellStyle name="Header2 3 2 12 3 5" xfId="20873"/>
    <cellStyle name="Header2 3 2 12 3 5 2" xfId="32690"/>
    <cellStyle name="Header2 3 2 12 3 5 2 2" xfId="42689"/>
    <cellStyle name="Header2 3 2 12 3 5 3" xfId="37538"/>
    <cellStyle name="Header2 3 2 12 3 6" xfId="28026"/>
    <cellStyle name="Header2 3 2 12 3 6 2" xfId="38025"/>
    <cellStyle name="Header2 3 2 12 3 7" xfId="21492"/>
    <cellStyle name="Header2 3 2 12 4" xfId="15925"/>
    <cellStyle name="Header2 3 2 12 4 2" xfId="27742"/>
    <cellStyle name="Header2 3 2 12 4 2 2" xfId="37741"/>
    <cellStyle name="Header2 3 2 12 4 3" xfId="23803"/>
    <cellStyle name="Header2 3 2 12 4 4" xfId="32893"/>
    <cellStyle name="Header2 3 2 12 5" xfId="16641"/>
    <cellStyle name="Header2 3 2 12 5 2" xfId="28458"/>
    <cellStyle name="Header2 3 2 12 5 2 2" xfId="38457"/>
    <cellStyle name="Header2 3 2 12 5 3" xfId="24216"/>
    <cellStyle name="Header2 3 2 12 5 4" xfId="33306"/>
    <cellStyle name="Header2 3 2 12 6" xfId="16934"/>
    <cellStyle name="Header2 3 2 12 6 2" xfId="28751"/>
    <cellStyle name="Header2 3 2 12 6 2 2" xfId="38750"/>
    <cellStyle name="Header2 3 2 12 6 3" xfId="24509"/>
    <cellStyle name="Header2 3 2 12 6 4" xfId="33599"/>
    <cellStyle name="Header2 3 2 12 7" xfId="17143"/>
    <cellStyle name="Header2 3 2 12 7 2" xfId="28960"/>
    <cellStyle name="Header2 3 2 12 7 2 2" xfId="38959"/>
    <cellStyle name="Header2 3 2 12 7 3" xfId="24718"/>
    <cellStyle name="Header2 3 2 12 7 4" xfId="33808"/>
    <cellStyle name="Header2 3 2 12 8" xfId="17446"/>
    <cellStyle name="Header2 3 2 12 8 2" xfId="29263"/>
    <cellStyle name="Header2 3 2 12 8 2 2" xfId="39262"/>
    <cellStyle name="Header2 3 2 12 8 3" xfId="25021"/>
    <cellStyle name="Header2 3 2 12 8 4" xfId="34111"/>
    <cellStyle name="Header2 3 2 12 9" xfId="18489"/>
    <cellStyle name="Header2 3 2 12 9 2" xfId="30306"/>
    <cellStyle name="Header2 3 2 12 9 2 2" xfId="40305"/>
    <cellStyle name="Header2 3 2 12 9 3" xfId="25964"/>
    <cellStyle name="Header2 3 2 12 9 4" xfId="35154"/>
    <cellStyle name="Header2 3 2 13" xfId="15619"/>
    <cellStyle name="Header2 3 2 13 2" xfId="19174"/>
    <cellStyle name="Header2 3 2 13 2 2" xfId="30991"/>
    <cellStyle name="Header2 3 2 13 2 2 2" xfId="40990"/>
    <cellStyle name="Header2 3 2 13 2 3" xfId="26649"/>
    <cellStyle name="Header2 3 2 13 2 4" xfId="35839"/>
    <cellStyle name="Header2 3 2 13 3" xfId="19780"/>
    <cellStyle name="Header2 3 2 13 3 2" xfId="31597"/>
    <cellStyle name="Header2 3 2 13 3 2 2" xfId="41596"/>
    <cellStyle name="Header2 3 2 13 3 3" xfId="27255"/>
    <cellStyle name="Header2 3 2 13 3 4" xfId="36445"/>
    <cellStyle name="Header2 3 2 13 4" xfId="17817"/>
    <cellStyle name="Header2 3 2 13 4 2" xfId="29634"/>
    <cellStyle name="Header2 3 2 13 4 2 2" xfId="39633"/>
    <cellStyle name="Header2 3 2 13 4 3" xfId="25392"/>
    <cellStyle name="Header2 3 2 13 4 4" xfId="34482"/>
    <cellStyle name="Header2 3 2 13 5" xfId="20589"/>
    <cellStyle name="Header2 3 2 13 5 2" xfId="32406"/>
    <cellStyle name="Header2 3 2 13 5 2 2" xfId="42405"/>
    <cellStyle name="Header2 3 2 13 5 3" xfId="37254"/>
    <cellStyle name="Header2 3 2 13 6" xfId="23497"/>
    <cellStyle name="Header2 3 2 13 6 2" xfId="21880"/>
    <cellStyle name="Header2 3 2 13 7" xfId="23044"/>
    <cellStyle name="Header2 3 2 13 7 2" xfId="22077"/>
    <cellStyle name="Header2 3 2 13 8" xfId="22388"/>
    <cellStyle name="Header2 3 2 14" xfId="16200"/>
    <cellStyle name="Header2 3 2 14 2" xfId="19467"/>
    <cellStyle name="Header2 3 2 14 2 2" xfId="31284"/>
    <cellStyle name="Header2 3 2 14 2 2 2" xfId="41283"/>
    <cellStyle name="Header2 3 2 14 2 3" xfId="26942"/>
    <cellStyle name="Header2 3 2 14 2 4" xfId="36132"/>
    <cellStyle name="Header2 3 2 14 3" xfId="20073"/>
    <cellStyle name="Header2 3 2 14 3 2" xfId="31890"/>
    <cellStyle name="Header2 3 2 14 3 2 2" xfId="41889"/>
    <cellStyle name="Header2 3 2 14 3 3" xfId="27548"/>
    <cellStyle name="Header2 3 2 14 3 4" xfId="36738"/>
    <cellStyle name="Header2 3 2 14 4" xfId="17898"/>
    <cellStyle name="Header2 3 2 14 4 2" xfId="29715"/>
    <cellStyle name="Header2 3 2 14 4 2 2" xfId="39714"/>
    <cellStyle name="Header2 3 2 14 4 3" xfId="25473"/>
    <cellStyle name="Header2 3 2 14 4 4" xfId="34563"/>
    <cellStyle name="Header2 3 2 14 5" xfId="20882"/>
    <cellStyle name="Header2 3 2 14 5 2" xfId="32699"/>
    <cellStyle name="Header2 3 2 14 5 2 2" xfId="42698"/>
    <cellStyle name="Header2 3 2 14 5 3" xfId="37547"/>
    <cellStyle name="Header2 3 2 14 6" xfId="28017"/>
    <cellStyle name="Header2 3 2 14 6 2" xfId="38016"/>
    <cellStyle name="Header2 3 2 14 7" xfId="21486"/>
    <cellStyle name="Header2 3 2 15" xfId="15917"/>
    <cellStyle name="Header2 3 2 15 2" xfId="27734"/>
    <cellStyle name="Header2 3 2 15 2 2" xfId="37733"/>
    <cellStyle name="Header2 3 2 15 3" xfId="23795"/>
    <cellStyle name="Header2 3 2 15 4" xfId="32885"/>
    <cellStyle name="Header2 3 2 16" xfId="16650"/>
    <cellStyle name="Header2 3 2 16 2" xfId="28467"/>
    <cellStyle name="Header2 3 2 16 2 2" xfId="38466"/>
    <cellStyle name="Header2 3 2 16 3" xfId="24225"/>
    <cellStyle name="Header2 3 2 16 4" xfId="33315"/>
    <cellStyle name="Header2 3 2 17" xfId="16943"/>
    <cellStyle name="Header2 3 2 17 2" xfId="28760"/>
    <cellStyle name="Header2 3 2 17 2 2" xfId="38759"/>
    <cellStyle name="Header2 3 2 17 3" xfId="24518"/>
    <cellStyle name="Header2 3 2 17 4" xfId="33608"/>
    <cellStyle name="Header2 3 2 18" xfId="17134"/>
    <cellStyle name="Header2 3 2 18 2" xfId="28951"/>
    <cellStyle name="Header2 3 2 18 2 2" xfId="38950"/>
    <cellStyle name="Header2 3 2 18 3" xfId="24709"/>
    <cellStyle name="Header2 3 2 18 4" xfId="33799"/>
    <cellStyle name="Header2 3 2 19" xfId="17437"/>
    <cellStyle name="Header2 3 2 19 2" xfId="29254"/>
    <cellStyle name="Header2 3 2 19 2 2" xfId="39253"/>
    <cellStyle name="Header2 3 2 19 3" xfId="25012"/>
    <cellStyle name="Header2 3 2 19 4" xfId="34102"/>
    <cellStyle name="Header2 3 2 2" xfId="7822"/>
    <cellStyle name="Header2 3 2 2 10" xfId="16933"/>
    <cellStyle name="Header2 3 2 2 10 2" xfId="28750"/>
    <cellStyle name="Header2 3 2 2 10 2 2" xfId="38749"/>
    <cellStyle name="Header2 3 2 2 10 3" xfId="24508"/>
    <cellStyle name="Header2 3 2 2 10 4" xfId="33598"/>
    <cellStyle name="Header2 3 2 2 11" xfId="17144"/>
    <cellStyle name="Header2 3 2 2 11 2" xfId="28961"/>
    <cellStyle name="Header2 3 2 2 11 2 2" xfId="38960"/>
    <cellStyle name="Header2 3 2 2 11 3" xfId="24719"/>
    <cellStyle name="Header2 3 2 2 11 4" xfId="33809"/>
    <cellStyle name="Header2 3 2 2 12" xfId="17447"/>
    <cellStyle name="Header2 3 2 2 12 2" xfId="29264"/>
    <cellStyle name="Header2 3 2 2 12 2 2" xfId="39263"/>
    <cellStyle name="Header2 3 2 2 12 3" xfId="25022"/>
    <cellStyle name="Header2 3 2 2 12 4" xfId="34112"/>
    <cellStyle name="Header2 3 2 2 13" xfId="18488"/>
    <cellStyle name="Header2 3 2 2 13 2" xfId="30305"/>
    <cellStyle name="Header2 3 2 2 13 2 2" xfId="40304"/>
    <cellStyle name="Header2 3 2 2 13 3" xfId="25963"/>
    <cellStyle name="Header2 3 2 2 13 4" xfId="35153"/>
    <cellStyle name="Header2 3 2 2 14" xfId="18781"/>
    <cellStyle name="Header2 3 2 2 14 2" xfId="30598"/>
    <cellStyle name="Header2 3 2 2 14 2 2" xfId="40597"/>
    <cellStyle name="Header2 3 2 2 14 3" xfId="26256"/>
    <cellStyle name="Header2 3 2 2 14 4" xfId="35446"/>
    <cellStyle name="Header2 3 2 2 15" xfId="20321"/>
    <cellStyle name="Header2 3 2 2 15 2" xfId="32138"/>
    <cellStyle name="Header2 3 2 2 15 2 2" xfId="42137"/>
    <cellStyle name="Header2 3 2 2 15 3" xfId="36986"/>
    <cellStyle name="Header2 3 2 2 16" xfId="23280"/>
    <cellStyle name="Header2 3 2 2 16 2" xfId="21968"/>
    <cellStyle name="Header2 3 2 2 17" xfId="22674"/>
    <cellStyle name="Header2 3 2 2 2" xfId="7823"/>
    <cellStyle name="Header2 3 2 2 2 10" xfId="17145"/>
    <cellStyle name="Header2 3 2 2 2 10 2" xfId="28962"/>
    <cellStyle name="Header2 3 2 2 2 10 2 2" xfId="38961"/>
    <cellStyle name="Header2 3 2 2 2 10 3" xfId="24720"/>
    <cellStyle name="Header2 3 2 2 2 10 4" xfId="33810"/>
    <cellStyle name="Header2 3 2 2 2 11" xfId="17448"/>
    <cellStyle name="Header2 3 2 2 2 11 2" xfId="29265"/>
    <cellStyle name="Header2 3 2 2 2 11 2 2" xfId="39264"/>
    <cellStyle name="Header2 3 2 2 2 11 3" xfId="25023"/>
    <cellStyle name="Header2 3 2 2 2 11 4" xfId="34113"/>
    <cellStyle name="Header2 3 2 2 2 12" xfId="18487"/>
    <cellStyle name="Header2 3 2 2 2 12 2" xfId="30304"/>
    <cellStyle name="Header2 3 2 2 2 12 2 2" xfId="40303"/>
    <cellStyle name="Header2 3 2 2 2 12 3" xfId="25962"/>
    <cellStyle name="Header2 3 2 2 2 12 4" xfId="35152"/>
    <cellStyle name="Header2 3 2 2 2 13" xfId="18854"/>
    <cellStyle name="Header2 3 2 2 2 13 2" xfId="30671"/>
    <cellStyle name="Header2 3 2 2 2 13 2 2" xfId="40670"/>
    <cellStyle name="Header2 3 2 2 2 13 3" xfId="26329"/>
    <cellStyle name="Header2 3 2 2 2 13 4" xfId="35519"/>
    <cellStyle name="Header2 3 2 2 2 14" xfId="20225"/>
    <cellStyle name="Header2 3 2 2 2 14 2" xfId="32042"/>
    <cellStyle name="Header2 3 2 2 2 14 2 2" xfId="42041"/>
    <cellStyle name="Header2 3 2 2 2 14 3" xfId="36890"/>
    <cellStyle name="Header2 3 2 2 2 15" xfId="23279"/>
    <cellStyle name="Header2 3 2 2 2 15 2" xfId="21174"/>
    <cellStyle name="Header2 3 2 2 2 16" xfId="22673"/>
    <cellStyle name="Header2 3 2 2 2 2" xfId="7824"/>
    <cellStyle name="Header2 3 2 2 2 2 10" xfId="17146"/>
    <cellStyle name="Header2 3 2 2 2 2 10 2" xfId="28963"/>
    <cellStyle name="Header2 3 2 2 2 2 10 2 2" xfId="38962"/>
    <cellStyle name="Header2 3 2 2 2 2 10 3" xfId="24721"/>
    <cellStyle name="Header2 3 2 2 2 2 10 4" xfId="33811"/>
    <cellStyle name="Header2 3 2 2 2 2 11" xfId="17449"/>
    <cellStyle name="Header2 3 2 2 2 2 11 2" xfId="29266"/>
    <cellStyle name="Header2 3 2 2 2 2 11 2 2" xfId="39265"/>
    <cellStyle name="Header2 3 2 2 2 2 11 3" xfId="25024"/>
    <cellStyle name="Header2 3 2 2 2 2 11 4" xfId="34114"/>
    <cellStyle name="Header2 3 2 2 2 2 12" xfId="18486"/>
    <cellStyle name="Header2 3 2 2 2 2 12 2" xfId="30303"/>
    <cellStyle name="Header2 3 2 2 2 2 12 2 2" xfId="40302"/>
    <cellStyle name="Header2 3 2 2 2 2 12 3" xfId="25961"/>
    <cellStyle name="Header2 3 2 2 2 2 12 4" xfId="35151"/>
    <cellStyle name="Header2 3 2 2 2 2 13" xfId="18780"/>
    <cellStyle name="Header2 3 2 2 2 2 13 2" xfId="30597"/>
    <cellStyle name="Header2 3 2 2 2 2 13 2 2" xfId="40596"/>
    <cellStyle name="Header2 3 2 2 2 2 13 3" xfId="26255"/>
    <cellStyle name="Header2 3 2 2 2 2 13 4" xfId="35445"/>
    <cellStyle name="Header2 3 2 2 2 2 14" xfId="20324"/>
    <cellStyle name="Header2 3 2 2 2 2 14 2" xfId="32141"/>
    <cellStyle name="Header2 3 2 2 2 2 14 2 2" xfId="42140"/>
    <cellStyle name="Header2 3 2 2 2 2 14 3" xfId="36989"/>
    <cellStyle name="Header2 3 2 2 2 2 15" xfId="23278"/>
    <cellStyle name="Header2 3 2 2 2 2 15 2" xfId="21175"/>
    <cellStyle name="Header2 3 2 2 2 2 16" xfId="22672"/>
    <cellStyle name="Header2 3 2 2 2 2 2" xfId="7825"/>
    <cellStyle name="Header2 3 2 2 2 2 2 10" xfId="18779"/>
    <cellStyle name="Header2 3 2 2 2 2 2 10 2" xfId="30596"/>
    <cellStyle name="Header2 3 2 2 2 2 2 10 2 2" xfId="40595"/>
    <cellStyle name="Header2 3 2 2 2 2 2 10 3" xfId="26254"/>
    <cellStyle name="Header2 3 2 2 2 2 2 10 4" xfId="35444"/>
    <cellStyle name="Header2 3 2 2 2 2 2 11" xfId="18238"/>
    <cellStyle name="Header2 3 2 2 2 2 2 11 2" xfId="30055"/>
    <cellStyle name="Header2 3 2 2 2 2 2 11 2 2" xfId="40054"/>
    <cellStyle name="Header2 3 2 2 2 2 2 11 3" xfId="34903"/>
    <cellStyle name="Header2 3 2 2 2 2 2 12" xfId="23277"/>
    <cellStyle name="Header2 3 2 2 2 2 2 12 2" xfId="21176"/>
    <cellStyle name="Header2 3 2 2 2 2 2 13" xfId="22671"/>
    <cellStyle name="Header2 3 2 2 2 2 2 2" xfId="15632"/>
    <cellStyle name="Header2 3 2 2 2 2 2 2 2" xfId="19161"/>
    <cellStyle name="Header2 3 2 2 2 2 2 2 2 2" xfId="30978"/>
    <cellStyle name="Header2 3 2 2 2 2 2 2 2 2 2" xfId="40977"/>
    <cellStyle name="Header2 3 2 2 2 2 2 2 2 3" xfId="26636"/>
    <cellStyle name="Header2 3 2 2 2 2 2 2 2 4" xfId="35826"/>
    <cellStyle name="Header2 3 2 2 2 2 2 2 3" xfId="19767"/>
    <cellStyle name="Header2 3 2 2 2 2 2 2 3 2" xfId="31584"/>
    <cellStyle name="Header2 3 2 2 2 2 2 2 3 2 2" xfId="41583"/>
    <cellStyle name="Header2 3 2 2 2 2 2 2 3 3" xfId="27242"/>
    <cellStyle name="Header2 3 2 2 2 2 2 2 3 4" xfId="36432"/>
    <cellStyle name="Header2 3 2 2 2 2 2 2 4" xfId="18893"/>
    <cellStyle name="Header2 3 2 2 2 2 2 2 4 2" xfId="30710"/>
    <cellStyle name="Header2 3 2 2 2 2 2 2 4 2 2" xfId="40709"/>
    <cellStyle name="Header2 3 2 2 2 2 2 2 4 3" xfId="26368"/>
    <cellStyle name="Header2 3 2 2 2 2 2 2 4 4" xfId="35558"/>
    <cellStyle name="Header2 3 2 2 2 2 2 2 5" xfId="20576"/>
    <cellStyle name="Header2 3 2 2 2 2 2 2 5 2" xfId="32393"/>
    <cellStyle name="Header2 3 2 2 2 2 2 2 5 2 2" xfId="42392"/>
    <cellStyle name="Header2 3 2 2 2 2 2 2 5 3" xfId="37241"/>
    <cellStyle name="Header2 3 2 2 2 2 2 2 6" xfId="23510"/>
    <cellStyle name="Header2 3 2 2 2 2 2 2 6 2" xfId="21872"/>
    <cellStyle name="Header2 3 2 2 2 2 2 2 7" xfId="23036"/>
    <cellStyle name="Header2 3 2 2 2 2 2 2 7 2" xfId="22082"/>
    <cellStyle name="Header2 3 2 2 2 2 2 2 8" xfId="21627"/>
    <cellStyle name="Header2 3 2 2 2 2 2 3" xfId="16213"/>
    <cellStyle name="Header2 3 2 2 2 2 2 3 2" xfId="19455"/>
    <cellStyle name="Header2 3 2 2 2 2 2 3 2 2" xfId="31272"/>
    <cellStyle name="Header2 3 2 2 2 2 2 3 2 2 2" xfId="41271"/>
    <cellStyle name="Header2 3 2 2 2 2 2 3 2 3" xfId="26930"/>
    <cellStyle name="Header2 3 2 2 2 2 2 3 2 4" xfId="36120"/>
    <cellStyle name="Header2 3 2 2 2 2 2 3 3" xfId="20061"/>
    <cellStyle name="Header2 3 2 2 2 2 2 3 3 2" xfId="31878"/>
    <cellStyle name="Header2 3 2 2 2 2 2 3 3 2 2" xfId="41877"/>
    <cellStyle name="Header2 3 2 2 2 2 2 3 3 3" xfId="27536"/>
    <cellStyle name="Header2 3 2 2 2 2 2 3 3 4" xfId="36726"/>
    <cellStyle name="Header2 3 2 2 2 2 2 3 4" xfId="17900"/>
    <cellStyle name="Header2 3 2 2 2 2 2 3 4 2" xfId="29717"/>
    <cellStyle name="Header2 3 2 2 2 2 2 3 4 2 2" xfId="39716"/>
    <cellStyle name="Header2 3 2 2 2 2 2 3 4 3" xfId="25475"/>
    <cellStyle name="Header2 3 2 2 2 2 2 3 4 4" xfId="34565"/>
    <cellStyle name="Header2 3 2 2 2 2 2 3 5" xfId="20870"/>
    <cellStyle name="Header2 3 2 2 2 2 2 3 5 2" xfId="32687"/>
    <cellStyle name="Header2 3 2 2 2 2 2 3 5 2 2" xfId="42686"/>
    <cellStyle name="Header2 3 2 2 2 2 2 3 5 3" xfId="37535"/>
    <cellStyle name="Header2 3 2 2 2 2 2 3 6" xfId="28030"/>
    <cellStyle name="Header2 3 2 2 2 2 2 3 6 2" xfId="38029"/>
    <cellStyle name="Header2 3 2 2 2 2 2 3 7" xfId="22240"/>
    <cellStyle name="Header2 3 2 2 2 2 2 4" xfId="15928"/>
    <cellStyle name="Header2 3 2 2 2 2 2 4 2" xfId="27745"/>
    <cellStyle name="Header2 3 2 2 2 2 2 4 2 2" xfId="37744"/>
    <cellStyle name="Header2 3 2 2 2 2 2 4 3" xfId="23806"/>
    <cellStyle name="Header2 3 2 2 2 2 2 4 4" xfId="32896"/>
    <cellStyle name="Header2 3 2 2 2 2 2 5" xfId="16637"/>
    <cellStyle name="Header2 3 2 2 2 2 2 5 2" xfId="28454"/>
    <cellStyle name="Header2 3 2 2 2 2 2 5 2 2" xfId="38453"/>
    <cellStyle name="Header2 3 2 2 2 2 2 5 3" xfId="24212"/>
    <cellStyle name="Header2 3 2 2 2 2 2 5 4" xfId="33302"/>
    <cellStyle name="Header2 3 2 2 2 2 2 6" xfId="16931"/>
    <cellStyle name="Header2 3 2 2 2 2 2 6 2" xfId="28748"/>
    <cellStyle name="Header2 3 2 2 2 2 2 6 2 2" xfId="38747"/>
    <cellStyle name="Header2 3 2 2 2 2 2 6 3" xfId="24506"/>
    <cellStyle name="Header2 3 2 2 2 2 2 6 4" xfId="33596"/>
    <cellStyle name="Header2 3 2 2 2 2 2 7" xfId="17147"/>
    <cellStyle name="Header2 3 2 2 2 2 2 7 2" xfId="28964"/>
    <cellStyle name="Header2 3 2 2 2 2 2 7 2 2" xfId="38963"/>
    <cellStyle name="Header2 3 2 2 2 2 2 7 3" xfId="24722"/>
    <cellStyle name="Header2 3 2 2 2 2 2 7 4" xfId="33812"/>
    <cellStyle name="Header2 3 2 2 2 2 2 8" xfId="17450"/>
    <cellStyle name="Header2 3 2 2 2 2 2 8 2" xfId="29267"/>
    <cellStyle name="Header2 3 2 2 2 2 2 8 2 2" xfId="39266"/>
    <cellStyle name="Header2 3 2 2 2 2 2 8 3" xfId="25025"/>
    <cellStyle name="Header2 3 2 2 2 2 2 8 4" xfId="34115"/>
    <cellStyle name="Header2 3 2 2 2 2 2 9" xfId="18485"/>
    <cellStyle name="Header2 3 2 2 2 2 2 9 2" xfId="30302"/>
    <cellStyle name="Header2 3 2 2 2 2 2 9 2 2" xfId="40301"/>
    <cellStyle name="Header2 3 2 2 2 2 2 9 3" xfId="25960"/>
    <cellStyle name="Header2 3 2 2 2 2 2 9 4" xfId="35150"/>
    <cellStyle name="Header2 3 2 2 2 2 3" xfId="7826"/>
    <cellStyle name="Header2 3 2 2 2 2 3 10" xfId="18778"/>
    <cellStyle name="Header2 3 2 2 2 2 3 10 2" xfId="30595"/>
    <cellStyle name="Header2 3 2 2 2 2 3 10 2 2" xfId="40594"/>
    <cellStyle name="Header2 3 2 2 2 2 3 10 3" xfId="26253"/>
    <cellStyle name="Header2 3 2 2 2 2 3 10 4" xfId="35443"/>
    <cellStyle name="Header2 3 2 2 2 2 3 11" xfId="20221"/>
    <cellStyle name="Header2 3 2 2 2 2 3 11 2" xfId="32038"/>
    <cellStyle name="Header2 3 2 2 2 2 3 11 2 2" xfId="42037"/>
    <cellStyle name="Header2 3 2 2 2 2 3 11 3" xfId="36886"/>
    <cellStyle name="Header2 3 2 2 2 2 3 12" xfId="23276"/>
    <cellStyle name="Header2 3 2 2 2 2 3 12 2" xfId="21177"/>
    <cellStyle name="Header2 3 2 2 2 2 3 13" xfId="22670"/>
    <cellStyle name="Header2 3 2 2 2 2 3 2" xfId="15633"/>
    <cellStyle name="Header2 3 2 2 2 2 3 2 2" xfId="19160"/>
    <cellStyle name="Header2 3 2 2 2 2 3 2 2 2" xfId="30977"/>
    <cellStyle name="Header2 3 2 2 2 2 3 2 2 2 2" xfId="40976"/>
    <cellStyle name="Header2 3 2 2 2 2 3 2 2 3" xfId="26635"/>
    <cellStyle name="Header2 3 2 2 2 2 3 2 2 4" xfId="35825"/>
    <cellStyle name="Header2 3 2 2 2 2 3 2 3" xfId="19766"/>
    <cellStyle name="Header2 3 2 2 2 2 3 2 3 2" xfId="31583"/>
    <cellStyle name="Header2 3 2 2 2 2 3 2 3 2 2" xfId="41582"/>
    <cellStyle name="Header2 3 2 2 2 2 3 2 3 3" xfId="27241"/>
    <cellStyle name="Header2 3 2 2 2 2 3 2 3 4" xfId="36431"/>
    <cellStyle name="Header2 3 2 2 2 2 3 2 4" xfId="17698"/>
    <cellStyle name="Header2 3 2 2 2 2 3 2 4 2" xfId="29515"/>
    <cellStyle name="Header2 3 2 2 2 2 3 2 4 2 2" xfId="39514"/>
    <cellStyle name="Header2 3 2 2 2 2 3 2 4 3" xfId="25273"/>
    <cellStyle name="Header2 3 2 2 2 2 3 2 4 4" xfId="34363"/>
    <cellStyle name="Header2 3 2 2 2 2 3 2 5" xfId="20575"/>
    <cellStyle name="Header2 3 2 2 2 2 3 2 5 2" xfId="32392"/>
    <cellStyle name="Header2 3 2 2 2 2 3 2 5 2 2" xfId="42391"/>
    <cellStyle name="Header2 3 2 2 2 2 3 2 5 3" xfId="37240"/>
    <cellStyle name="Header2 3 2 2 2 2 3 2 6" xfId="23511"/>
    <cellStyle name="Header2 3 2 2 2 2 3 2 6 2" xfId="21871"/>
    <cellStyle name="Header2 3 2 2 2 2 3 2 7" xfId="23035"/>
    <cellStyle name="Header2 3 2 2 2 2 3 2 7 2" xfId="21303"/>
    <cellStyle name="Header2 3 2 2 2 2 3 2 8" xfId="21628"/>
    <cellStyle name="Header2 3 2 2 2 2 3 3" xfId="16214"/>
    <cellStyle name="Header2 3 2 2 2 2 3 3 2" xfId="19454"/>
    <cellStyle name="Header2 3 2 2 2 2 3 3 2 2" xfId="31271"/>
    <cellStyle name="Header2 3 2 2 2 2 3 3 2 2 2" xfId="41270"/>
    <cellStyle name="Header2 3 2 2 2 2 3 3 2 3" xfId="26929"/>
    <cellStyle name="Header2 3 2 2 2 2 3 3 2 4" xfId="36119"/>
    <cellStyle name="Header2 3 2 2 2 2 3 3 3" xfId="20060"/>
    <cellStyle name="Header2 3 2 2 2 2 3 3 3 2" xfId="31877"/>
    <cellStyle name="Header2 3 2 2 2 2 3 3 3 2 2" xfId="41876"/>
    <cellStyle name="Header2 3 2 2 2 2 3 3 3 3" xfId="27535"/>
    <cellStyle name="Header2 3 2 2 2 2 3 3 3 4" xfId="36725"/>
    <cellStyle name="Header2 3 2 2 2 2 3 3 4" xfId="17901"/>
    <cellStyle name="Header2 3 2 2 2 2 3 3 4 2" xfId="29718"/>
    <cellStyle name="Header2 3 2 2 2 2 3 3 4 2 2" xfId="39717"/>
    <cellStyle name="Header2 3 2 2 2 2 3 3 4 3" xfId="25476"/>
    <cellStyle name="Header2 3 2 2 2 2 3 3 4 4" xfId="34566"/>
    <cellStyle name="Header2 3 2 2 2 2 3 3 5" xfId="20869"/>
    <cellStyle name="Header2 3 2 2 2 2 3 3 5 2" xfId="32686"/>
    <cellStyle name="Header2 3 2 2 2 2 3 3 5 2 2" xfId="42685"/>
    <cellStyle name="Header2 3 2 2 2 2 3 3 5 3" xfId="37534"/>
    <cellStyle name="Header2 3 2 2 2 2 3 3 6" xfId="28031"/>
    <cellStyle name="Header2 3 2 2 2 2 3 3 6 2" xfId="38030"/>
    <cellStyle name="Header2 3 2 2 2 2 3 3 7" xfId="21493"/>
    <cellStyle name="Header2 3 2 2 2 2 3 4" xfId="15929"/>
    <cellStyle name="Header2 3 2 2 2 2 3 4 2" xfId="27746"/>
    <cellStyle name="Header2 3 2 2 2 2 3 4 2 2" xfId="37745"/>
    <cellStyle name="Header2 3 2 2 2 2 3 4 3" xfId="23807"/>
    <cellStyle name="Header2 3 2 2 2 2 3 4 4" xfId="32897"/>
    <cellStyle name="Header2 3 2 2 2 2 3 5" xfId="16636"/>
    <cellStyle name="Header2 3 2 2 2 2 3 5 2" xfId="28453"/>
    <cellStyle name="Header2 3 2 2 2 2 3 5 2 2" xfId="38452"/>
    <cellStyle name="Header2 3 2 2 2 2 3 5 3" xfId="24211"/>
    <cellStyle name="Header2 3 2 2 2 2 3 5 4" xfId="33301"/>
    <cellStyle name="Header2 3 2 2 2 2 3 6" xfId="16930"/>
    <cellStyle name="Header2 3 2 2 2 2 3 6 2" xfId="28747"/>
    <cellStyle name="Header2 3 2 2 2 2 3 6 2 2" xfId="38746"/>
    <cellStyle name="Header2 3 2 2 2 2 3 6 3" xfId="24505"/>
    <cellStyle name="Header2 3 2 2 2 2 3 6 4" xfId="33595"/>
    <cellStyle name="Header2 3 2 2 2 2 3 7" xfId="17148"/>
    <cellStyle name="Header2 3 2 2 2 2 3 7 2" xfId="28965"/>
    <cellStyle name="Header2 3 2 2 2 2 3 7 2 2" xfId="38964"/>
    <cellStyle name="Header2 3 2 2 2 2 3 7 3" xfId="24723"/>
    <cellStyle name="Header2 3 2 2 2 2 3 7 4" xfId="33813"/>
    <cellStyle name="Header2 3 2 2 2 2 3 8" xfId="17451"/>
    <cellStyle name="Header2 3 2 2 2 2 3 8 2" xfId="29268"/>
    <cellStyle name="Header2 3 2 2 2 2 3 8 2 2" xfId="39267"/>
    <cellStyle name="Header2 3 2 2 2 2 3 8 3" xfId="25026"/>
    <cellStyle name="Header2 3 2 2 2 2 3 8 4" xfId="34116"/>
    <cellStyle name="Header2 3 2 2 2 2 3 9" xfId="18484"/>
    <cellStyle name="Header2 3 2 2 2 2 3 9 2" xfId="30301"/>
    <cellStyle name="Header2 3 2 2 2 2 3 9 2 2" xfId="40300"/>
    <cellStyle name="Header2 3 2 2 2 2 3 9 3" xfId="25959"/>
    <cellStyle name="Header2 3 2 2 2 2 3 9 4" xfId="35149"/>
    <cellStyle name="Header2 3 2 2 2 2 4" xfId="7827"/>
    <cellStyle name="Header2 3 2 2 2 2 4 10" xfId="18777"/>
    <cellStyle name="Header2 3 2 2 2 2 4 10 2" xfId="30594"/>
    <cellStyle name="Header2 3 2 2 2 2 4 10 2 2" xfId="40593"/>
    <cellStyle name="Header2 3 2 2 2 2 4 10 3" xfId="26252"/>
    <cellStyle name="Header2 3 2 2 2 2 4 10 4" xfId="35442"/>
    <cellStyle name="Header2 3 2 2 2 2 4 11" xfId="20320"/>
    <cellStyle name="Header2 3 2 2 2 2 4 11 2" xfId="32137"/>
    <cellStyle name="Header2 3 2 2 2 2 4 11 2 2" xfId="42136"/>
    <cellStyle name="Header2 3 2 2 2 2 4 11 3" xfId="36985"/>
    <cellStyle name="Header2 3 2 2 2 2 4 12" xfId="23275"/>
    <cellStyle name="Header2 3 2 2 2 2 4 12 2" xfId="21969"/>
    <cellStyle name="Header2 3 2 2 2 2 4 13" xfId="22669"/>
    <cellStyle name="Header2 3 2 2 2 2 4 2" xfId="15634"/>
    <cellStyle name="Header2 3 2 2 2 2 4 2 2" xfId="19159"/>
    <cellStyle name="Header2 3 2 2 2 2 4 2 2 2" xfId="30976"/>
    <cellStyle name="Header2 3 2 2 2 2 4 2 2 2 2" xfId="40975"/>
    <cellStyle name="Header2 3 2 2 2 2 4 2 2 3" xfId="26634"/>
    <cellStyle name="Header2 3 2 2 2 2 4 2 2 4" xfId="35824"/>
    <cellStyle name="Header2 3 2 2 2 2 4 2 3" xfId="19765"/>
    <cellStyle name="Header2 3 2 2 2 2 4 2 3 2" xfId="31582"/>
    <cellStyle name="Header2 3 2 2 2 2 4 2 3 2 2" xfId="41581"/>
    <cellStyle name="Header2 3 2 2 2 2 4 2 3 3" xfId="27240"/>
    <cellStyle name="Header2 3 2 2 2 2 4 2 3 4" xfId="36430"/>
    <cellStyle name="Header2 3 2 2 2 2 4 2 4" xfId="18894"/>
    <cellStyle name="Header2 3 2 2 2 2 4 2 4 2" xfId="30711"/>
    <cellStyle name="Header2 3 2 2 2 2 4 2 4 2 2" xfId="40710"/>
    <cellStyle name="Header2 3 2 2 2 2 4 2 4 3" xfId="26369"/>
    <cellStyle name="Header2 3 2 2 2 2 4 2 4 4" xfId="35559"/>
    <cellStyle name="Header2 3 2 2 2 2 4 2 5" xfId="20574"/>
    <cellStyle name="Header2 3 2 2 2 2 4 2 5 2" xfId="32391"/>
    <cellStyle name="Header2 3 2 2 2 2 4 2 5 2 2" xfId="42390"/>
    <cellStyle name="Header2 3 2 2 2 2 4 2 5 3" xfId="37239"/>
    <cellStyle name="Header2 3 2 2 2 2 4 2 6" xfId="23512"/>
    <cellStyle name="Header2 3 2 2 2 2 4 2 6 2" xfId="21870"/>
    <cellStyle name="Header2 3 2 2 2 2 4 2 7" xfId="23034"/>
    <cellStyle name="Header2 3 2 2 2 2 4 2 7 2" xfId="21304"/>
    <cellStyle name="Header2 3 2 2 2 2 4 2 8" xfId="22399"/>
    <cellStyle name="Header2 3 2 2 2 2 4 3" xfId="16215"/>
    <cellStyle name="Header2 3 2 2 2 2 4 3 2" xfId="19453"/>
    <cellStyle name="Header2 3 2 2 2 2 4 3 2 2" xfId="31270"/>
    <cellStyle name="Header2 3 2 2 2 2 4 3 2 2 2" xfId="41269"/>
    <cellStyle name="Header2 3 2 2 2 2 4 3 2 3" xfId="26928"/>
    <cellStyle name="Header2 3 2 2 2 2 4 3 2 4" xfId="36118"/>
    <cellStyle name="Header2 3 2 2 2 2 4 3 3" xfId="20059"/>
    <cellStyle name="Header2 3 2 2 2 2 4 3 3 2" xfId="31876"/>
    <cellStyle name="Header2 3 2 2 2 2 4 3 3 2 2" xfId="41875"/>
    <cellStyle name="Header2 3 2 2 2 2 4 3 3 3" xfId="27534"/>
    <cellStyle name="Header2 3 2 2 2 2 4 3 3 4" xfId="36724"/>
    <cellStyle name="Header2 3 2 2 2 2 4 3 4" xfId="18064"/>
    <cellStyle name="Header2 3 2 2 2 2 4 3 4 2" xfId="29881"/>
    <cellStyle name="Header2 3 2 2 2 2 4 3 4 2 2" xfId="39880"/>
    <cellStyle name="Header2 3 2 2 2 2 4 3 4 3" xfId="25639"/>
    <cellStyle name="Header2 3 2 2 2 2 4 3 4 4" xfId="34729"/>
    <cellStyle name="Header2 3 2 2 2 2 4 3 5" xfId="20868"/>
    <cellStyle name="Header2 3 2 2 2 2 4 3 5 2" xfId="32685"/>
    <cellStyle name="Header2 3 2 2 2 2 4 3 5 2 2" xfId="42684"/>
    <cellStyle name="Header2 3 2 2 2 2 4 3 5 3" xfId="37533"/>
    <cellStyle name="Header2 3 2 2 2 2 4 3 6" xfId="28032"/>
    <cellStyle name="Header2 3 2 2 2 2 4 3 6 2" xfId="38031"/>
    <cellStyle name="Header2 3 2 2 2 2 4 3 7" xfId="22241"/>
    <cellStyle name="Header2 3 2 2 2 2 4 4" xfId="15930"/>
    <cellStyle name="Header2 3 2 2 2 2 4 4 2" xfId="27747"/>
    <cellStyle name="Header2 3 2 2 2 2 4 4 2 2" xfId="37746"/>
    <cellStyle name="Header2 3 2 2 2 2 4 4 3" xfId="23808"/>
    <cellStyle name="Header2 3 2 2 2 2 4 4 4" xfId="32898"/>
    <cellStyle name="Header2 3 2 2 2 2 4 5" xfId="16635"/>
    <cellStyle name="Header2 3 2 2 2 2 4 5 2" xfId="28452"/>
    <cellStyle name="Header2 3 2 2 2 2 4 5 2 2" xfId="38451"/>
    <cellStyle name="Header2 3 2 2 2 2 4 5 3" xfId="24210"/>
    <cellStyle name="Header2 3 2 2 2 2 4 5 4" xfId="33300"/>
    <cellStyle name="Header2 3 2 2 2 2 4 6" xfId="16929"/>
    <cellStyle name="Header2 3 2 2 2 2 4 6 2" xfId="28746"/>
    <cellStyle name="Header2 3 2 2 2 2 4 6 2 2" xfId="38745"/>
    <cellStyle name="Header2 3 2 2 2 2 4 6 3" xfId="24504"/>
    <cellStyle name="Header2 3 2 2 2 2 4 6 4" xfId="33594"/>
    <cellStyle name="Header2 3 2 2 2 2 4 7" xfId="17149"/>
    <cellStyle name="Header2 3 2 2 2 2 4 7 2" xfId="28966"/>
    <cellStyle name="Header2 3 2 2 2 2 4 7 2 2" xfId="38965"/>
    <cellStyle name="Header2 3 2 2 2 2 4 7 3" xfId="24724"/>
    <cellStyle name="Header2 3 2 2 2 2 4 7 4" xfId="33814"/>
    <cellStyle name="Header2 3 2 2 2 2 4 8" xfId="17452"/>
    <cellStyle name="Header2 3 2 2 2 2 4 8 2" xfId="29269"/>
    <cellStyle name="Header2 3 2 2 2 2 4 8 2 2" xfId="39268"/>
    <cellStyle name="Header2 3 2 2 2 2 4 8 3" xfId="25027"/>
    <cellStyle name="Header2 3 2 2 2 2 4 8 4" xfId="34117"/>
    <cellStyle name="Header2 3 2 2 2 2 4 9" xfId="18483"/>
    <cellStyle name="Header2 3 2 2 2 2 4 9 2" xfId="30300"/>
    <cellStyle name="Header2 3 2 2 2 2 4 9 2 2" xfId="40299"/>
    <cellStyle name="Header2 3 2 2 2 2 4 9 3" xfId="25958"/>
    <cellStyle name="Header2 3 2 2 2 2 4 9 4" xfId="35148"/>
    <cellStyle name="Header2 3 2 2 2 2 5" xfId="15631"/>
    <cellStyle name="Header2 3 2 2 2 2 5 2" xfId="19162"/>
    <cellStyle name="Header2 3 2 2 2 2 5 2 2" xfId="30979"/>
    <cellStyle name="Header2 3 2 2 2 2 5 2 2 2" xfId="40978"/>
    <cellStyle name="Header2 3 2 2 2 2 5 2 3" xfId="26637"/>
    <cellStyle name="Header2 3 2 2 2 2 5 2 4" xfId="35827"/>
    <cellStyle name="Header2 3 2 2 2 2 5 3" xfId="19768"/>
    <cellStyle name="Header2 3 2 2 2 2 5 3 2" xfId="31585"/>
    <cellStyle name="Header2 3 2 2 2 2 5 3 2 2" xfId="41584"/>
    <cellStyle name="Header2 3 2 2 2 2 5 3 3" xfId="27243"/>
    <cellStyle name="Header2 3 2 2 2 2 5 3 4" xfId="36433"/>
    <cellStyle name="Header2 3 2 2 2 2 5 4" xfId="17697"/>
    <cellStyle name="Header2 3 2 2 2 2 5 4 2" xfId="29514"/>
    <cellStyle name="Header2 3 2 2 2 2 5 4 2 2" xfId="39513"/>
    <cellStyle name="Header2 3 2 2 2 2 5 4 3" xfId="25272"/>
    <cellStyle name="Header2 3 2 2 2 2 5 4 4" xfId="34362"/>
    <cellStyle name="Header2 3 2 2 2 2 5 5" xfId="20577"/>
    <cellStyle name="Header2 3 2 2 2 2 5 5 2" xfId="32394"/>
    <cellStyle name="Header2 3 2 2 2 2 5 5 2 2" xfId="42393"/>
    <cellStyle name="Header2 3 2 2 2 2 5 5 3" xfId="37242"/>
    <cellStyle name="Header2 3 2 2 2 2 5 6" xfId="23509"/>
    <cellStyle name="Header2 3 2 2 2 2 5 6 2" xfId="21040"/>
    <cellStyle name="Header2 3 2 2 2 2 5 7" xfId="22858"/>
    <cellStyle name="Header2 3 2 2 2 2 5 7 2" xfId="21376"/>
    <cellStyle name="Header2 3 2 2 2 2 5 8" xfId="21626"/>
    <cellStyle name="Header2 3 2 2 2 2 6" xfId="16212"/>
    <cellStyle name="Header2 3 2 2 2 2 6 2" xfId="19456"/>
    <cellStyle name="Header2 3 2 2 2 2 6 2 2" xfId="31273"/>
    <cellStyle name="Header2 3 2 2 2 2 6 2 2 2" xfId="41272"/>
    <cellStyle name="Header2 3 2 2 2 2 6 2 3" xfId="26931"/>
    <cellStyle name="Header2 3 2 2 2 2 6 2 4" xfId="36121"/>
    <cellStyle name="Header2 3 2 2 2 2 6 3" xfId="20062"/>
    <cellStyle name="Header2 3 2 2 2 2 6 3 2" xfId="31879"/>
    <cellStyle name="Header2 3 2 2 2 2 6 3 2 2" xfId="41878"/>
    <cellStyle name="Header2 3 2 2 2 2 6 3 3" xfId="27537"/>
    <cellStyle name="Header2 3 2 2 2 2 6 3 4" xfId="36727"/>
    <cellStyle name="Header2 3 2 2 2 2 6 4" xfId="17767"/>
    <cellStyle name="Header2 3 2 2 2 2 6 4 2" xfId="29584"/>
    <cellStyle name="Header2 3 2 2 2 2 6 4 2 2" xfId="39583"/>
    <cellStyle name="Header2 3 2 2 2 2 6 4 3" xfId="25342"/>
    <cellStyle name="Header2 3 2 2 2 2 6 4 4" xfId="34432"/>
    <cellStyle name="Header2 3 2 2 2 2 6 5" xfId="20871"/>
    <cellStyle name="Header2 3 2 2 2 2 6 5 2" xfId="32688"/>
    <cellStyle name="Header2 3 2 2 2 2 6 5 2 2" xfId="42687"/>
    <cellStyle name="Header2 3 2 2 2 2 6 5 3" xfId="37536"/>
    <cellStyle name="Header2 3 2 2 2 2 6 6" xfId="28029"/>
    <cellStyle name="Header2 3 2 2 2 2 6 6 2" xfId="38028"/>
    <cellStyle name="Header2 3 2 2 2 2 6 7" xfId="22239"/>
    <cellStyle name="Header2 3 2 2 2 2 7" xfId="15927"/>
    <cellStyle name="Header2 3 2 2 2 2 7 2" xfId="27744"/>
    <cellStyle name="Header2 3 2 2 2 2 7 2 2" xfId="37743"/>
    <cellStyle name="Header2 3 2 2 2 2 7 3" xfId="23805"/>
    <cellStyle name="Header2 3 2 2 2 2 7 4" xfId="32895"/>
    <cellStyle name="Header2 3 2 2 2 2 8" xfId="16638"/>
    <cellStyle name="Header2 3 2 2 2 2 8 2" xfId="28455"/>
    <cellStyle name="Header2 3 2 2 2 2 8 2 2" xfId="38454"/>
    <cellStyle name="Header2 3 2 2 2 2 8 3" xfId="24213"/>
    <cellStyle name="Header2 3 2 2 2 2 8 4" xfId="33303"/>
    <cellStyle name="Header2 3 2 2 2 2 9" xfId="16932"/>
    <cellStyle name="Header2 3 2 2 2 2 9 2" xfId="28749"/>
    <cellStyle name="Header2 3 2 2 2 2 9 2 2" xfId="38748"/>
    <cellStyle name="Header2 3 2 2 2 2 9 3" xfId="24507"/>
    <cellStyle name="Header2 3 2 2 2 2 9 4" xfId="33597"/>
    <cellStyle name="Header2 3 2 2 2 3" xfId="7828"/>
    <cellStyle name="Header2 3 2 2 2 3 10" xfId="17150"/>
    <cellStyle name="Header2 3 2 2 2 3 10 2" xfId="28967"/>
    <cellStyle name="Header2 3 2 2 2 3 10 2 2" xfId="38966"/>
    <cellStyle name="Header2 3 2 2 2 3 10 3" xfId="24725"/>
    <cellStyle name="Header2 3 2 2 2 3 10 4" xfId="33815"/>
    <cellStyle name="Header2 3 2 2 2 3 11" xfId="17453"/>
    <cellStyle name="Header2 3 2 2 2 3 11 2" xfId="29270"/>
    <cellStyle name="Header2 3 2 2 2 3 11 2 2" xfId="39269"/>
    <cellStyle name="Header2 3 2 2 2 3 11 3" xfId="25028"/>
    <cellStyle name="Header2 3 2 2 2 3 11 4" xfId="34118"/>
    <cellStyle name="Header2 3 2 2 2 3 12" xfId="18482"/>
    <cellStyle name="Header2 3 2 2 2 3 12 2" xfId="30299"/>
    <cellStyle name="Header2 3 2 2 2 3 12 2 2" xfId="40298"/>
    <cellStyle name="Header2 3 2 2 2 3 12 3" xfId="25957"/>
    <cellStyle name="Header2 3 2 2 2 3 12 4" xfId="35147"/>
    <cellStyle name="Header2 3 2 2 2 3 13" xfId="18776"/>
    <cellStyle name="Header2 3 2 2 2 3 13 2" xfId="30593"/>
    <cellStyle name="Header2 3 2 2 2 3 13 2 2" xfId="40592"/>
    <cellStyle name="Header2 3 2 2 2 3 13 3" xfId="26251"/>
    <cellStyle name="Header2 3 2 2 2 3 13 4" xfId="35441"/>
    <cellStyle name="Header2 3 2 2 2 3 14" xfId="20230"/>
    <cellStyle name="Header2 3 2 2 2 3 14 2" xfId="32047"/>
    <cellStyle name="Header2 3 2 2 2 3 14 2 2" xfId="42046"/>
    <cellStyle name="Header2 3 2 2 2 3 14 3" xfId="36895"/>
    <cellStyle name="Header2 3 2 2 2 3 15" xfId="23274"/>
    <cellStyle name="Header2 3 2 2 2 3 15 2" xfId="21178"/>
    <cellStyle name="Header2 3 2 2 2 3 16" xfId="22668"/>
    <cellStyle name="Header2 3 2 2 2 3 2" xfId="7829"/>
    <cellStyle name="Header2 3 2 2 2 3 2 10" xfId="18775"/>
    <cellStyle name="Header2 3 2 2 2 3 2 10 2" xfId="30592"/>
    <cellStyle name="Header2 3 2 2 2 3 2 10 2 2" xfId="40591"/>
    <cellStyle name="Header2 3 2 2 2 3 2 10 3" xfId="26250"/>
    <cellStyle name="Header2 3 2 2 2 3 2 10 4" xfId="35440"/>
    <cellStyle name="Header2 3 2 2 2 3 2 11" xfId="20328"/>
    <cellStyle name="Header2 3 2 2 2 3 2 11 2" xfId="32145"/>
    <cellStyle name="Header2 3 2 2 2 3 2 11 2 2" xfId="42144"/>
    <cellStyle name="Header2 3 2 2 2 3 2 11 3" xfId="36993"/>
    <cellStyle name="Header2 3 2 2 2 3 2 12" xfId="23273"/>
    <cellStyle name="Header2 3 2 2 2 3 2 12 2" xfId="21179"/>
    <cellStyle name="Header2 3 2 2 2 3 2 13" xfId="22667"/>
    <cellStyle name="Header2 3 2 2 2 3 2 2" xfId="15636"/>
    <cellStyle name="Header2 3 2 2 2 3 2 2 2" xfId="19157"/>
    <cellStyle name="Header2 3 2 2 2 3 2 2 2 2" xfId="30974"/>
    <cellStyle name="Header2 3 2 2 2 3 2 2 2 2 2" xfId="40973"/>
    <cellStyle name="Header2 3 2 2 2 3 2 2 2 3" xfId="26632"/>
    <cellStyle name="Header2 3 2 2 2 3 2 2 2 4" xfId="35822"/>
    <cellStyle name="Header2 3 2 2 2 3 2 2 3" xfId="19763"/>
    <cellStyle name="Header2 3 2 2 2 3 2 2 3 2" xfId="31580"/>
    <cellStyle name="Header2 3 2 2 2 3 2 2 3 2 2" xfId="41579"/>
    <cellStyle name="Header2 3 2 2 2 3 2 2 3 3" xfId="27238"/>
    <cellStyle name="Header2 3 2 2 2 3 2 2 3 4" xfId="36428"/>
    <cellStyle name="Header2 3 2 2 2 3 2 2 4" xfId="17973"/>
    <cellStyle name="Header2 3 2 2 2 3 2 2 4 2" xfId="29790"/>
    <cellStyle name="Header2 3 2 2 2 3 2 2 4 2 2" xfId="39789"/>
    <cellStyle name="Header2 3 2 2 2 3 2 2 4 3" xfId="25548"/>
    <cellStyle name="Header2 3 2 2 2 3 2 2 4 4" xfId="34638"/>
    <cellStyle name="Header2 3 2 2 2 3 2 2 5" xfId="20572"/>
    <cellStyle name="Header2 3 2 2 2 3 2 2 5 2" xfId="32389"/>
    <cellStyle name="Header2 3 2 2 2 3 2 2 5 2 2" xfId="42388"/>
    <cellStyle name="Header2 3 2 2 2 3 2 2 5 3" xfId="37237"/>
    <cellStyle name="Header2 3 2 2 2 3 2 2 6" xfId="23514"/>
    <cellStyle name="Header2 3 2 2 2 3 2 2 6 2" xfId="21868"/>
    <cellStyle name="Header2 3 2 2 2 3 2 2 7" xfId="23032"/>
    <cellStyle name="Header2 3 2 2 2 3 2 2 7 2" xfId="22083"/>
    <cellStyle name="Header2 3 2 2 2 3 2 2 8" xfId="22400"/>
    <cellStyle name="Header2 3 2 2 2 3 2 3" xfId="16217"/>
    <cellStyle name="Header2 3 2 2 2 3 2 3 2" xfId="19451"/>
    <cellStyle name="Header2 3 2 2 2 3 2 3 2 2" xfId="31268"/>
    <cellStyle name="Header2 3 2 2 2 3 2 3 2 2 2" xfId="41267"/>
    <cellStyle name="Header2 3 2 2 2 3 2 3 2 3" xfId="26926"/>
    <cellStyle name="Header2 3 2 2 2 3 2 3 2 4" xfId="36116"/>
    <cellStyle name="Header2 3 2 2 2 3 2 3 3" xfId="20057"/>
    <cellStyle name="Header2 3 2 2 2 3 2 3 3 2" xfId="31874"/>
    <cellStyle name="Header2 3 2 2 2 3 2 3 3 2 2" xfId="41873"/>
    <cellStyle name="Header2 3 2 2 2 3 2 3 3 3" xfId="27532"/>
    <cellStyle name="Header2 3 2 2 2 3 2 3 3 4" xfId="36722"/>
    <cellStyle name="Header2 3 2 2 2 3 2 3 4" xfId="17768"/>
    <cellStyle name="Header2 3 2 2 2 3 2 3 4 2" xfId="29585"/>
    <cellStyle name="Header2 3 2 2 2 3 2 3 4 2 2" xfId="39584"/>
    <cellStyle name="Header2 3 2 2 2 3 2 3 4 3" xfId="25343"/>
    <cellStyle name="Header2 3 2 2 2 3 2 3 4 4" xfId="34433"/>
    <cellStyle name="Header2 3 2 2 2 3 2 3 5" xfId="20866"/>
    <cellStyle name="Header2 3 2 2 2 3 2 3 5 2" xfId="32683"/>
    <cellStyle name="Header2 3 2 2 2 3 2 3 5 2 2" xfId="42682"/>
    <cellStyle name="Header2 3 2 2 2 3 2 3 5 3" xfId="37531"/>
    <cellStyle name="Header2 3 2 2 2 3 2 3 6" xfId="28034"/>
    <cellStyle name="Header2 3 2 2 2 3 2 3 6 2" xfId="38033"/>
    <cellStyle name="Header2 3 2 2 2 3 2 3 7" xfId="22243"/>
    <cellStyle name="Header2 3 2 2 2 3 2 4" xfId="15846"/>
    <cellStyle name="Header2 3 2 2 2 3 2 4 2" xfId="27663"/>
    <cellStyle name="Header2 3 2 2 2 3 2 4 2 2" xfId="37662"/>
    <cellStyle name="Header2 3 2 2 2 3 2 4 3" xfId="23724"/>
    <cellStyle name="Header2 3 2 2 2 3 2 4 4" xfId="32814"/>
    <cellStyle name="Header2 3 2 2 2 3 2 5" xfId="16633"/>
    <cellStyle name="Header2 3 2 2 2 3 2 5 2" xfId="28450"/>
    <cellStyle name="Header2 3 2 2 2 3 2 5 2 2" xfId="38449"/>
    <cellStyle name="Header2 3 2 2 2 3 2 5 3" xfId="24208"/>
    <cellStyle name="Header2 3 2 2 2 3 2 5 4" xfId="33298"/>
    <cellStyle name="Header2 3 2 2 2 3 2 6" xfId="16927"/>
    <cellStyle name="Header2 3 2 2 2 3 2 6 2" xfId="28744"/>
    <cellStyle name="Header2 3 2 2 2 3 2 6 2 2" xfId="38743"/>
    <cellStyle name="Header2 3 2 2 2 3 2 6 3" xfId="24502"/>
    <cellStyle name="Header2 3 2 2 2 3 2 6 4" xfId="33592"/>
    <cellStyle name="Header2 3 2 2 2 3 2 7" xfId="17151"/>
    <cellStyle name="Header2 3 2 2 2 3 2 7 2" xfId="28968"/>
    <cellStyle name="Header2 3 2 2 2 3 2 7 2 2" xfId="38967"/>
    <cellStyle name="Header2 3 2 2 2 3 2 7 3" xfId="24726"/>
    <cellStyle name="Header2 3 2 2 2 3 2 7 4" xfId="33816"/>
    <cellStyle name="Header2 3 2 2 2 3 2 8" xfId="17454"/>
    <cellStyle name="Header2 3 2 2 2 3 2 8 2" xfId="29271"/>
    <cellStyle name="Header2 3 2 2 2 3 2 8 2 2" xfId="39270"/>
    <cellStyle name="Header2 3 2 2 2 3 2 8 3" xfId="25029"/>
    <cellStyle name="Header2 3 2 2 2 3 2 8 4" xfId="34119"/>
    <cellStyle name="Header2 3 2 2 2 3 2 9" xfId="18481"/>
    <cellStyle name="Header2 3 2 2 2 3 2 9 2" xfId="30298"/>
    <cellStyle name="Header2 3 2 2 2 3 2 9 2 2" xfId="40297"/>
    <cellStyle name="Header2 3 2 2 2 3 2 9 3" xfId="25956"/>
    <cellStyle name="Header2 3 2 2 2 3 2 9 4" xfId="35146"/>
    <cellStyle name="Header2 3 2 2 2 3 3" xfId="7830"/>
    <cellStyle name="Header2 3 2 2 2 3 3 10" xfId="18774"/>
    <cellStyle name="Header2 3 2 2 2 3 3 10 2" xfId="30591"/>
    <cellStyle name="Header2 3 2 2 2 3 3 10 2 2" xfId="40590"/>
    <cellStyle name="Header2 3 2 2 2 3 3 10 3" xfId="26249"/>
    <cellStyle name="Header2 3 2 2 2 3 3 10 4" xfId="35439"/>
    <cellStyle name="Header2 3 2 2 2 3 3 11" xfId="18239"/>
    <cellStyle name="Header2 3 2 2 2 3 3 11 2" xfId="30056"/>
    <cellStyle name="Header2 3 2 2 2 3 3 11 2 2" xfId="40055"/>
    <cellStyle name="Header2 3 2 2 2 3 3 11 3" xfId="34904"/>
    <cellStyle name="Header2 3 2 2 2 3 3 12" xfId="23272"/>
    <cellStyle name="Header2 3 2 2 2 3 3 12 2" xfId="21180"/>
    <cellStyle name="Header2 3 2 2 2 3 3 13" xfId="22666"/>
    <cellStyle name="Header2 3 2 2 2 3 3 2" xfId="15637"/>
    <cellStyle name="Header2 3 2 2 2 3 3 2 2" xfId="19156"/>
    <cellStyle name="Header2 3 2 2 2 3 3 2 2 2" xfId="30973"/>
    <cellStyle name="Header2 3 2 2 2 3 3 2 2 2 2" xfId="40972"/>
    <cellStyle name="Header2 3 2 2 2 3 3 2 2 3" xfId="26631"/>
    <cellStyle name="Header2 3 2 2 2 3 3 2 2 4" xfId="35821"/>
    <cellStyle name="Header2 3 2 2 2 3 3 2 3" xfId="19762"/>
    <cellStyle name="Header2 3 2 2 2 3 3 2 3 2" xfId="31579"/>
    <cellStyle name="Header2 3 2 2 2 3 3 2 3 2 2" xfId="41578"/>
    <cellStyle name="Header2 3 2 2 2 3 3 2 3 3" xfId="27237"/>
    <cellStyle name="Header2 3 2 2 2 3 3 2 3 4" xfId="36427"/>
    <cellStyle name="Header2 3 2 2 2 3 3 2 4" xfId="18895"/>
    <cellStyle name="Header2 3 2 2 2 3 3 2 4 2" xfId="30712"/>
    <cellStyle name="Header2 3 2 2 2 3 3 2 4 2 2" xfId="40711"/>
    <cellStyle name="Header2 3 2 2 2 3 3 2 4 3" xfId="26370"/>
    <cellStyle name="Header2 3 2 2 2 3 3 2 4 4" xfId="35560"/>
    <cellStyle name="Header2 3 2 2 2 3 3 2 5" xfId="20571"/>
    <cellStyle name="Header2 3 2 2 2 3 3 2 5 2" xfId="32388"/>
    <cellStyle name="Header2 3 2 2 2 3 3 2 5 2 2" xfId="42387"/>
    <cellStyle name="Header2 3 2 2 2 3 3 2 5 3" xfId="37236"/>
    <cellStyle name="Header2 3 2 2 2 3 3 2 6" xfId="23515"/>
    <cellStyle name="Header2 3 2 2 2 3 3 2 6 2" xfId="21039"/>
    <cellStyle name="Header2 3 2 2 2 3 3 2 7" xfId="22857"/>
    <cellStyle name="Header2 3 2 2 2 3 3 2 7 2" xfId="21377"/>
    <cellStyle name="Header2 3 2 2 2 3 3 2 8" xfId="21630"/>
    <cellStyle name="Header2 3 2 2 2 3 3 3" xfId="16218"/>
    <cellStyle name="Header2 3 2 2 2 3 3 3 2" xfId="19450"/>
    <cellStyle name="Header2 3 2 2 2 3 3 3 2 2" xfId="31267"/>
    <cellStyle name="Header2 3 2 2 2 3 3 3 2 2 2" xfId="41266"/>
    <cellStyle name="Header2 3 2 2 2 3 3 3 2 3" xfId="26925"/>
    <cellStyle name="Header2 3 2 2 2 3 3 3 2 4" xfId="36115"/>
    <cellStyle name="Header2 3 2 2 2 3 3 3 3" xfId="20056"/>
    <cellStyle name="Header2 3 2 2 2 3 3 3 3 2" xfId="31873"/>
    <cellStyle name="Header2 3 2 2 2 3 3 3 3 2 2" xfId="41872"/>
    <cellStyle name="Header2 3 2 2 2 3 3 3 3 3" xfId="27531"/>
    <cellStyle name="Header2 3 2 2 2 3 3 3 3 4" xfId="36721"/>
    <cellStyle name="Header2 3 2 2 2 3 3 3 4" xfId="17651"/>
    <cellStyle name="Header2 3 2 2 2 3 3 3 4 2" xfId="29468"/>
    <cellStyle name="Header2 3 2 2 2 3 3 3 4 2 2" xfId="39467"/>
    <cellStyle name="Header2 3 2 2 2 3 3 3 4 3" xfId="25226"/>
    <cellStyle name="Header2 3 2 2 2 3 3 3 4 4" xfId="34316"/>
    <cellStyle name="Header2 3 2 2 2 3 3 3 5" xfId="20865"/>
    <cellStyle name="Header2 3 2 2 2 3 3 3 5 2" xfId="32682"/>
    <cellStyle name="Header2 3 2 2 2 3 3 3 5 2 2" xfId="42681"/>
    <cellStyle name="Header2 3 2 2 2 3 3 3 5 3" xfId="37530"/>
    <cellStyle name="Header2 3 2 2 2 3 3 3 6" xfId="28035"/>
    <cellStyle name="Header2 3 2 2 2 3 3 3 6 2" xfId="38034"/>
    <cellStyle name="Header2 3 2 2 2 3 3 3 7" xfId="22244"/>
    <cellStyle name="Header2 3 2 2 2 3 3 4" xfId="15932"/>
    <cellStyle name="Header2 3 2 2 2 3 3 4 2" xfId="27749"/>
    <cellStyle name="Header2 3 2 2 2 3 3 4 2 2" xfId="37748"/>
    <cellStyle name="Header2 3 2 2 2 3 3 4 3" xfId="23810"/>
    <cellStyle name="Header2 3 2 2 2 3 3 4 4" xfId="32900"/>
    <cellStyle name="Header2 3 2 2 2 3 3 5" xfId="16632"/>
    <cellStyle name="Header2 3 2 2 2 3 3 5 2" xfId="28449"/>
    <cellStyle name="Header2 3 2 2 2 3 3 5 2 2" xfId="38448"/>
    <cellStyle name="Header2 3 2 2 2 3 3 5 3" xfId="24207"/>
    <cellStyle name="Header2 3 2 2 2 3 3 5 4" xfId="33297"/>
    <cellStyle name="Header2 3 2 2 2 3 3 6" xfId="16926"/>
    <cellStyle name="Header2 3 2 2 2 3 3 6 2" xfId="28743"/>
    <cellStyle name="Header2 3 2 2 2 3 3 6 2 2" xfId="38742"/>
    <cellStyle name="Header2 3 2 2 2 3 3 6 3" xfId="24501"/>
    <cellStyle name="Header2 3 2 2 2 3 3 6 4" xfId="33591"/>
    <cellStyle name="Header2 3 2 2 2 3 3 7" xfId="17152"/>
    <cellStyle name="Header2 3 2 2 2 3 3 7 2" xfId="28969"/>
    <cellStyle name="Header2 3 2 2 2 3 3 7 2 2" xfId="38968"/>
    <cellStyle name="Header2 3 2 2 2 3 3 7 3" xfId="24727"/>
    <cellStyle name="Header2 3 2 2 2 3 3 7 4" xfId="33817"/>
    <cellStyle name="Header2 3 2 2 2 3 3 8" xfId="17455"/>
    <cellStyle name="Header2 3 2 2 2 3 3 8 2" xfId="29272"/>
    <cellStyle name="Header2 3 2 2 2 3 3 8 2 2" xfId="39271"/>
    <cellStyle name="Header2 3 2 2 2 3 3 8 3" xfId="25030"/>
    <cellStyle name="Header2 3 2 2 2 3 3 8 4" xfId="34120"/>
    <cellStyle name="Header2 3 2 2 2 3 3 9" xfId="18480"/>
    <cellStyle name="Header2 3 2 2 2 3 3 9 2" xfId="30297"/>
    <cellStyle name="Header2 3 2 2 2 3 3 9 2 2" xfId="40296"/>
    <cellStyle name="Header2 3 2 2 2 3 3 9 3" xfId="25955"/>
    <cellStyle name="Header2 3 2 2 2 3 3 9 4" xfId="35145"/>
    <cellStyle name="Header2 3 2 2 2 3 4" xfId="7831"/>
    <cellStyle name="Header2 3 2 2 2 3 4 10" xfId="18773"/>
    <cellStyle name="Header2 3 2 2 2 3 4 10 2" xfId="30590"/>
    <cellStyle name="Header2 3 2 2 2 3 4 10 2 2" xfId="40589"/>
    <cellStyle name="Header2 3 2 2 2 3 4 10 3" xfId="26248"/>
    <cellStyle name="Header2 3 2 2 2 3 4 10 4" xfId="35438"/>
    <cellStyle name="Header2 3 2 2 2 3 4 11" xfId="18240"/>
    <cellStyle name="Header2 3 2 2 2 3 4 11 2" xfId="30057"/>
    <cellStyle name="Header2 3 2 2 2 3 4 11 2 2" xfId="40056"/>
    <cellStyle name="Header2 3 2 2 2 3 4 11 3" xfId="34905"/>
    <cellStyle name="Header2 3 2 2 2 3 4 12" xfId="23271"/>
    <cellStyle name="Header2 3 2 2 2 3 4 12 2" xfId="21181"/>
    <cellStyle name="Header2 3 2 2 2 3 4 13" xfId="22665"/>
    <cellStyle name="Header2 3 2 2 2 3 4 2" xfId="15638"/>
    <cellStyle name="Header2 3 2 2 2 3 4 2 2" xfId="19155"/>
    <cellStyle name="Header2 3 2 2 2 3 4 2 2 2" xfId="30972"/>
    <cellStyle name="Header2 3 2 2 2 3 4 2 2 2 2" xfId="40971"/>
    <cellStyle name="Header2 3 2 2 2 3 4 2 2 3" xfId="26630"/>
    <cellStyle name="Header2 3 2 2 2 3 4 2 2 4" xfId="35820"/>
    <cellStyle name="Header2 3 2 2 2 3 4 2 3" xfId="19761"/>
    <cellStyle name="Header2 3 2 2 2 3 4 2 3 2" xfId="31578"/>
    <cellStyle name="Header2 3 2 2 2 3 4 2 3 2 2" xfId="41577"/>
    <cellStyle name="Header2 3 2 2 2 3 4 2 3 3" xfId="27236"/>
    <cellStyle name="Header2 3 2 2 2 3 4 2 3 4" xfId="36426"/>
    <cellStyle name="Header2 3 2 2 2 3 4 2 4" xfId="18896"/>
    <cellStyle name="Header2 3 2 2 2 3 4 2 4 2" xfId="30713"/>
    <cellStyle name="Header2 3 2 2 2 3 4 2 4 2 2" xfId="40712"/>
    <cellStyle name="Header2 3 2 2 2 3 4 2 4 3" xfId="26371"/>
    <cellStyle name="Header2 3 2 2 2 3 4 2 4 4" xfId="35561"/>
    <cellStyle name="Header2 3 2 2 2 3 4 2 5" xfId="20570"/>
    <cellStyle name="Header2 3 2 2 2 3 4 2 5 2" xfId="32387"/>
    <cellStyle name="Header2 3 2 2 2 3 4 2 5 2 2" xfId="42386"/>
    <cellStyle name="Header2 3 2 2 2 3 4 2 5 3" xfId="37235"/>
    <cellStyle name="Header2 3 2 2 2 3 4 2 6" xfId="23516"/>
    <cellStyle name="Header2 3 2 2 2 3 4 2 6 2" xfId="21867"/>
    <cellStyle name="Header2 3 2 2 2 3 4 2 7" xfId="23031"/>
    <cellStyle name="Header2 3 2 2 2 3 4 2 7 2" xfId="21306"/>
    <cellStyle name="Header2 3 2 2 2 3 4 2 8" xfId="22401"/>
    <cellStyle name="Header2 3 2 2 2 3 4 3" xfId="16219"/>
    <cellStyle name="Header2 3 2 2 2 3 4 3 2" xfId="19449"/>
    <cellStyle name="Header2 3 2 2 2 3 4 3 2 2" xfId="31266"/>
    <cellStyle name="Header2 3 2 2 2 3 4 3 2 2 2" xfId="41265"/>
    <cellStyle name="Header2 3 2 2 2 3 4 3 2 3" xfId="26924"/>
    <cellStyle name="Header2 3 2 2 2 3 4 3 2 4" xfId="36114"/>
    <cellStyle name="Header2 3 2 2 2 3 4 3 3" xfId="20055"/>
    <cellStyle name="Header2 3 2 2 2 3 4 3 3 2" xfId="31872"/>
    <cellStyle name="Header2 3 2 2 2 3 4 3 3 2 2" xfId="41871"/>
    <cellStyle name="Header2 3 2 2 2 3 4 3 3 3" xfId="27530"/>
    <cellStyle name="Header2 3 2 2 2 3 4 3 3 4" xfId="36720"/>
    <cellStyle name="Header2 3 2 2 2 3 4 3 4" xfId="17652"/>
    <cellStyle name="Header2 3 2 2 2 3 4 3 4 2" xfId="29469"/>
    <cellStyle name="Header2 3 2 2 2 3 4 3 4 2 2" xfId="39468"/>
    <cellStyle name="Header2 3 2 2 2 3 4 3 4 3" xfId="25227"/>
    <cellStyle name="Header2 3 2 2 2 3 4 3 4 4" xfId="34317"/>
    <cellStyle name="Header2 3 2 2 2 3 4 3 5" xfId="20864"/>
    <cellStyle name="Header2 3 2 2 2 3 4 3 5 2" xfId="32681"/>
    <cellStyle name="Header2 3 2 2 2 3 4 3 5 2 2" xfId="42680"/>
    <cellStyle name="Header2 3 2 2 2 3 4 3 5 3" xfId="37529"/>
    <cellStyle name="Header2 3 2 2 2 3 4 3 6" xfId="28036"/>
    <cellStyle name="Header2 3 2 2 2 3 4 3 6 2" xfId="38035"/>
    <cellStyle name="Header2 3 2 2 2 3 4 3 7" xfId="22245"/>
    <cellStyle name="Header2 3 2 2 2 3 4 4" xfId="15933"/>
    <cellStyle name="Header2 3 2 2 2 3 4 4 2" xfId="27750"/>
    <cellStyle name="Header2 3 2 2 2 3 4 4 2 2" xfId="37749"/>
    <cellStyle name="Header2 3 2 2 2 3 4 4 3" xfId="23811"/>
    <cellStyle name="Header2 3 2 2 2 3 4 4 4" xfId="32901"/>
    <cellStyle name="Header2 3 2 2 2 3 4 5" xfId="16631"/>
    <cellStyle name="Header2 3 2 2 2 3 4 5 2" xfId="28448"/>
    <cellStyle name="Header2 3 2 2 2 3 4 5 2 2" xfId="38447"/>
    <cellStyle name="Header2 3 2 2 2 3 4 5 3" xfId="24206"/>
    <cellStyle name="Header2 3 2 2 2 3 4 5 4" xfId="33296"/>
    <cellStyle name="Header2 3 2 2 2 3 4 6" xfId="16925"/>
    <cellStyle name="Header2 3 2 2 2 3 4 6 2" xfId="28742"/>
    <cellStyle name="Header2 3 2 2 2 3 4 6 2 2" xfId="38741"/>
    <cellStyle name="Header2 3 2 2 2 3 4 6 3" xfId="24500"/>
    <cellStyle name="Header2 3 2 2 2 3 4 6 4" xfId="33590"/>
    <cellStyle name="Header2 3 2 2 2 3 4 7" xfId="17153"/>
    <cellStyle name="Header2 3 2 2 2 3 4 7 2" xfId="28970"/>
    <cellStyle name="Header2 3 2 2 2 3 4 7 2 2" xfId="38969"/>
    <cellStyle name="Header2 3 2 2 2 3 4 7 3" xfId="24728"/>
    <cellStyle name="Header2 3 2 2 2 3 4 7 4" xfId="33818"/>
    <cellStyle name="Header2 3 2 2 2 3 4 8" xfId="17456"/>
    <cellStyle name="Header2 3 2 2 2 3 4 8 2" xfId="29273"/>
    <cellStyle name="Header2 3 2 2 2 3 4 8 2 2" xfId="39272"/>
    <cellStyle name="Header2 3 2 2 2 3 4 8 3" xfId="25031"/>
    <cellStyle name="Header2 3 2 2 2 3 4 8 4" xfId="34121"/>
    <cellStyle name="Header2 3 2 2 2 3 4 9" xfId="18479"/>
    <cellStyle name="Header2 3 2 2 2 3 4 9 2" xfId="30296"/>
    <cellStyle name="Header2 3 2 2 2 3 4 9 2 2" xfId="40295"/>
    <cellStyle name="Header2 3 2 2 2 3 4 9 3" xfId="25954"/>
    <cellStyle name="Header2 3 2 2 2 3 4 9 4" xfId="35144"/>
    <cellStyle name="Header2 3 2 2 2 3 5" xfId="15635"/>
    <cellStyle name="Header2 3 2 2 2 3 5 2" xfId="19158"/>
    <cellStyle name="Header2 3 2 2 2 3 5 2 2" xfId="30975"/>
    <cellStyle name="Header2 3 2 2 2 3 5 2 2 2" xfId="40974"/>
    <cellStyle name="Header2 3 2 2 2 3 5 2 3" xfId="26633"/>
    <cellStyle name="Header2 3 2 2 2 3 5 2 4" xfId="35823"/>
    <cellStyle name="Header2 3 2 2 2 3 5 3" xfId="19764"/>
    <cellStyle name="Header2 3 2 2 2 3 5 3 2" xfId="31581"/>
    <cellStyle name="Header2 3 2 2 2 3 5 3 2 2" xfId="41580"/>
    <cellStyle name="Header2 3 2 2 2 3 5 3 3" xfId="27239"/>
    <cellStyle name="Header2 3 2 2 2 3 5 3 4" xfId="36429"/>
    <cellStyle name="Header2 3 2 2 2 3 5 4" xfId="17818"/>
    <cellStyle name="Header2 3 2 2 2 3 5 4 2" xfId="29635"/>
    <cellStyle name="Header2 3 2 2 2 3 5 4 2 2" xfId="39634"/>
    <cellStyle name="Header2 3 2 2 2 3 5 4 3" xfId="25393"/>
    <cellStyle name="Header2 3 2 2 2 3 5 4 4" xfId="34483"/>
    <cellStyle name="Header2 3 2 2 2 3 5 5" xfId="20573"/>
    <cellStyle name="Header2 3 2 2 2 3 5 5 2" xfId="32390"/>
    <cellStyle name="Header2 3 2 2 2 3 5 5 2 2" xfId="42389"/>
    <cellStyle name="Header2 3 2 2 2 3 5 5 3" xfId="37238"/>
    <cellStyle name="Header2 3 2 2 2 3 5 6" xfId="23513"/>
    <cellStyle name="Header2 3 2 2 2 3 5 6 2" xfId="21869"/>
    <cellStyle name="Header2 3 2 2 2 3 5 7" xfId="23033"/>
    <cellStyle name="Header2 3 2 2 2 3 5 7 2" xfId="21305"/>
    <cellStyle name="Header2 3 2 2 2 3 5 8" xfId="21629"/>
    <cellStyle name="Header2 3 2 2 2 3 6" xfId="16216"/>
    <cellStyle name="Header2 3 2 2 2 3 6 2" xfId="19452"/>
    <cellStyle name="Header2 3 2 2 2 3 6 2 2" xfId="31269"/>
    <cellStyle name="Header2 3 2 2 2 3 6 2 2 2" xfId="41268"/>
    <cellStyle name="Header2 3 2 2 2 3 6 2 3" xfId="26927"/>
    <cellStyle name="Header2 3 2 2 2 3 6 2 4" xfId="36117"/>
    <cellStyle name="Header2 3 2 2 2 3 6 3" xfId="20058"/>
    <cellStyle name="Header2 3 2 2 2 3 6 3 2" xfId="31875"/>
    <cellStyle name="Header2 3 2 2 2 3 6 3 2 2" xfId="41874"/>
    <cellStyle name="Header2 3 2 2 2 3 6 3 3" xfId="27533"/>
    <cellStyle name="Header2 3 2 2 2 3 6 3 4" xfId="36723"/>
    <cellStyle name="Header2 3 2 2 2 3 6 4" xfId="17902"/>
    <cellStyle name="Header2 3 2 2 2 3 6 4 2" xfId="29719"/>
    <cellStyle name="Header2 3 2 2 2 3 6 4 2 2" xfId="39718"/>
    <cellStyle name="Header2 3 2 2 2 3 6 4 3" xfId="25477"/>
    <cellStyle name="Header2 3 2 2 2 3 6 4 4" xfId="34567"/>
    <cellStyle name="Header2 3 2 2 2 3 6 5" xfId="20867"/>
    <cellStyle name="Header2 3 2 2 2 3 6 5 2" xfId="32684"/>
    <cellStyle name="Header2 3 2 2 2 3 6 5 2 2" xfId="42683"/>
    <cellStyle name="Header2 3 2 2 2 3 6 5 3" xfId="37532"/>
    <cellStyle name="Header2 3 2 2 2 3 6 6" xfId="28033"/>
    <cellStyle name="Header2 3 2 2 2 3 6 6 2" xfId="38032"/>
    <cellStyle name="Header2 3 2 2 2 3 6 7" xfId="22242"/>
    <cellStyle name="Header2 3 2 2 2 3 7" xfId="15931"/>
    <cellStyle name="Header2 3 2 2 2 3 7 2" xfId="27748"/>
    <cellStyle name="Header2 3 2 2 2 3 7 2 2" xfId="37747"/>
    <cellStyle name="Header2 3 2 2 2 3 7 3" xfId="23809"/>
    <cellStyle name="Header2 3 2 2 2 3 7 4" xfId="32899"/>
    <cellStyle name="Header2 3 2 2 2 3 8" xfId="16634"/>
    <cellStyle name="Header2 3 2 2 2 3 8 2" xfId="28451"/>
    <cellStyle name="Header2 3 2 2 2 3 8 2 2" xfId="38450"/>
    <cellStyle name="Header2 3 2 2 2 3 8 3" xfId="24209"/>
    <cellStyle name="Header2 3 2 2 2 3 8 4" xfId="33299"/>
    <cellStyle name="Header2 3 2 2 2 3 9" xfId="16928"/>
    <cellStyle name="Header2 3 2 2 2 3 9 2" xfId="28745"/>
    <cellStyle name="Header2 3 2 2 2 3 9 2 2" xfId="38744"/>
    <cellStyle name="Header2 3 2 2 2 3 9 3" xfId="24503"/>
    <cellStyle name="Header2 3 2 2 2 3 9 4" xfId="33593"/>
    <cellStyle name="Header2 3 2 2 2 4" xfId="7832"/>
    <cellStyle name="Header2 3 2 2 2 4 10" xfId="18772"/>
    <cellStyle name="Header2 3 2 2 2 4 10 2" xfId="30589"/>
    <cellStyle name="Header2 3 2 2 2 4 10 2 2" xfId="40588"/>
    <cellStyle name="Header2 3 2 2 2 4 10 3" xfId="26247"/>
    <cellStyle name="Header2 3 2 2 2 4 10 4" xfId="35437"/>
    <cellStyle name="Header2 3 2 2 2 4 11" xfId="18241"/>
    <cellStyle name="Header2 3 2 2 2 4 11 2" xfId="30058"/>
    <cellStyle name="Header2 3 2 2 2 4 11 2 2" xfId="40057"/>
    <cellStyle name="Header2 3 2 2 2 4 11 3" xfId="34906"/>
    <cellStyle name="Header2 3 2 2 2 4 12" xfId="23270"/>
    <cellStyle name="Header2 3 2 2 2 4 12 2" xfId="21182"/>
    <cellStyle name="Header2 3 2 2 2 4 13" xfId="22664"/>
    <cellStyle name="Header2 3 2 2 2 4 2" xfId="15639"/>
    <cellStyle name="Header2 3 2 2 2 4 2 2" xfId="19154"/>
    <cellStyle name="Header2 3 2 2 2 4 2 2 2" xfId="30971"/>
    <cellStyle name="Header2 3 2 2 2 4 2 2 2 2" xfId="40970"/>
    <cellStyle name="Header2 3 2 2 2 4 2 2 3" xfId="26629"/>
    <cellStyle name="Header2 3 2 2 2 4 2 2 4" xfId="35819"/>
    <cellStyle name="Header2 3 2 2 2 4 2 3" xfId="19760"/>
    <cellStyle name="Header2 3 2 2 2 4 2 3 2" xfId="31577"/>
    <cellStyle name="Header2 3 2 2 2 4 2 3 2 2" xfId="41576"/>
    <cellStyle name="Header2 3 2 2 2 4 2 3 3" xfId="27235"/>
    <cellStyle name="Header2 3 2 2 2 4 2 3 4" xfId="36425"/>
    <cellStyle name="Header2 3 2 2 2 4 2 4" xfId="18849"/>
    <cellStyle name="Header2 3 2 2 2 4 2 4 2" xfId="30666"/>
    <cellStyle name="Header2 3 2 2 2 4 2 4 2 2" xfId="40665"/>
    <cellStyle name="Header2 3 2 2 2 4 2 4 3" xfId="26324"/>
    <cellStyle name="Header2 3 2 2 2 4 2 4 4" xfId="35514"/>
    <cellStyle name="Header2 3 2 2 2 4 2 5" xfId="20569"/>
    <cellStyle name="Header2 3 2 2 2 4 2 5 2" xfId="32386"/>
    <cellStyle name="Header2 3 2 2 2 4 2 5 2 2" xfId="42385"/>
    <cellStyle name="Header2 3 2 2 2 4 2 5 3" xfId="37234"/>
    <cellStyle name="Header2 3 2 2 2 4 2 6" xfId="23517"/>
    <cellStyle name="Header2 3 2 2 2 4 2 6 2" xfId="21866"/>
    <cellStyle name="Header2 3 2 2 2 4 2 7" xfId="23030"/>
    <cellStyle name="Header2 3 2 2 2 4 2 7 2" xfId="22084"/>
    <cellStyle name="Header2 3 2 2 2 4 2 8" xfId="22402"/>
    <cellStyle name="Header2 3 2 2 2 4 3" xfId="16220"/>
    <cellStyle name="Header2 3 2 2 2 4 3 2" xfId="19448"/>
    <cellStyle name="Header2 3 2 2 2 4 3 2 2" xfId="31265"/>
    <cellStyle name="Header2 3 2 2 2 4 3 2 2 2" xfId="41264"/>
    <cellStyle name="Header2 3 2 2 2 4 3 2 3" xfId="26923"/>
    <cellStyle name="Header2 3 2 2 2 4 3 2 4" xfId="36113"/>
    <cellStyle name="Header2 3 2 2 2 4 3 3" xfId="20054"/>
    <cellStyle name="Header2 3 2 2 2 4 3 3 2" xfId="31871"/>
    <cellStyle name="Header2 3 2 2 2 4 3 3 2 2" xfId="41870"/>
    <cellStyle name="Header2 3 2 2 2 4 3 3 3" xfId="27529"/>
    <cellStyle name="Header2 3 2 2 2 4 3 3 4" xfId="36719"/>
    <cellStyle name="Header2 3 2 2 2 4 3 4" xfId="17903"/>
    <cellStyle name="Header2 3 2 2 2 4 3 4 2" xfId="29720"/>
    <cellStyle name="Header2 3 2 2 2 4 3 4 2 2" xfId="39719"/>
    <cellStyle name="Header2 3 2 2 2 4 3 4 3" xfId="25478"/>
    <cellStyle name="Header2 3 2 2 2 4 3 4 4" xfId="34568"/>
    <cellStyle name="Header2 3 2 2 2 4 3 5" xfId="20863"/>
    <cellStyle name="Header2 3 2 2 2 4 3 5 2" xfId="32680"/>
    <cellStyle name="Header2 3 2 2 2 4 3 5 2 2" xfId="42679"/>
    <cellStyle name="Header2 3 2 2 2 4 3 5 3" xfId="37528"/>
    <cellStyle name="Header2 3 2 2 2 4 3 6" xfId="28037"/>
    <cellStyle name="Header2 3 2 2 2 4 3 6 2" xfId="38036"/>
    <cellStyle name="Header2 3 2 2 2 4 3 7" xfId="21494"/>
    <cellStyle name="Header2 3 2 2 2 4 4" xfId="15934"/>
    <cellStyle name="Header2 3 2 2 2 4 4 2" xfId="27751"/>
    <cellStyle name="Header2 3 2 2 2 4 4 2 2" xfId="37750"/>
    <cellStyle name="Header2 3 2 2 2 4 4 3" xfId="23812"/>
    <cellStyle name="Header2 3 2 2 2 4 4 4" xfId="32902"/>
    <cellStyle name="Header2 3 2 2 2 4 5" xfId="16630"/>
    <cellStyle name="Header2 3 2 2 2 4 5 2" xfId="28447"/>
    <cellStyle name="Header2 3 2 2 2 4 5 2 2" xfId="38446"/>
    <cellStyle name="Header2 3 2 2 2 4 5 3" xfId="24205"/>
    <cellStyle name="Header2 3 2 2 2 4 5 4" xfId="33295"/>
    <cellStyle name="Header2 3 2 2 2 4 6" xfId="16924"/>
    <cellStyle name="Header2 3 2 2 2 4 6 2" xfId="28741"/>
    <cellStyle name="Header2 3 2 2 2 4 6 2 2" xfId="38740"/>
    <cellStyle name="Header2 3 2 2 2 4 6 3" xfId="24499"/>
    <cellStyle name="Header2 3 2 2 2 4 6 4" xfId="33589"/>
    <cellStyle name="Header2 3 2 2 2 4 7" xfId="17154"/>
    <cellStyle name="Header2 3 2 2 2 4 7 2" xfId="28971"/>
    <cellStyle name="Header2 3 2 2 2 4 7 2 2" xfId="38970"/>
    <cellStyle name="Header2 3 2 2 2 4 7 3" xfId="24729"/>
    <cellStyle name="Header2 3 2 2 2 4 7 4" xfId="33819"/>
    <cellStyle name="Header2 3 2 2 2 4 8" xfId="17457"/>
    <cellStyle name="Header2 3 2 2 2 4 8 2" xfId="29274"/>
    <cellStyle name="Header2 3 2 2 2 4 8 2 2" xfId="39273"/>
    <cellStyle name="Header2 3 2 2 2 4 8 3" xfId="25032"/>
    <cellStyle name="Header2 3 2 2 2 4 8 4" xfId="34122"/>
    <cellStyle name="Header2 3 2 2 2 4 9" xfId="18478"/>
    <cellStyle name="Header2 3 2 2 2 4 9 2" xfId="30295"/>
    <cellStyle name="Header2 3 2 2 2 4 9 2 2" xfId="40294"/>
    <cellStyle name="Header2 3 2 2 2 4 9 3" xfId="25953"/>
    <cellStyle name="Header2 3 2 2 2 4 9 4" xfId="35143"/>
    <cellStyle name="Header2 3 2 2 2 5" xfId="15630"/>
    <cellStyle name="Header2 3 2 2 2 5 2" xfId="19163"/>
    <cellStyle name="Header2 3 2 2 2 5 2 2" xfId="30980"/>
    <cellStyle name="Header2 3 2 2 2 5 2 2 2" xfId="40979"/>
    <cellStyle name="Header2 3 2 2 2 5 2 3" xfId="26638"/>
    <cellStyle name="Header2 3 2 2 2 5 2 4" xfId="35828"/>
    <cellStyle name="Header2 3 2 2 2 5 3" xfId="19769"/>
    <cellStyle name="Header2 3 2 2 2 5 3 2" xfId="31586"/>
    <cellStyle name="Header2 3 2 2 2 5 3 2 2" xfId="41585"/>
    <cellStyle name="Header2 3 2 2 2 5 3 3" xfId="27244"/>
    <cellStyle name="Header2 3 2 2 2 5 3 4" xfId="36434"/>
    <cellStyle name="Header2 3 2 2 2 5 4" xfId="18892"/>
    <cellStyle name="Header2 3 2 2 2 5 4 2" xfId="30709"/>
    <cellStyle name="Header2 3 2 2 2 5 4 2 2" xfId="40708"/>
    <cellStyle name="Header2 3 2 2 2 5 4 3" xfId="26367"/>
    <cellStyle name="Header2 3 2 2 2 5 4 4" xfId="35557"/>
    <cellStyle name="Header2 3 2 2 2 5 5" xfId="20578"/>
    <cellStyle name="Header2 3 2 2 2 5 5 2" xfId="32395"/>
    <cellStyle name="Header2 3 2 2 2 5 5 2 2" xfId="42394"/>
    <cellStyle name="Header2 3 2 2 2 5 5 3" xfId="37243"/>
    <cellStyle name="Header2 3 2 2 2 5 6" xfId="23508"/>
    <cellStyle name="Header2 3 2 2 2 5 6 2" xfId="21041"/>
    <cellStyle name="Header2 3 2 2 2 5 7" xfId="22859"/>
    <cellStyle name="Header2 3 2 2 2 5 7 2" xfId="22186"/>
    <cellStyle name="Header2 3 2 2 2 5 8" xfId="22398"/>
    <cellStyle name="Header2 3 2 2 2 6" xfId="16211"/>
    <cellStyle name="Header2 3 2 2 2 6 2" xfId="19529"/>
    <cellStyle name="Header2 3 2 2 2 6 2 2" xfId="31346"/>
    <cellStyle name="Header2 3 2 2 2 6 2 2 2" xfId="41345"/>
    <cellStyle name="Header2 3 2 2 2 6 2 3" xfId="27004"/>
    <cellStyle name="Header2 3 2 2 2 6 2 4" xfId="36194"/>
    <cellStyle name="Header2 3 2 2 2 6 3" xfId="20135"/>
    <cellStyle name="Header2 3 2 2 2 6 3 2" xfId="31952"/>
    <cellStyle name="Header2 3 2 2 2 6 3 2 2" xfId="41951"/>
    <cellStyle name="Header2 3 2 2 2 6 3 3" xfId="27610"/>
    <cellStyle name="Header2 3 2 2 2 6 3 4" xfId="36800"/>
    <cellStyle name="Header2 3 2 2 2 6 4" xfId="18037"/>
    <cellStyle name="Header2 3 2 2 2 6 4 2" xfId="29854"/>
    <cellStyle name="Header2 3 2 2 2 6 4 2 2" xfId="39853"/>
    <cellStyle name="Header2 3 2 2 2 6 4 3" xfId="25612"/>
    <cellStyle name="Header2 3 2 2 2 6 4 4" xfId="34702"/>
    <cellStyle name="Header2 3 2 2 2 6 5" xfId="20944"/>
    <cellStyle name="Header2 3 2 2 2 6 5 2" xfId="32761"/>
    <cellStyle name="Header2 3 2 2 2 6 5 2 2" xfId="42760"/>
    <cellStyle name="Header2 3 2 2 2 6 5 3" xfId="37609"/>
    <cellStyle name="Header2 3 2 2 2 6 6" xfId="28028"/>
    <cellStyle name="Header2 3 2 2 2 6 6 2" xfId="38027"/>
    <cellStyle name="Header2 3 2 2 2 6 7" xfId="21441"/>
    <cellStyle name="Header2 3 2 2 2 7" xfId="15834"/>
    <cellStyle name="Header2 3 2 2 2 7 2" xfId="27651"/>
    <cellStyle name="Header2 3 2 2 2 7 2 2" xfId="37650"/>
    <cellStyle name="Header2 3 2 2 2 7 3" xfId="23712"/>
    <cellStyle name="Header2 3 2 2 2 7 4" xfId="32802"/>
    <cellStyle name="Header2 3 2 2 2 8" xfId="16639"/>
    <cellStyle name="Header2 3 2 2 2 8 2" xfId="28456"/>
    <cellStyle name="Header2 3 2 2 2 8 2 2" xfId="38455"/>
    <cellStyle name="Header2 3 2 2 2 8 3" xfId="24214"/>
    <cellStyle name="Header2 3 2 2 2 8 4" xfId="33304"/>
    <cellStyle name="Header2 3 2 2 2 9" xfId="17005"/>
    <cellStyle name="Header2 3 2 2 2 9 2" xfId="28822"/>
    <cellStyle name="Header2 3 2 2 2 9 2 2" xfId="38821"/>
    <cellStyle name="Header2 3 2 2 2 9 3" xfId="24580"/>
    <cellStyle name="Header2 3 2 2 2 9 4" xfId="33670"/>
    <cellStyle name="Header2 3 2 2 3" xfId="7833"/>
    <cellStyle name="Header2 3 2 2 3 10" xfId="17155"/>
    <cellStyle name="Header2 3 2 2 3 10 2" xfId="28972"/>
    <cellStyle name="Header2 3 2 2 3 10 2 2" xfId="38971"/>
    <cellStyle name="Header2 3 2 2 3 10 3" xfId="24730"/>
    <cellStyle name="Header2 3 2 2 3 10 4" xfId="33820"/>
    <cellStyle name="Header2 3 2 2 3 11" xfId="17458"/>
    <cellStyle name="Header2 3 2 2 3 11 2" xfId="29275"/>
    <cellStyle name="Header2 3 2 2 3 11 2 2" xfId="39274"/>
    <cellStyle name="Header2 3 2 2 3 11 3" xfId="25033"/>
    <cellStyle name="Header2 3 2 2 3 11 4" xfId="34123"/>
    <cellStyle name="Header2 3 2 2 3 12" xfId="18477"/>
    <cellStyle name="Header2 3 2 2 3 12 2" xfId="30294"/>
    <cellStyle name="Header2 3 2 2 3 12 2 2" xfId="40293"/>
    <cellStyle name="Header2 3 2 2 3 12 3" xfId="25952"/>
    <cellStyle name="Header2 3 2 2 3 12 4" xfId="35142"/>
    <cellStyle name="Header2 3 2 2 3 13" xfId="18771"/>
    <cellStyle name="Header2 3 2 2 3 13 2" xfId="30588"/>
    <cellStyle name="Header2 3 2 2 3 13 2 2" xfId="40587"/>
    <cellStyle name="Header2 3 2 2 3 13 3" xfId="26246"/>
    <cellStyle name="Header2 3 2 2 3 13 4" xfId="35436"/>
    <cellStyle name="Header2 3 2 2 3 14" xfId="20218"/>
    <cellStyle name="Header2 3 2 2 3 14 2" xfId="32035"/>
    <cellStyle name="Header2 3 2 2 3 14 2 2" xfId="42034"/>
    <cellStyle name="Header2 3 2 2 3 14 3" xfId="36883"/>
    <cellStyle name="Header2 3 2 2 3 15" xfId="23269"/>
    <cellStyle name="Header2 3 2 2 3 15 2" xfId="21970"/>
    <cellStyle name="Header2 3 2 2 3 16" xfId="22663"/>
    <cellStyle name="Header2 3 2 2 3 2" xfId="7834"/>
    <cellStyle name="Header2 3 2 2 3 2 10" xfId="18770"/>
    <cellStyle name="Header2 3 2 2 3 2 10 2" xfId="30587"/>
    <cellStyle name="Header2 3 2 2 3 2 10 2 2" xfId="40586"/>
    <cellStyle name="Header2 3 2 2 3 2 10 3" xfId="26245"/>
    <cellStyle name="Header2 3 2 2 3 2 10 4" xfId="35435"/>
    <cellStyle name="Header2 3 2 2 3 2 11" xfId="20317"/>
    <cellStyle name="Header2 3 2 2 3 2 11 2" xfId="32134"/>
    <cellStyle name="Header2 3 2 2 3 2 11 2 2" xfId="42133"/>
    <cellStyle name="Header2 3 2 2 3 2 11 3" xfId="36982"/>
    <cellStyle name="Header2 3 2 2 3 2 12" xfId="23268"/>
    <cellStyle name="Header2 3 2 2 3 2 12 2" xfId="21183"/>
    <cellStyle name="Header2 3 2 2 3 2 13" xfId="22662"/>
    <cellStyle name="Header2 3 2 2 3 2 2" xfId="15641"/>
    <cellStyle name="Header2 3 2 2 3 2 2 2" xfId="19152"/>
    <cellStyle name="Header2 3 2 2 3 2 2 2 2" xfId="30969"/>
    <cellStyle name="Header2 3 2 2 3 2 2 2 2 2" xfId="40968"/>
    <cellStyle name="Header2 3 2 2 3 2 2 2 3" xfId="26627"/>
    <cellStyle name="Header2 3 2 2 3 2 2 2 4" xfId="35817"/>
    <cellStyle name="Header2 3 2 2 3 2 2 3" xfId="19758"/>
    <cellStyle name="Header2 3 2 2 3 2 2 3 2" xfId="31575"/>
    <cellStyle name="Header2 3 2 2 3 2 2 3 2 2" xfId="41574"/>
    <cellStyle name="Header2 3 2 2 3 2 2 3 3" xfId="27233"/>
    <cellStyle name="Header2 3 2 2 3 2 2 3 4" xfId="36423"/>
    <cellStyle name="Header2 3 2 2 3 2 2 4" xfId="17699"/>
    <cellStyle name="Header2 3 2 2 3 2 2 4 2" xfId="29516"/>
    <cellStyle name="Header2 3 2 2 3 2 2 4 2 2" xfId="39515"/>
    <cellStyle name="Header2 3 2 2 3 2 2 4 3" xfId="25274"/>
    <cellStyle name="Header2 3 2 2 3 2 2 4 4" xfId="34364"/>
    <cellStyle name="Header2 3 2 2 3 2 2 5" xfId="20567"/>
    <cellStyle name="Header2 3 2 2 3 2 2 5 2" xfId="32384"/>
    <cellStyle name="Header2 3 2 2 3 2 2 5 2 2" xfId="42383"/>
    <cellStyle name="Header2 3 2 2 3 2 2 5 3" xfId="37232"/>
    <cellStyle name="Header2 3 2 2 3 2 2 6" xfId="23519"/>
    <cellStyle name="Header2 3 2 2 3 2 2 6 2" xfId="21864"/>
    <cellStyle name="Header2 3 2 2 3 2 2 7" xfId="23028"/>
    <cellStyle name="Header2 3 2 2 3 2 2 7 2" xfId="22085"/>
    <cellStyle name="Header2 3 2 2 3 2 2 8" xfId="22404"/>
    <cellStyle name="Header2 3 2 2 3 2 3" xfId="16222"/>
    <cellStyle name="Header2 3 2 2 3 2 3 2" xfId="19446"/>
    <cellStyle name="Header2 3 2 2 3 2 3 2 2" xfId="31263"/>
    <cellStyle name="Header2 3 2 2 3 2 3 2 2 2" xfId="41262"/>
    <cellStyle name="Header2 3 2 2 3 2 3 2 3" xfId="26921"/>
    <cellStyle name="Header2 3 2 2 3 2 3 2 4" xfId="36111"/>
    <cellStyle name="Header2 3 2 2 3 2 3 3" xfId="20052"/>
    <cellStyle name="Header2 3 2 2 3 2 3 3 2" xfId="31869"/>
    <cellStyle name="Header2 3 2 2 3 2 3 3 2 2" xfId="41868"/>
    <cellStyle name="Header2 3 2 2 3 2 3 3 3" xfId="27527"/>
    <cellStyle name="Header2 3 2 2 3 2 3 3 4" xfId="36717"/>
    <cellStyle name="Header2 3 2 2 3 2 3 4" xfId="17653"/>
    <cellStyle name="Header2 3 2 2 3 2 3 4 2" xfId="29470"/>
    <cellStyle name="Header2 3 2 2 3 2 3 4 2 2" xfId="39469"/>
    <cellStyle name="Header2 3 2 2 3 2 3 4 3" xfId="25228"/>
    <cellStyle name="Header2 3 2 2 3 2 3 4 4" xfId="34318"/>
    <cellStyle name="Header2 3 2 2 3 2 3 5" xfId="20861"/>
    <cellStyle name="Header2 3 2 2 3 2 3 5 2" xfId="32678"/>
    <cellStyle name="Header2 3 2 2 3 2 3 5 2 2" xfId="42677"/>
    <cellStyle name="Header2 3 2 2 3 2 3 5 3" xfId="37526"/>
    <cellStyle name="Header2 3 2 2 3 2 3 6" xfId="28039"/>
    <cellStyle name="Header2 3 2 2 3 2 3 6 2" xfId="38038"/>
    <cellStyle name="Header2 3 2 2 3 2 3 7" xfId="21496"/>
    <cellStyle name="Header2 3 2 2 3 2 4" xfId="15936"/>
    <cellStyle name="Header2 3 2 2 3 2 4 2" xfId="27753"/>
    <cellStyle name="Header2 3 2 2 3 2 4 2 2" xfId="37752"/>
    <cellStyle name="Header2 3 2 2 3 2 4 3" xfId="23814"/>
    <cellStyle name="Header2 3 2 2 3 2 4 4" xfId="32904"/>
    <cellStyle name="Header2 3 2 2 3 2 5" xfId="16628"/>
    <cellStyle name="Header2 3 2 2 3 2 5 2" xfId="28445"/>
    <cellStyle name="Header2 3 2 2 3 2 5 2 2" xfId="38444"/>
    <cellStyle name="Header2 3 2 2 3 2 5 3" xfId="24203"/>
    <cellStyle name="Header2 3 2 2 3 2 5 4" xfId="33293"/>
    <cellStyle name="Header2 3 2 2 3 2 6" xfId="16922"/>
    <cellStyle name="Header2 3 2 2 3 2 6 2" xfId="28739"/>
    <cellStyle name="Header2 3 2 2 3 2 6 2 2" xfId="38738"/>
    <cellStyle name="Header2 3 2 2 3 2 6 3" xfId="24497"/>
    <cellStyle name="Header2 3 2 2 3 2 6 4" xfId="33587"/>
    <cellStyle name="Header2 3 2 2 3 2 7" xfId="17156"/>
    <cellStyle name="Header2 3 2 2 3 2 7 2" xfId="28973"/>
    <cellStyle name="Header2 3 2 2 3 2 7 2 2" xfId="38972"/>
    <cellStyle name="Header2 3 2 2 3 2 7 3" xfId="24731"/>
    <cellStyle name="Header2 3 2 2 3 2 7 4" xfId="33821"/>
    <cellStyle name="Header2 3 2 2 3 2 8" xfId="17459"/>
    <cellStyle name="Header2 3 2 2 3 2 8 2" xfId="29276"/>
    <cellStyle name="Header2 3 2 2 3 2 8 2 2" xfId="39275"/>
    <cellStyle name="Header2 3 2 2 3 2 8 3" xfId="25034"/>
    <cellStyle name="Header2 3 2 2 3 2 8 4" xfId="34124"/>
    <cellStyle name="Header2 3 2 2 3 2 9" xfId="18476"/>
    <cellStyle name="Header2 3 2 2 3 2 9 2" xfId="30293"/>
    <cellStyle name="Header2 3 2 2 3 2 9 2 2" xfId="40292"/>
    <cellStyle name="Header2 3 2 2 3 2 9 3" xfId="25951"/>
    <cellStyle name="Header2 3 2 2 3 2 9 4" xfId="35141"/>
    <cellStyle name="Header2 3 2 2 3 3" xfId="7835"/>
    <cellStyle name="Header2 3 2 2 3 3 10" xfId="18769"/>
    <cellStyle name="Header2 3 2 2 3 3 10 2" xfId="30586"/>
    <cellStyle name="Header2 3 2 2 3 3 10 2 2" xfId="40585"/>
    <cellStyle name="Header2 3 2 2 3 3 10 3" xfId="26244"/>
    <cellStyle name="Header2 3 2 2 3 3 10 4" xfId="35434"/>
    <cellStyle name="Header2 3 2 2 3 3 11" xfId="18242"/>
    <cellStyle name="Header2 3 2 2 3 3 11 2" xfId="30059"/>
    <cellStyle name="Header2 3 2 2 3 3 11 2 2" xfId="40058"/>
    <cellStyle name="Header2 3 2 2 3 3 11 3" xfId="34907"/>
    <cellStyle name="Header2 3 2 2 3 3 12" xfId="23267"/>
    <cellStyle name="Header2 3 2 2 3 3 12 2" xfId="21184"/>
    <cellStyle name="Header2 3 2 2 3 3 13" xfId="22661"/>
    <cellStyle name="Header2 3 2 2 3 3 2" xfId="15642"/>
    <cellStyle name="Header2 3 2 2 3 3 2 2" xfId="19151"/>
    <cellStyle name="Header2 3 2 2 3 3 2 2 2" xfId="30968"/>
    <cellStyle name="Header2 3 2 2 3 3 2 2 2 2" xfId="40967"/>
    <cellStyle name="Header2 3 2 2 3 3 2 2 3" xfId="26626"/>
    <cellStyle name="Header2 3 2 2 3 3 2 2 4" xfId="35816"/>
    <cellStyle name="Header2 3 2 2 3 3 2 3" xfId="19757"/>
    <cellStyle name="Header2 3 2 2 3 3 2 3 2" xfId="31574"/>
    <cellStyle name="Header2 3 2 2 3 3 2 3 2 2" xfId="41573"/>
    <cellStyle name="Header2 3 2 2 3 3 2 3 3" xfId="27232"/>
    <cellStyle name="Header2 3 2 2 3 3 2 3 4" xfId="36422"/>
    <cellStyle name="Header2 3 2 2 3 3 2 4" xfId="18898"/>
    <cellStyle name="Header2 3 2 2 3 3 2 4 2" xfId="30715"/>
    <cellStyle name="Header2 3 2 2 3 3 2 4 2 2" xfId="40714"/>
    <cellStyle name="Header2 3 2 2 3 3 2 4 3" xfId="26373"/>
    <cellStyle name="Header2 3 2 2 3 3 2 4 4" xfId="35563"/>
    <cellStyle name="Header2 3 2 2 3 3 2 5" xfId="20566"/>
    <cellStyle name="Header2 3 2 2 3 3 2 5 2" xfId="32383"/>
    <cellStyle name="Header2 3 2 2 3 3 2 5 2 2" xfId="42382"/>
    <cellStyle name="Header2 3 2 2 3 3 2 5 3" xfId="37231"/>
    <cellStyle name="Header2 3 2 2 3 3 2 6" xfId="23520"/>
    <cellStyle name="Header2 3 2 2 3 3 2 6 2" xfId="21863"/>
    <cellStyle name="Header2 3 2 2 3 3 2 7" xfId="23027"/>
    <cellStyle name="Header2 3 2 2 3 3 2 7 2" xfId="22086"/>
    <cellStyle name="Header2 3 2 2 3 3 2 8" xfId="22405"/>
    <cellStyle name="Header2 3 2 2 3 3 3" xfId="16223"/>
    <cellStyle name="Header2 3 2 2 3 3 3 2" xfId="19445"/>
    <cellStyle name="Header2 3 2 2 3 3 3 2 2" xfId="31262"/>
    <cellStyle name="Header2 3 2 2 3 3 3 2 2 2" xfId="41261"/>
    <cellStyle name="Header2 3 2 2 3 3 3 2 3" xfId="26920"/>
    <cellStyle name="Header2 3 2 2 3 3 3 2 4" xfId="36110"/>
    <cellStyle name="Header2 3 2 2 3 3 3 3" xfId="20051"/>
    <cellStyle name="Header2 3 2 2 3 3 3 3 2" xfId="31868"/>
    <cellStyle name="Header2 3 2 2 3 3 3 3 2 2" xfId="41867"/>
    <cellStyle name="Header2 3 2 2 3 3 3 3 3" xfId="27526"/>
    <cellStyle name="Header2 3 2 2 3 3 3 3 4" xfId="36716"/>
    <cellStyle name="Header2 3 2 2 3 3 3 4" xfId="18066"/>
    <cellStyle name="Header2 3 2 2 3 3 3 4 2" xfId="29883"/>
    <cellStyle name="Header2 3 2 2 3 3 3 4 2 2" xfId="39882"/>
    <cellStyle name="Header2 3 2 2 3 3 3 4 3" xfId="25641"/>
    <cellStyle name="Header2 3 2 2 3 3 3 4 4" xfId="34731"/>
    <cellStyle name="Header2 3 2 2 3 3 3 5" xfId="20860"/>
    <cellStyle name="Header2 3 2 2 3 3 3 5 2" xfId="32677"/>
    <cellStyle name="Header2 3 2 2 3 3 3 5 2 2" xfId="42676"/>
    <cellStyle name="Header2 3 2 2 3 3 3 5 3" xfId="37525"/>
    <cellStyle name="Header2 3 2 2 3 3 3 6" xfId="28040"/>
    <cellStyle name="Header2 3 2 2 3 3 3 6 2" xfId="38039"/>
    <cellStyle name="Header2 3 2 2 3 3 3 7" xfId="21497"/>
    <cellStyle name="Header2 3 2 2 3 3 4" xfId="15937"/>
    <cellStyle name="Header2 3 2 2 3 3 4 2" xfId="27754"/>
    <cellStyle name="Header2 3 2 2 3 3 4 2 2" xfId="37753"/>
    <cellStyle name="Header2 3 2 2 3 3 4 3" xfId="23815"/>
    <cellStyle name="Header2 3 2 2 3 3 4 4" xfId="32905"/>
    <cellStyle name="Header2 3 2 2 3 3 5" xfId="16627"/>
    <cellStyle name="Header2 3 2 2 3 3 5 2" xfId="28444"/>
    <cellStyle name="Header2 3 2 2 3 3 5 2 2" xfId="38443"/>
    <cellStyle name="Header2 3 2 2 3 3 5 3" xfId="24202"/>
    <cellStyle name="Header2 3 2 2 3 3 5 4" xfId="33292"/>
    <cellStyle name="Header2 3 2 2 3 3 6" xfId="16921"/>
    <cellStyle name="Header2 3 2 2 3 3 6 2" xfId="28738"/>
    <cellStyle name="Header2 3 2 2 3 3 6 2 2" xfId="38737"/>
    <cellStyle name="Header2 3 2 2 3 3 6 3" xfId="24496"/>
    <cellStyle name="Header2 3 2 2 3 3 6 4" xfId="33586"/>
    <cellStyle name="Header2 3 2 2 3 3 7" xfId="17157"/>
    <cellStyle name="Header2 3 2 2 3 3 7 2" xfId="28974"/>
    <cellStyle name="Header2 3 2 2 3 3 7 2 2" xfId="38973"/>
    <cellStyle name="Header2 3 2 2 3 3 7 3" xfId="24732"/>
    <cellStyle name="Header2 3 2 2 3 3 7 4" xfId="33822"/>
    <cellStyle name="Header2 3 2 2 3 3 8" xfId="17460"/>
    <cellStyle name="Header2 3 2 2 3 3 8 2" xfId="29277"/>
    <cellStyle name="Header2 3 2 2 3 3 8 2 2" xfId="39276"/>
    <cellStyle name="Header2 3 2 2 3 3 8 3" xfId="25035"/>
    <cellStyle name="Header2 3 2 2 3 3 8 4" xfId="34125"/>
    <cellStyle name="Header2 3 2 2 3 3 9" xfId="18475"/>
    <cellStyle name="Header2 3 2 2 3 3 9 2" xfId="30292"/>
    <cellStyle name="Header2 3 2 2 3 3 9 2 2" xfId="40291"/>
    <cellStyle name="Header2 3 2 2 3 3 9 3" xfId="25950"/>
    <cellStyle name="Header2 3 2 2 3 3 9 4" xfId="35140"/>
    <cellStyle name="Header2 3 2 2 3 4" xfId="7836"/>
    <cellStyle name="Header2 3 2 2 3 4 10" xfId="18768"/>
    <cellStyle name="Header2 3 2 2 3 4 10 2" xfId="30585"/>
    <cellStyle name="Header2 3 2 2 3 4 10 2 2" xfId="40584"/>
    <cellStyle name="Header2 3 2 2 3 4 10 3" xfId="26243"/>
    <cellStyle name="Header2 3 2 2 3 4 10 4" xfId="35433"/>
    <cellStyle name="Header2 3 2 2 3 4 11" xfId="20217"/>
    <cellStyle name="Header2 3 2 2 3 4 11 2" xfId="32034"/>
    <cellStyle name="Header2 3 2 2 3 4 11 2 2" xfId="42033"/>
    <cellStyle name="Header2 3 2 2 3 4 11 3" xfId="36882"/>
    <cellStyle name="Header2 3 2 2 3 4 12" xfId="23266"/>
    <cellStyle name="Header2 3 2 2 3 4 12 2" xfId="21185"/>
    <cellStyle name="Header2 3 2 2 3 4 13" xfId="22660"/>
    <cellStyle name="Header2 3 2 2 3 4 2" xfId="15643"/>
    <cellStyle name="Header2 3 2 2 3 4 2 2" xfId="19150"/>
    <cellStyle name="Header2 3 2 2 3 4 2 2 2" xfId="30967"/>
    <cellStyle name="Header2 3 2 2 3 4 2 2 2 2" xfId="40966"/>
    <cellStyle name="Header2 3 2 2 3 4 2 2 3" xfId="26625"/>
    <cellStyle name="Header2 3 2 2 3 4 2 2 4" xfId="35815"/>
    <cellStyle name="Header2 3 2 2 3 4 2 3" xfId="19756"/>
    <cellStyle name="Header2 3 2 2 3 4 2 3 2" xfId="31573"/>
    <cellStyle name="Header2 3 2 2 3 4 2 3 2 2" xfId="41572"/>
    <cellStyle name="Header2 3 2 2 3 4 2 3 3" xfId="27231"/>
    <cellStyle name="Header2 3 2 2 3 4 2 3 4" xfId="36421"/>
    <cellStyle name="Header2 3 2 2 3 4 2 4" xfId="18146"/>
    <cellStyle name="Header2 3 2 2 3 4 2 4 2" xfId="29963"/>
    <cellStyle name="Header2 3 2 2 3 4 2 4 2 2" xfId="39962"/>
    <cellStyle name="Header2 3 2 2 3 4 2 4 3" xfId="25721"/>
    <cellStyle name="Header2 3 2 2 3 4 2 4 4" xfId="34811"/>
    <cellStyle name="Header2 3 2 2 3 4 2 5" xfId="20565"/>
    <cellStyle name="Header2 3 2 2 3 4 2 5 2" xfId="32382"/>
    <cellStyle name="Header2 3 2 2 3 4 2 5 2 2" xfId="42381"/>
    <cellStyle name="Header2 3 2 2 3 4 2 5 3" xfId="37230"/>
    <cellStyle name="Header2 3 2 2 3 4 2 6" xfId="23521"/>
    <cellStyle name="Header2 3 2 2 3 4 2 6 2" xfId="21862"/>
    <cellStyle name="Header2 3 2 2 3 4 2 7" xfId="23026"/>
    <cellStyle name="Header2 3 2 2 3 4 2 7 2" xfId="22087"/>
    <cellStyle name="Header2 3 2 2 3 4 2 8" xfId="22406"/>
    <cellStyle name="Header2 3 2 2 3 4 3" xfId="16224"/>
    <cellStyle name="Header2 3 2 2 3 4 3 2" xfId="19444"/>
    <cellStyle name="Header2 3 2 2 3 4 3 2 2" xfId="31261"/>
    <cellStyle name="Header2 3 2 2 3 4 3 2 2 2" xfId="41260"/>
    <cellStyle name="Header2 3 2 2 3 4 3 2 3" xfId="26919"/>
    <cellStyle name="Header2 3 2 2 3 4 3 2 4" xfId="36109"/>
    <cellStyle name="Header2 3 2 2 3 4 3 3" xfId="20050"/>
    <cellStyle name="Header2 3 2 2 3 4 3 3 2" xfId="31867"/>
    <cellStyle name="Header2 3 2 2 3 4 3 3 2 2" xfId="41866"/>
    <cellStyle name="Header2 3 2 2 3 4 3 3 3" xfId="27525"/>
    <cellStyle name="Header2 3 2 2 3 4 3 3 4" xfId="36715"/>
    <cellStyle name="Header2 3 2 2 3 4 3 4" xfId="17904"/>
    <cellStyle name="Header2 3 2 2 3 4 3 4 2" xfId="29721"/>
    <cellStyle name="Header2 3 2 2 3 4 3 4 2 2" xfId="39720"/>
    <cellStyle name="Header2 3 2 2 3 4 3 4 3" xfId="25479"/>
    <cellStyle name="Header2 3 2 2 3 4 3 4 4" xfId="34569"/>
    <cellStyle name="Header2 3 2 2 3 4 3 5" xfId="20859"/>
    <cellStyle name="Header2 3 2 2 3 4 3 5 2" xfId="32676"/>
    <cellStyle name="Header2 3 2 2 3 4 3 5 2 2" xfId="42675"/>
    <cellStyle name="Header2 3 2 2 3 4 3 5 3" xfId="37524"/>
    <cellStyle name="Header2 3 2 2 3 4 3 6" xfId="28041"/>
    <cellStyle name="Header2 3 2 2 3 4 3 6 2" xfId="38040"/>
    <cellStyle name="Header2 3 2 2 3 4 3 7" xfId="22246"/>
    <cellStyle name="Header2 3 2 2 3 4 4" xfId="15938"/>
    <cellStyle name="Header2 3 2 2 3 4 4 2" xfId="27755"/>
    <cellStyle name="Header2 3 2 2 3 4 4 2 2" xfId="37754"/>
    <cellStyle name="Header2 3 2 2 3 4 4 3" xfId="23816"/>
    <cellStyle name="Header2 3 2 2 3 4 4 4" xfId="32906"/>
    <cellStyle name="Header2 3 2 2 3 4 5" xfId="16626"/>
    <cellStyle name="Header2 3 2 2 3 4 5 2" xfId="28443"/>
    <cellStyle name="Header2 3 2 2 3 4 5 2 2" xfId="38442"/>
    <cellStyle name="Header2 3 2 2 3 4 5 3" xfId="24201"/>
    <cellStyle name="Header2 3 2 2 3 4 5 4" xfId="33291"/>
    <cellStyle name="Header2 3 2 2 3 4 6" xfId="16920"/>
    <cellStyle name="Header2 3 2 2 3 4 6 2" xfId="28737"/>
    <cellStyle name="Header2 3 2 2 3 4 6 2 2" xfId="38736"/>
    <cellStyle name="Header2 3 2 2 3 4 6 3" xfId="24495"/>
    <cellStyle name="Header2 3 2 2 3 4 6 4" xfId="33585"/>
    <cellStyle name="Header2 3 2 2 3 4 7" xfId="17158"/>
    <cellStyle name="Header2 3 2 2 3 4 7 2" xfId="28975"/>
    <cellStyle name="Header2 3 2 2 3 4 7 2 2" xfId="38974"/>
    <cellStyle name="Header2 3 2 2 3 4 7 3" xfId="24733"/>
    <cellStyle name="Header2 3 2 2 3 4 7 4" xfId="33823"/>
    <cellStyle name="Header2 3 2 2 3 4 8" xfId="17461"/>
    <cellStyle name="Header2 3 2 2 3 4 8 2" xfId="29278"/>
    <cellStyle name="Header2 3 2 2 3 4 8 2 2" xfId="39277"/>
    <cellStyle name="Header2 3 2 2 3 4 8 3" xfId="25036"/>
    <cellStyle name="Header2 3 2 2 3 4 8 4" xfId="34126"/>
    <cellStyle name="Header2 3 2 2 3 4 9" xfId="18474"/>
    <cellStyle name="Header2 3 2 2 3 4 9 2" xfId="30291"/>
    <cellStyle name="Header2 3 2 2 3 4 9 2 2" xfId="40290"/>
    <cellStyle name="Header2 3 2 2 3 4 9 3" xfId="25949"/>
    <cellStyle name="Header2 3 2 2 3 4 9 4" xfId="35139"/>
    <cellStyle name="Header2 3 2 2 3 5" xfId="15640"/>
    <cellStyle name="Header2 3 2 2 3 5 2" xfId="19153"/>
    <cellStyle name="Header2 3 2 2 3 5 2 2" xfId="30970"/>
    <cellStyle name="Header2 3 2 2 3 5 2 2 2" xfId="40969"/>
    <cellStyle name="Header2 3 2 2 3 5 2 3" xfId="26628"/>
    <cellStyle name="Header2 3 2 2 3 5 2 4" xfId="35818"/>
    <cellStyle name="Header2 3 2 2 3 5 3" xfId="19759"/>
    <cellStyle name="Header2 3 2 2 3 5 3 2" xfId="31576"/>
    <cellStyle name="Header2 3 2 2 3 5 3 2 2" xfId="41575"/>
    <cellStyle name="Header2 3 2 2 3 5 3 3" xfId="27234"/>
    <cellStyle name="Header2 3 2 2 3 5 3 4" xfId="36424"/>
    <cellStyle name="Header2 3 2 2 3 5 4" xfId="18897"/>
    <cellStyle name="Header2 3 2 2 3 5 4 2" xfId="30714"/>
    <cellStyle name="Header2 3 2 2 3 5 4 2 2" xfId="40713"/>
    <cellStyle name="Header2 3 2 2 3 5 4 3" xfId="26372"/>
    <cellStyle name="Header2 3 2 2 3 5 4 4" xfId="35562"/>
    <cellStyle name="Header2 3 2 2 3 5 5" xfId="20568"/>
    <cellStyle name="Header2 3 2 2 3 5 5 2" xfId="32385"/>
    <cellStyle name="Header2 3 2 2 3 5 5 2 2" xfId="42384"/>
    <cellStyle name="Header2 3 2 2 3 5 5 3" xfId="37233"/>
    <cellStyle name="Header2 3 2 2 3 5 6" xfId="23518"/>
    <cellStyle name="Header2 3 2 2 3 5 6 2" xfId="21865"/>
    <cellStyle name="Header2 3 2 2 3 5 7" xfId="23029"/>
    <cellStyle name="Header2 3 2 2 3 5 7 2" xfId="21307"/>
    <cellStyle name="Header2 3 2 2 3 5 8" xfId="22403"/>
    <cellStyle name="Header2 3 2 2 3 6" xfId="16221"/>
    <cellStyle name="Header2 3 2 2 3 6 2" xfId="19447"/>
    <cellStyle name="Header2 3 2 2 3 6 2 2" xfId="31264"/>
    <cellStyle name="Header2 3 2 2 3 6 2 2 2" xfId="41263"/>
    <cellStyle name="Header2 3 2 2 3 6 2 3" xfId="26922"/>
    <cellStyle name="Header2 3 2 2 3 6 2 4" xfId="36112"/>
    <cellStyle name="Header2 3 2 2 3 6 3" xfId="20053"/>
    <cellStyle name="Header2 3 2 2 3 6 3 2" xfId="31870"/>
    <cellStyle name="Header2 3 2 2 3 6 3 2 2" xfId="41869"/>
    <cellStyle name="Header2 3 2 2 3 6 3 3" xfId="27528"/>
    <cellStyle name="Header2 3 2 2 3 6 3 4" xfId="36718"/>
    <cellStyle name="Header2 3 2 2 3 6 4" xfId="18065"/>
    <cellStyle name="Header2 3 2 2 3 6 4 2" xfId="29882"/>
    <cellStyle name="Header2 3 2 2 3 6 4 2 2" xfId="39881"/>
    <cellStyle name="Header2 3 2 2 3 6 4 3" xfId="25640"/>
    <cellStyle name="Header2 3 2 2 3 6 4 4" xfId="34730"/>
    <cellStyle name="Header2 3 2 2 3 6 5" xfId="20862"/>
    <cellStyle name="Header2 3 2 2 3 6 5 2" xfId="32679"/>
    <cellStyle name="Header2 3 2 2 3 6 5 2 2" xfId="42678"/>
    <cellStyle name="Header2 3 2 2 3 6 5 3" xfId="37527"/>
    <cellStyle name="Header2 3 2 2 3 6 6" xfId="28038"/>
    <cellStyle name="Header2 3 2 2 3 6 6 2" xfId="38037"/>
    <cellStyle name="Header2 3 2 2 3 6 7" xfId="21495"/>
    <cellStyle name="Header2 3 2 2 3 7" xfId="15935"/>
    <cellStyle name="Header2 3 2 2 3 7 2" xfId="27752"/>
    <cellStyle name="Header2 3 2 2 3 7 2 2" xfId="37751"/>
    <cellStyle name="Header2 3 2 2 3 7 3" xfId="23813"/>
    <cellStyle name="Header2 3 2 2 3 7 4" xfId="32903"/>
    <cellStyle name="Header2 3 2 2 3 8" xfId="16629"/>
    <cellStyle name="Header2 3 2 2 3 8 2" xfId="28446"/>
    <cellStyle name="Header2 3 2 2 3 8 2 2" xfId="38445"/>
    <cellStyle name="Header2 3 2 2 3 8 3" xfId="24204"/>
    <cellStyle name="Header2 3 2 2 3 8 4" xfId="33294"/>
    <cellStyle name="Header2 3 2 2 3 9" xfId="16923"/>
    <cellStyle name="Header2 3 2 2 3 9 2" xfId="28740"/>
    <cellStyle name="Header2 3 2 2 3 9 2 2" xfId="38739"/>
    <cellStyle name="Header2 3 2 2 3 9 3" xfId="24498"/>
    <cellStyle name="Header2 3 2 2 3 9 4" xfId="33588"/>
    <cellStyle name="Header2 3 2 2 4" xfId="7837"/>
    <cellStyle name="Header2 3 2 2 4 10" xfId="17159"/>
    <cellStyle name="Header2 3 2 2 4 10 2" xfId="28976"/>
    <cellStyle name="Header2 3 2 2 4 10 2 2" xfId="38975"/>
    <cellStyle name="Header2 3 2 2 4 10 3" xfId="24734"/>
    <cellStyle name="Header2 3 2 2 4 10 4" xfId="33824"/>
    <cellStyle name="Header2 3 2 2 4 11" xfId="17462"/>
    <cellStyle name="Header2 3 2 2 4 11 2" xfId="29279"/>
    <cellStyle name="Header2 3 2 2 4 11 2 2" xfId="39278"/>
    <cellStyle name="Header2 3 2 2 4 11 3" xfId="25037"/>
    <cellStyle name="Header2 3 2 2 4 11 4" xfId="34127"/>
    <cellStyle name="Header2 3 2 2 4 12" xfId="18473"/>
    <cellStyle name="Header2 3 2 2 4 12 2" xfId="30290"/>
    <cellStyle name="Header2 3 2 2 4 12 2 2" xfId="40289"/>
    <cellStyle name="Header2 3 2 2 4 12 3" xfId="25948"/>
    <cellStyle name="Header2 3 2 2 4 12 4" xfId="35138"/>
    <cellStyle name="Header2 3 2 2 4 13" xfId="18767"/>
    <cellStyle name="Header2 3 2 2 4 13 2" xfId="30584"/>
    <cellStyle name="Header2 3 2 2 4 13 2 2" xfId="40583"/>
    <cellStyle name="Header2 3 2 2 4 13 3" xfId="26242"/>
    <cellStyle name="Header2 3 2 2 4 13 4" xfId="35432"/>
    <cellStyle name="Header2 3 2 2 4 14" xfId="20316"/>
    <cellStyle name="Header2 3 2 2 4 14 2" xfId="32133"/>
    <cellStyle name="Header2 3 2 2 4 14 2 2" xfId="42132"/>
    <cellStyle name="Header2 3 2 2 4 14 3" xfId="36981"/>
    <cellStyle name="Header2 3 2 2 4 15" xfId="23265"/>
    <cellStyle name="Header2 3 2 2 4 15 2" xfId="21186"/>
    <cellStyle name="Header2 3 2 2 4 16" xfId="22659"/>
    <cellStyle name="Header2 3 2 2 4 2" xfId="7838"/>
    <cellStyle name="Header2 3 2 2 4 2 10" xfId="17852"/>
    <cellStyle name="Header2 3 2 2 4 2 10 2" xfId="29669"/>
    <cellStyle name="Header2 3 2 2 4 2 10 2 2" xfId="39668"/>
    <cellStyle name="Header2 3 2 2 4 2 10 3" xfId="25427"/>
    <cellStyle name="Header2 3 2 2 4 2 10 4" xfId="34517"/>
    <cellStyle name="Header2 3 2 2 4 2 11" xfId="18243"/>
    <cellStyle name="Header2 3 2 2 4 2 11 2" xfId="30060"/>
    <cellStyle name="Header2 3 2 2 4 2 11 2 2" xfId="40059"/>
    <cellStyle name="Header2 3 2 2 4 2 11 3" xfId="34908"/>
    <cellStyle name="Header2 3 2 2 4 2 12" xfId="23264"/>
    <cellStyle name="Header2 3 2 2 4 2 12 2" xfId="21187"/>
    <cellStyle name="Header2 3 2 2 4 2 13" xfId="22658"/>
    <cellStyle name="Header2 3 2 2 4 2 2" xfId="15645"/>
    <cellStyle name="Header2 3 2 2 4 2 2 2" xfId="19148"/>
    <cellStyle name="Header2 3 2 2 4 2 2 2 2" xfId="30965"/>
    <cellStyle name="Header2 3 2 2 4 2 2 2 2 2" xfId="40964"/>
    <cellStyle name="Header2 3 2 2 4 2 2 2 3" xfId="26623"/>
    <cellStyle name="Header2 3 2 2 4 2 2 2 4" xfId="35813"/>
    <cellStyle name="Header2 3 2 2 4 2 2 3" xfId="19754"/>
    <cellStyle name="Header2 3 2 2 4 2 2 3 2" xfId="31571"/>
    <cellStyle name="Header2 3 2 2 4 2 2 3 2 2" xfId="41570"/>
    <cellStyle name="Header2 3 2 2 4 2 2 3 3" xfId="27229"/>
    <cellStyle name="Header2 3 2 2 4 2 2 3 4" xfId="36419"/>
    <cellStyle name="Header2 3 2 2 4 2 2 4" xfId="17819"/>
    <cellStyle name="Header2 3 2 2 4 2 2 4 2" xfId="29636"/>
    <cellStyle name="Header2 3 2 2 4 2 2 4 2 2" xfId="39635"/>
    <cellStyle name="Header2 3 2 2 4 2 2 4 3" xfId="25394"/>
    <cellStyle name="Header2 3 2 2 4 2 2 4 4" xfId="34484"/>
    <cellStyle name="Header2 3 2 2 4 2 2 5" xfId="20563"/>
    <cellStyle name="Header2 3 2 2 4 2 2 5 2" xfId="32380"/>
    <cellStyle name="Header2 3 2 2 4 2 2 5 2 2" xfId="42379"/>
    <cellStyle name="Header2 3 2 2 4 2 2 5 3" xfId="37228"/>
    <cellStyle name="Header2 3 2 2 4 2 2 6" xfId="23523"/>
    <cellStyle name="Header2 3 2 2 4 2 2 6 2" xfId="21861"/>
    <cellStyle name="Header2 3 2 2 4 2 2 7" xfId="23025"/>
    <cellStyle name="Header2 3 2 2 4 2 2 7 2" xfId="22088"/>
    <cellStyle name="Header2 3 2 2 4 2 2 8" xfId="22407"/>
    <cellStyle name="Header2 3 2 2 4 2 3" xfId="16226"/>
    <cellStyle name="Header2 3 2 2 4 2 3 2" xfId="18951"/>
    <cellStyle name="Header2 3 2 2 4 2 3 2 2" xfId="30768"/>
    <cellStyle name="Header2 3 2 2 4 2 3 2 2 2" xfId="40767"/>
    <cellStyle name="Header2 3 2 2 4 2 3 2 3" xfId="26426"/>
    <cellStyle name="Header2 3 2 2 4 2 3 2 4" xfId="35616"/>
    <cellStyle name="Header2 3 2 2 4 2 3 3" xfId="19557"/>
    <cellStyle name="Header2 3 2 2 4 2 3 3 2" xfId="31374"/>
    <cellStyle name="Header2 3 2 2 4 2 3 3 2 2" xfId="41373"/>
    <cellStyle name="Header2 3 2 2 4 2 3 3 3" xfId="27032"/>
    <cellStyle name="Header2 3 2 2 4 2 3 3 4" xfId="36222"/>
    <cellStyle name="Header2 3 2 2 4 2 3 4" xfId="17847"/>
    <cellStyle name="Header2 3 2 2 4 2 3 4 2" xfId="29664"/>
    <cellStyle name="Header2 3 2 2 4 2 3 4 2 2" xfId="39663"/>
    <cellStyle name="Header2 3 2 2 4 2 3 4 3" xfId="25422"/>
    <cellStyle name="Header2 3 2 2 4 2 3 4 4" xfId="34512"/>
    <cellStyle name="Header2 3 2 2 4 2 3 5" xfId="20366"/>
    <cellStyle name="Header2 3 2 2 4 2 3 5 2" xfId="32183"/>
    <cellStyle name="Header2 3 2 2 4 2 3 5 2 2" xfId="42182"/>
    <cellStyle name="Header2 3 2 2 4 2 3 5 3" xfId="37031"/>
    <cellStyle name="Header2 3 2 2 4 2 3 6" xfId="28043"/>
    <cellStyle name="Header2 3 2 2 4 2 3 6 2" xfId="38042"/>
    <cellStyle name="Header2 3 2 2 4 2 3 7" xfId="21752"/>
    <cellStyle name="Header2 3 2 2 4 2 4" xfId="16422"/>
    <cellStyle name="Header2 3 2 2 4 2 4 2" xfId="28239"/>
    <cellStyle name="Header2 3 2 2 4 2 4 2 2" xfId="38238"/>
    <cellStyle name="Header2 3 2 2 4 2 4 3" xfId="23997"/>
    <cellStyle name="Header2 3 2 2 4 2 4 4" xfId="33087"/>
    <cellStyle name="Header2 3 2 2 4 2 5" xfId="16624"/>
    <cellStyle name="Header2 3 2 2 4 2 5 2" xfId="28441"/>
    <cellStyle name="Header2 3 2 2 4 2 5 2 2" xfId="38440"/>
    <cellStyle name="Header2 3 2 2 4 2 5 3" xfId="24199"/>
    <cellStyle name="Header2 3 2 2 4 2 5 4" xfId="33289"/>
    <cellStyle name="Header2 3 2 2 4 2 6" xfId="17011"/>
    <cellStyle name="Header2 3 2 2 4 2 6 2" xfId="28828"/>
    <cellStyle name="Header2 3 2 2 4 2 6 2 2" xfId="38827"/>
    <cellStyle name="Header2 3 2 2 4 2 6 3" xfId="24586"/>
    <cellStyle name="Header2 3 2 2 4 2 6 4" xfId="33676"/>
    <cellStyle name="Header2 3 2 2 4 2 7" xfId="17160"/>
    <cellStyle name="Header2 3 2 2 4 2 7 2" xfId="28977"/>
    <cellStyle name="Header2 3 2 2 4 2 7 2 2" xfId="38976"/>
    <cellStyle name="Header2 3 2 2 4 2 7 3" xfId="24735"/>
    <cellStyle name="Header2 3 2 2 4 2 7 4" xfId="33825"/>
    <cellStyle name="Header2 3 2 2 4 2 8" xfId="17463"/>
    <cellStyle name="Header2 3 2 2 4 2 8 2" xfId="29280"/>
    <cellStyle name="Header2 3 2 2 4 2 8 2 2" xfId="39279"/>
    <cellStyle name="Header2 3 2 2 4 2 8 3" xfId="25038"/>
    <cellStyle name="Header2 3 2 2 4 2 8 4" xfId="34128"/>
    <cellStyle name="Header2 3 2 2 4 2 9" xfId="18472"/>
    <cellStyle name="Header2 3 2 2 4 2 9 2" xfId="30289"/>
    <cellStyle name="Header2 3 2 2 4 2 9 2 2" xfId="40288"/>
    <cellStyle name="Header2 3 2 2 4 2 9 3" xfId="25947"/>
    <cellStyle name="Header2 3 2 2 4 2 9 4" xfId="35137"/>
    <cellStyle name="Header2 3 2 2 4 3" xfId="7839"/>
    <cellStyle name="Header2 3 2 2 4 3 10" xfId="18766"/>
    <cellStyle name="Header2 3 2 2 4 3 10 2" xfId="30583"/>
    <cellStyle name="Header2 3 2 2 4 3 10 2 2" xfId="40582"/>
    <cellStyle name="Header2 3 2 2 4 3 10 3" xfId="26241"/>
    <cellStyle name="Header2 3 2 2 4 3 10 4" xfId="35431"/>
    <cellStyle name="Header2 3 2 2 4 3 11" xfId="20216"/>
    <cellStyle name="Header2 3 2 2 4 3 11 2" xfId="32033"/>
    <cellStyle name="Header2 3 2 2 4 3 11 2 2" xfId="42032"/>
    <cellStyle name="Header2 3 2 2 4 3 11 3" xfId="36881"/>
    <cellStyle name="Header2 3 2 2 4 3 12" xfId="23263"/>
    <cellStyle name="Header2 3 2 2 4 3 12 2" xfId="21188"/>
    <cellStyle name="Header2 3 2 2 4 3 13" xfId="22657"/>
    <cellStyle name="Header2 3 2 2 4 3 2" xfId="15646"/>
    <cellStyle name="Header2 3 2 2 4 3 2 2" xfId="19147"/>
    <cellStyle name="Header2 3 2 2 4 3 2 2 2" xfId="30964"/>
    <cellStyle name="Header2 3 2 2 4 3 2 2 2 2" xfId="40963"/>
    <cellStyle name="Header2 3 2 2 4 3 2 2 3" xfId="26622"/>
    <cellStyle name="Header2 3 2 2 4 3 2 2 4" xfId="35812"/>
    <cellStyle name="Header2 3 2 2 4 3 2 3" xfId="19753"/>
    <cellStyle name="Header2 3 2 2 4 3 2 3 2" xfId="31570"/>
    <cellStyle name="Header2 3 2 2 4 3 2 3 2 2" xfId="41569"/>
    <cellStyle name="Header2 3 2 2 4 3 2 3 3" xfId="27228"/>
    <cellStyle name="Header2 3 2 2 4 3 2 3 4" xfId="36418"/>
    <cellStyle name="Header2 3 2 2 4 3 2 4" xfId="18900"/>
    <cellStyle name="Header2 3 2 2 4 3 2 4 2" xfId="30717"/>
    <cellStyle name="Header2 3 2 2 4 3 2 4 2 2" xfId="40716"/>
    <cellStyle name="Header2 3 2 2 4 3 2 4 3" xfId="26375"/>
    <cellStyle name="Header2 3 2 2 4 3 2 4 4" xfId="35565"/>
    <cellStyle name="Header2 3 2 2 4 3 2 5" xfId="20562"/>
    <cellStyle name="Header2 3 2 2 4 3 2 5 2" xfId="32379"/>
    <cellStyle name="Header2 3 2 2 4 3 2 5 2 2" xfId="42378"/>
    <cellStyle name="Header2 3 2 2 4 3 2 5 3" xfId="37227"/>
    <cellStyle name="Header2 3 2 2 4 3 2 6" xfId="23524"/>
    <cellStyle name="Header2 3 2 2 4 3 2 6 2" xfId="21037"/>
    <cellStyle name="Header2 3 2 2 4 3 2 7" xfId="22855"/>
    <cellStyle name="Header2 3 2 2 4 3 2 7 2" xfId="21379"/>
    <cellStyle name="Header2 3 2 2 4 3 2 8" xfId="22408"/>
    <cellStyle name="Header2 3 2 2 4 3 3" xfId="16227"/>
    <cellStyle name="Header2 3 2 2 4 3 3 2" xfId="19442"/>
    <cellStyle name="Header2 3 2 2 4 3 3 2 2" xfId="31259"/>
    <cellStyle name="Header2 3 2 2 4 3 3 2 2 2" xfId="41258"/>
    <cellStyle name="Header2 3 2 2 4 3 3 2 3" xfId="26917"/>
    <cellStyle name="Header2 3 2 2 4 3 3 2 4" xfId="36107"/>
    <cellStyle name="Header2 3 2 2 4 3 3 3" xfId="20048"/>
    <cellStyle name="Header2 3 2 2 4 3 3 3 2" xfId="31865"/>
    <cellStyle name="Header2 3 2 2 4 3 3 3 2 2" xfId="41864"/>
    <cellStyle name="Header2 3 2 2 4 3 3 3 3" xfId="27523"/>
    <cellStyle name="Header2 3 2 2 4 3 3 3 4" xfId="36713"/>
    <cellStyle name="Header2 3 2 2 4 3 3 4" xfId="18068"/>
    <cellStyle name="Header2 3 2 2 4 3 3 4 2" xfId="29885"/>
    <cellStyle name="Header2 3 2 2 4 3 3 4 2 2" xfId="39884"/>
    <cellStyle name="Header2 3 2 2 4 3 3 4 3" xfId="25643"/>
    <cellStyle name="Header2 3 2 2 4 3 3 4 4" xfId="34733"/>
    <cellStyle name="Header2 3 2 2 4 3 3 5" xfId="20857"/>
    <cellStyle name="Header2 3 2 2 4 3 3 5 2" xfId="32674"/>
    <cellStyle name="Header2 3 2 2 4 3 3 5 2 2" xfId="42673"/>
    <cellStyle name="Header2 3 2 2 4 3 3 5 3" xfId="37522"/>
    <cellStyle name="Header2 3 2 2 4 3 3 6" xfId="28044"/>
    <cellStyle name="Header2 3 2 2 4 3 3 6 2" xfId="38043"/>
    <cellStyle name="Header2 3 2 2 4 3 3 7" xfId="21499"/>
    <cellStyle name="Header2 3 2 2 4 3 4" xfId="15940"/>
    <cellStyle name="Header2 3 2 2 4 3 4 2" xfId="27757"/>
    <cellStyle name="Header2 3 2 2 4 3 4 2 2" xfId="37756"/>
    <cellStyle name="Header2 3 2 2 4 3 4 3" xfId="23818"/>
    <cellStyle name="Header2 3 2 2 4 3 4 4" xfId="32908"/>
    <cellStyle name="Header2 3 2 2 4 3 5" xfId="16623"/>
    <cellStyle name="Header2 3 2 2 4 3 5 2" xfId="28440"/>
    <cellStyle name="Header2 3 2 2 4 3 5 2 2" xfId="38439"/>
    <cellStyle name="Header2 3 2 2 4 3 5 3" xfId="24198"/>
    <cellStyle name="Header2 3 2 2 4 3 5 4" xfId="33288"/>
    <cellStyle name="Header2 3 2 2 4 3 6" xfId="16918"/>
    <cellStyle name="Header2 3 2 2 4 3 6 2" xfId="28735"/>
    <cellStyle name="Header2 3 2 2 4 3 6 2 2" xfId="38734"/>
    <cellStyle name="Header2 3 2 2 4 3 6 3" xfId="24493"/>
    <cellStyle name="Header2 3 2 2 4 3 6 4" xfId="33583"/>
    <cellStyle name="Header2 3 2 2 4 3 7" xfId="17161"/>
    <cellStyle name="Header2 3 2 2 4 3 7 2" xfId="28978"/>
    <cellStyle name="Header2 3 2 2 4 3 7 2 2" xfId="38977"/>
    <cellStyle name="Header2 3 2 2 4 3 7 3" xfId="24736"/>
    <cellStyle name="Header2 3 2 2 4 3 7 4" xfId="33826"/>
    <cellStyle name="Header2 3 2 2 4 3 8" xfId="17464"/>
    <cellStyle name="Header2 3 2 2 4 3 8 2" xfId="29281"/>
    <cellStyle name="Header2 3 2 2 4 3 8 2 2" xfId="39280"/>
    <cellStyle name="Header2 3 2 2 4 3 8 3" xfId="25039"/>
    <cellStyle name="Header2 3 2 2 4 3 8 4" xfId="34129"/>
    <cellStyle name="Header2 3 2 2 4 3 9" xfId="18471"/>
    <cellStyle name="Header2 3 2 2 4 3 9 2" xfId="30288"/>
    <cellStyle name="Header2 3 2 2 4 3 9 2 2" xfId="40287"/>
    <cellStyle name="Header2 3 2 2 4 3 9 3" xfId="25946"/>
    <cellStyle name="Header2 3 2 2 4 3 9 4" xfId="35136"/>
    <cellStyle name="Header2 3 2 2 4 4" xfId="7840"/>
    <cellStyle name="Header2 3 2 2 4 4 10" xfId="18765"/>
    <cellStyle name="Header2 3 2 2 4 4 10 2" xfId="30582"/>
    <cellStyle name="Header2 3 2 2 4 4 10 2 2" xfId="40581"/>
    <cellStyle name="Header2 3 2 2 4 4 10 3" xfId="26240"/>
    <cellStyle name="Header2 3 2 2 4 4 10 4" xfId="35430"/>
    <cellStyle name="Header2 3 2 2 4 4 11" xfId="20315"/>
    <cellStyle name="Header2 3 2 2 4 4 11 2" xfId="32132"/>
    <cellStyle name="Header2 3 2 2 4 4 11 2 2" xfId="42131"/>
    <cellStyle name="Header2 3 2 2 4 4 11 3" xfId="36980"/>
    <cellStyle name="Header2 3 2 2 4 4 12" xfId="23262"/>
    <cellStyle name="Header2 3 2 2 4 4 12 2" xfId="21189"/>
    <cellStyle name="Header2 3 2 2 4 4 13" xfId="22656"/>
    <cellStyle name="Header2 3 2 2 4 4 2" xfId="15647"/>
    <cellStyle name="Header2 3 2 2 4 4 2 2" xfId="19146"/>
    <cellStyle name="Header2 3 2 2 4 4 2 2 2" xfId="30963"/>
    <cellStyle name="Header2 3 2 2 4 4 2 2 2 2" xfId="40962"/>
    <cellStyle name="Header2 3 2 2 4 4 2 2 3" xfId="26621"/>
    <cellStyle name="Header2 3 2 2 4 4 2 2 4" xfId="35811"/>
    <cellStyle name="Header2 3 2 2 4 4 2 3" xfId="19752"/>
    <cellStyle name="Header2 3 2 2 4 4 2 3 2" xfId="31569"/>
    <cellStyle name="Header2 3 2 2 4 4 2 3 2 2" xfId="41568"/>
    <cellStyle name="Header2 3 2 2 4 4 2 3 3" xfId="27227"/>
    <cellStyle name="Header2 3 2 2 4 4 2 3 4" xfId="36417"/>
    <cellStyle name="Header2 3 2 2 4 4 2 4" xfId="18147"/>
    <cellStyle name="Header2 3 2 2 4 4 2 4 2" xfId="29964"/>
    <cellStyle name="Header2 3 2 2 4 4 2 4 2 2" xfId="39963"/>
    <cellStyle name="Header2 3 2 2 4 4 2 4 3" xfId="25722"/>
    <cellStyle name="Header2 3 2 2 4 4 2 4 4" xfId="34812"/>
    <cellStyle name="Header2 3 2 2 4 4 2 5" xfId="20561"/>
    <cellStyle name="Header2 3 2 2 4 4 2 5 2" xfId="32378"/>
    <cellStyle name="Header2 3 2 2 4 4 2 5 2 2" xfId="42377"/>
    <cellStyle name="Header2 3 2 2 4 4 2 5 3" xfId="37226"/>
    <cellStyle name="Header2 3 2 2 4 4 2 6" xfId="23525"/>
    <cellStyle name="Header2 3 2 2 4 4 2 6 2" xfId="21860"/>
    <cellStyle name="Header2 3 2 2 4 4 2 7" xfId="23024"/>
    <cellStyle name="Header2 3 2 2 4 4 2 7 2" xfId="22089"/>
    <cellStyle name="Header2 3 2 2 4 4 2 8" xfId="22409"/>
    <cellStyle name="Header2 3 2 2 4 4 3" xfId="16228"/>
    <cellStyle name="Header2 3 2 2 4 4 3 2" xfId="19441"/>
    <cellStyle name="Header2 3 2 2 4 4 3 2 2" xfId="31258"/>
    <cellStyle name="Header2 3 2 2 4 4 3 2 2 2" xfId="41257"/>
    <cellStyle name="Header2 3 2 2 4 4 3 2 3" xfId="26916"/>
    <cellStyle name="Header2 3 2 2 4 4 3 2 4" xfId="36106"/>
    <cellStyle name="Header2 3 2 2 4 4 3 3" xfId="20047"/>
    <cellStyle name="Header2 3 2 2 4 4 3 3 2" xfId="31864"/>
    <cellStyle name="Header2 3 2 2 4 4 3 3 2 2" xfId="41863"/>
    <cellStyle name="Header2 3 2 2 4 4 3 3 3" xfId="27522"/>
    <cellStyle name="Header2 3 2 2 4 4 3 3 4" xfId="36712"/>
    <cellStyle name="Header2 3 2 2 4 4 3 4" xfId="18069"/>
    <cellStyle name="Header2 3 2 2 4 4 3 4 2" xfId="29886"/>
    <cellStyle name="Header2 3 2 2 4 4 3 4 2 2" xfId="39885"/>
    <cellStyle name="Header2 3 2 2 4 4 3 4 3" xfId="25644"/>
    <cellStyle name="Header2 3 2 2 4 4 3 4 4" xfId="34734"/>
    <cellStyle name="Header2 3 2 2 4 4 3 5" xfId="20856"/>
    <cellStyle name="Header2 3 2 2 4 4 3 5 2" xfId="32673"/>
    <cellStyle name="Header2 3 2 2 4 4 3 5 2 2" xfId="42672"/>
    <cellStyle name="Header2 3 2 2 4 4 3 5 3" xfId="37521"/>
    <cellStyle name="Header2 3 2 2 4 4 3 6" xfId="28045"/>
    <cellStyle name="Header2 3 2 2 4 4 3 6 2" xfId="38044"/>
    <cellStyle name="Header2 3 2 2 4 4 3 7" xfId="21500"/>
    <cellStyle name="Header2 3 2 2 4 4 4" xfId="15941"/>
    <cellStyle name="Header2 3 2 2 4 4 4 2" xfId="27758"/>
    <cellStyle name="Header2 3 2 2 4 4 4 2 2" xfId="37757"/>
    <cellStyle name="Header2 3 2 2 4 4 4 3" xfId="23819"/>
    <cellStyle name="Header2 3 2 2 4 4 4 4" xfId="32909"/>
    <cellStyle name="Header2 3 2 2 4 4 5" xfId="16622"/>
    <cellStyle name="Header2 3 2 2 4 4 5 2" xfId="28439"/>
    <cellStyle name="Header2 3 2 2 4 4 5 2 2" xfId="38438"/>
    <cellStyle name="Header2 3 2 2 4 4 5 3" xfId="24197"/>
    <cellStyle name="Header2 3 2 2 4 4 5 4" xfId="33287"/>
    <cellStyle name="Header2 3 2 2 4 4 6" xfId="16917"/>
    <cellStyle name="Header2 3 2 2 4 4 6 2" xfId="28734"/>
    <cellStyle name="Header2 3 2 2 4 4 6 2 2" xfId="38733"/>
    <cellStyle name="Header2 3 2 2 4 4 6 3" xfId="24492"/>
    <cellStyle name="Header2 3 2 2 4 4 6 4" xfId="33582"/>
    <cellStyle name="Header2 3 2 2 4 4 7" xfId="17162"/>
    <cellStyle name="Header2 3 2 2 4 4 7 2" xfId="28979"/>
    <cellStyle name="Header2 3 2 2 4 4 7 2 2" xfId="38978"/>
    <cellStyle name="Header2 3 2 2 4 4 7 3" xfId="24737"/>
    <cellStyle name="Header2 3 2 2 4 4 7 4" xfId="33827"/>
    <cellStyle name="Header2 3 2 2 4 4 8" xfId="17465"/>
    <cellStyle name="Header2 3 2 2 4 4 8 2" xfId="29282"/>
    <cellStyle name="Header2 3 2 2 4 4 8 2 2" xfId="39281"/>
    <cellStyle name="Header2 3 2 2 4 4 8 3" xfId="25040"/>
    <cellStyle name="Header2 3 2 2 4 4 8 4" xfId="34130"/>
    <cellStyle name="Header2 3 2 2 4 4 9" xfId="18470"/>
    <cellStyle name="Header2 3 2 2 4 4 9 2" xfId="30287"/>
    <cellStyle name="Header2 3 2 2 4 4 9 2 2" xfId="40286"/>
    <cellStyle name="Header2 3 2 2 4 4 9 3" xfId="25945"/>
    <cellStyle name="Header2 3 2 2 4 4 9 4" xfId="35135"/>
    <cellStyle name="Header2 3 2 2 4 5" xfId="15644"/>
    <cellStyle name="Header2 3 2 2 4 5 2" xfId="19149"/>
    <cellStyle name="Header2 3 2 2 4 5 2 2" xfId="30966"/>
    <cellStyle name="Header2 3 2 2 4 5 2 2 2" xfId="40965"/>
    <cellStyle name="Header2 3 2 2 4 5 2 3" xfId="26624"/>
    <cellStyle name="Header2 3 2 2 4 5 2 4" xfId="35814"/>
    <cellStyle name="Header2 3 2 2 4 5 3" xfId="19755"/>
    <cellStyle name="Header2 3 2 2 4 5 3 2" xfId="31572"/>
    <cellStyle name="Header2 3 2 2 4 5 3 2 2" xfId="41571"/>
    <cellStyle name="Header2 3 2 2 4 5 3 3" xfId="27230"/>
    <cellStyle name="Header2 3 2 2 4 5 3 4" xfId="36420"/>
    <cellStyle name="Header2 3 2 2 4 5 4" xfId="18899"/>
    <cellStyle name="Header2 3 2 2 4 5 4 2" xfId="30716"/>
    <cellStyle name="Header2 3 2 2 4 5 4 2 2" xfId="40715"/>
    <cellStyle name="Header2 3 2 2 4 5 4 3" xfId="26374"/>
    <cellStyle name="Header2 3 2 2 4 5 4 4" xfId="35564"/>
    <cellStyle name="Header2 3 2 2 4 5 5" xfId="20564"/>
    <cellStyle name="Header2 3 2 2 4 5 5 2" xfId="32381"/>
    <cellStyle name="Header2 3 2 2 4 5 5 2 2" xfId="42380"/>
    <cellStyle name="Header2 3 2 2 4 5 5 3" xfId="37229"/>
    <cellStyle name="Header2 3 2 2 4 5 6" xfId="23522"/>
    <cellStyle name="Header2 3 2 2 4 5 6 2" xfId="21038"/>
    <cellStyle name="Header2 3 2 2 4 5 7" xfId="22856"/>
    <cellStyle name="Header2 3 2 2 4 5 7 2" xfId="21378"/>
    <cellStyle name="Header2 3 2 2 4 5 8" xfId="21631"/>
    <cellStyle name="Header2 3 2 2 4 6" xfId="16225"/>
    <cellStyle name="Header2 3 2 2 4 6 2" xfId="19443"/>
    <cellStyle name="Header2 3 2 2 4 6 2 2" xfId="31260"/>
    <cellStyle name="Header2 3 2 2 4 6 2 2 2" xfId="41259"/>
    <cellStyle name="Header2 3 2 2 4 6 2 3" xfId="26918"/>
    <cellStyle name="Header2 3 2 2 4 6 2 4" xfId="36108"/>
    <cellStyle name="Header2 3 2 2 4 6 3" xfId="20049"/>
    <cellStyle name="Header2 3 2 2 4 6 3 2" xfId="31866"/>
    <cellStyle name="Header2 3 2 2 4 6 3 2 2" xfId="41865"/>
    <cellStyle name="Header2 3 2 2 4 6 3 3" xfId="27524"/>
    <cellStyle name="Header2 3 2 2 4 6 3 4" xfId="36714"/>
    <cellStyle name="Header2 3 2 2 4 6 4" xfId="18067"/>
    <cellStyle name="Header2 3 2 2 4 6 4 2" xfId="29884"/>
    <cellStyle name="Header2 3 2 2 4 6 4 2 2" xfId="39883"/>
    <cellStyle name="Header2 3 2 2 4 6 4 3" xfId="25642"/>
    <cellStyle name="Header2 3 2 2 4 6 4 4" xfId="34732"/>
    <cellStyle name="Header2 3 2 2 4 6 5" xfId="20858"/>
    <cellStyle name="Header2 3 2 2 4 6 5 2" xfId="32675"/>
    <cellStyle name="Header2 3 2 2 4 6 5 2 2" xfId="42674"/>
    <cellStyle name="Header2 3 2 2 4 6 5 3" xfId="37523"/>
    <cellStyle name="Header2 3 2 2 4 6 6" xfId="28042"/>
    <cellStyle name="Header2 3 2 2 4 6 6 2" xfId="38041"/>
    <cellStyle name="Header2 3 2 2 4 6 7" xfId="21498"/>
    <cellStyle name="Header2 3 2 2 4 7" xfId="15939"/>
    <cellStyle name="Header2 3 2 2 4 7 2" xfId="27756"/>
    <cellStyle name="Header2 3 2 2 4 7 2 2" xfId="37755"/>
    <cellStyle name="Header2 3 2 2 4 7 3" xfId="23817"/>
    <cellStyle name="Header2 3 2 2 4 7 4" xfId="32907"/>
    <cellStyle name="Header2 3 2 2 4 8" xfId="16625"/>
    <cellStyle name="Header2 3 2 2 4 8 2" xfId="28442"/>
    <cellStyle name="Header2 3 2 2 4 8 2 2" xfId="38441"/>
    <cellStyle name="Header2 3 2 2 4 8 3" xfId="24200"/>
    <cellStyle name="Header2 3 2 2 4 8 4" xfId="33290"/>
    <cellStyle name="Header2 3 2 2 4 9" xfId="16919"/>
    <cellStyle name="Header2 3 2 2 4 9 2" xfId="28736"/>
    <cellStyle name="Header2 3 2 2 4 9 2 2" xfId="38735"/>
    <cellStyle name="Header2 3 2 2 4 9 3" xfId="24494"/>
    <cellStyle name="Header2 3 2 2 4 9 4" xfId="33584"/>
    <cellStyle name="Header2 3 2 2 5" xfId="7841"/>
    <cellStyle name="Header2 3 2 2 5 10" xfId="18764"/>
    <cellStyle name="Header2 3 2 2 5 10 2" xfId="30581"/>
    <cellStyle name="Header2 3 2 2 5 10 2 2" xfId="40580"/>
    <cellStyle name="Header2 3 2 2 5 10 3" xfId="26239"/>
    <cellStyle name="Header2 3 2 2 5 10 4" xfId="35429"/>
    <cellStyle name="Header2 3 2 2 5 11" xfId="20219"/>
    <cellStyle name="Header2 3 2 2 5 11 2" xfId="32036"/>
    <cellStyle name="Header2 3 2 2 5 11 2 2" xfId="42035"/>
    <cellStyle name="Header2 3 2 2 5 11 3" xfId="36884"/>
    <cellStyle name="Header2 3 2 2 5 12" xfId="23261"/>
    <cellStyle name="Header2 3 2 2 5 12 2" xfId="21190"/>
    <cellStyle name="Header2 3 2 2 5 13" xfId="22655"/>
    <cellStyle name="Header2 3 2 2 5 2" xfId="15648"/>
    <cellStyle name="Header2 3 2 2 5 2 2" xfId="19145"/>
    <cellStyle name="Header2 3 2 2 5 2 2 2" xfId="30962"/>
    <cellStyle name="Header2 3 2 2 5 2 2 2 2" xfId="40961"/>
    <cellStyle name="Header2 3 2 2 5 2 2 3" xfId="26620"/>
    <cellStyle name="Header2 3 2 2 5 2 2 4" xfId="35810"/>
    <cellStyle name="Header2 3 2 2 5 2 3" xfId="19751"/>
    <cellStyle name="Header2 3 2 2 5 2 3 2" xfId="31568"/>
    <cellStyle name="Header2 3 2 2 5 2 3 2 2" xfId="41567"/>
    <cellStyle name="Header2 3 2 2 5 2 3 3" xfId="27226"/>
    <cellStyle name="Header2 3 2 2 5 2 3 4" xfId="36416"/>
    <cellStyle name="Header2 3 2 2 5 2 4" xfId="18148"/>
    <cellStyle name="Header2 3 2 2 5 2 4 2" xfId="29965"/>
    <cellStyle name="Header2 3 2 2 5 2 4 2 2" xfId="39964"/>
    <cellStyle name="Header2 3 2 2 5 2 4 3" xfId="25723"/>
    <cellStyle name="Header2 3 2 2 5 2 4 4" xfId="34813"/>
    <cellStyle name="Header2 3 2 2 5 2 5" xfId="20560"/>
    <cellStyle name="Header2 3 2 2 5 2 5 2" xfId="32377"/>
    <cellStyle name="Header2 3 2 2 5 2 5 2 2" xfId="42376"/>
    <cellStyle name="Header2 3 2 2 5 2 5 3" xfId="37225"/>
    <cellStyle name="Header2 3 2 2 5 2 6" xfId="23526"/>
    <cellStyle name="Header2 3 2 2 5 2 6 2" xfId="21036"/>
    <cellStyle name="Header2 3 2 2 5 2 7" xfId="22854"/>
    <cellStyle name="Header2 3 2 2 5 2 7 2" xfId="22187"/>
    <cellStyle name="Header2 3 2 2 5 2 8" xfId="22410"/>
    <cellStyle name="Header2 3 2 2 5 3" xfId="16229"/>
    <cellStyle name="Header2 3 2 2 5 3 2" xfId="19440"/>
    <cellStyle name="Header2 3 2 2 5 3 2 2" xfId="31257"/>
    <cellStyle name="Header2 3 2 2 5 3 2 2 2" xfId="41256"/>
    <cellStyle name="Header2 3 2 2 5 3 2 3" xfId="26915"/>
    <cellStyle name="Header2 3 2 2 5 3 2 4" xfId="36105"/>
    <cellStyle name="Header2 3 2 2 5 3 3" xfId="20046"/>
    <cellStyle name="Header2 3 2 2 5 3 3 2" xfId="31863"/>
    <cellStyle name="Header2 3 2 2 5 3 3 2 2" xfId="41862"/>
    <cellStyle name="Header2 3 2 2 5 3 3 3" xfId="27521"/>
    <cellStyle name="Header2 3 2 2 5 3 3 4" xfId="36711"/>
    <cellStyle name="Header2 3 2 2 5 3 4" xfId="17769"/>
    <cellStyle name="Header2 3 2 2 5 3 4 2" xfId="29586"/>
    <cellStyle name="Header2 3 2 2 5 3 4 2 2" xfId="39585"/>
    <cellStyle name="Header2 3 2 2 5 3 4 3" xfId="25344"/>
    <cellStyle name="Header2 3 2 2 5 3 4 4" xfId="34434"/>
    <cellStyle name="Header2 3 2 2 5 3 5" xfId="20855"/>
    <cellStyle name="Header2 3 2 2 5 3 5 2" xfId="32672"/>
    <cellStyle name="Header2 3 2 2 5 3 5 2 2" xfId="42671"/>
    <cellStyle name="Header2 3 2 2 5 3 5 3" xfId="37520"/>
    <cellStyle name="Header2 3 2 2 5 3 6" xfId="28046"/>
    <cellStyle name="Header2 3 2 2 5 3 6 2" xfId="38045"/>
    <cellStyle name="Header2 3 2 2 5 3 7" xfId="21501"/>
    <cellStyle name="Header2 3 2 2 5 4" xfId="15942"/>
    <cellStyle name="Header2 3 2 2 5 4 2" xfId="27759"/>
    <cellStyle name="Header2 3 2 2 5 4 2 2" xfId="37758"/>
    <cellStyle name="Header2 3 2 2 5 4 3" xfId="23820"/>
    <cellStyle name="Header2 3 2 2 5 4 4" xfId="32910"/>
    <cellStyle name="Header2 3 2 2 5 5" xfId="16621"/>
    <cellStyle name="Header2 3 2 2 5 5 2" xfId="28438"/>
    <cellStyle name="Header2 3 2 2 5 5 2 2" xfId="38437"/>
    <cellStyle name="Header2 3 2 2 5 5 3" xfId="24196"/>
    <cellStyle name="Header2 3 2 2 5 5 4" xfId="33286"/>
    <cellStyle name="Header2 3 2 2 5 6" xfId="16916"/>
    <cellStyle name="Header2 3 2 2 5 6 2" xfId="28733"/>
    <cellStyle name="Header2 3 2 2 5 6 2 2" xfId="38732"/>
    <cellStyle name="Header2 3 2 2 5 6 3" xfId="24491"/>
    <cellStyle name="Header2 3 2 2 5 6 4" xfId="33581"/>
    <cellStyle name="Header2 3 2 2 5 7" xfId="17163"/>
    <cellStyle name="Header2 3 2 2 5 7 2" xfId="28980"/>
    <cellStyle name="Header2 3 2 2 5 7 2 2" xfId="38979"/>
    <cellStyle name="Header2 3 2 2 5 7 3" xfId="24738"/>
    <cellStyle name="Header2 3 2 2 5 7 4" xfId="33828"/>
    <cellStyle name="Header2 3 2 2 5 8" xfId="17466"/>
    <cellStyle name="Header2 3 2 2 5 8 2" xfId="29283"/>
    <cellStyle name="Header2 3 2 2 5 8 2 2" xfId="39282"/>
    <cellStyle name="Header2 3 2 2 5 8 3" xfId="25041"/>
    <cellStyle name="Header2 3 2 2 5 8 4" xfId="34131"/>
    <cellStyle name="Header2 3 2 2 5 9" xfId="18469"/>
    <cellStyle name="Header2 3 2 2 5 9 2" xfId="30286"/>
    <cellStyle name="Header2 3 2 2 5 9 2 2" xfId="40285"/>
    <cellStyle name="Header2 3 2 2 5 9 3" xfId="25944"/>
    <cellStyle name="Header2 3 2 2 5 9 4" xfId="35134"/>
    <cellStyle name="Header2 3 2 2 6" xfId="15629"/>
    <cellStyle name="Header2 3 2 2 6 2" xfId="19164"/>
    <cellStyle name="Header2 3 2 2 6 2 2" xfId="30981"/>
    <cellStyle name="Header2 3 2 2 6 2 2 2" xfId="40980"/>
    <cellStyle name="Header2 3 2 2 6 2 3" xfId="26639"/>
    <cellStyle name="Header2 3 2 2 6 2 4" xfId="35829"/>
    <cellStyle name="Header2 3 2 2 6 3" xfId="19770"/>
    <cellStyle name="Header2 3 2 2 6 3 2" xfId="31587"/>
    <cellStyle name="Header2 3 2 2 6 3 2 2" xfId="41586"/>
    <cellStyle name="Header2 3 2 2 6 3 3" xfId="27245"/>
    <cellStyle name="Header2 3 2 2 6 3 4" xfId="36435"/>
    <cellStyle name="Header2 3 2 2 6 4" xfId="18891"/>
    <cellStyle name="Header2 3 2 2 6 4 2" xfId="30708"/>
    <cellStyle name="Header2 3 2 2 6 4 2 2" xfId="40707"/>
    <cellStyle name="Header2 3 2 2 6 4 3" xfId="26366"/>
    <cellStyle name="Header2 3 2 2 6 4 4" xfId="35556"/>
    <cellStyle name="Header2 3 2 2 6 5" xfId="20579"/>
    <cellStyle name="Header2 3 2 2 6 5 2" xfId="32396"/>
    <cellStyle name="Header2 3 2 2 6 5 2 2" xfId="42395"/>
    <cellStyle name="Header2 3 2 2 6 5 3" xfId="37244"/>
    <cellStyle name="Header2 3 2 2 6 6" xfId="23507"/>
    <cellStyle name="Header2 3 2 2 6 6 2" xfId="21042"/>
    <cellStyle name="Header2 3 2 2 6 7" xfId="22860"/>
    <cellStyle name="Header2 3 2 2 6 7 2" xfId="22185"/>
    <cellStyle name="Header2 3 2 2 6 8" xfId="22397"/>
    <cellStyle name="Header2 3 2 2 7" xfId="16210"/>
    <cellStyle name="Header2 3 2 2 7 2" xfId="19457"/>
    <cellStyle name="Header2 3 2 2 7 2 2" xfId="31274"/>
    <cellStyle name="Header2 3 2 2 7 2 2 2" xfId="41273"/>
    <cellStyle name="Header2 3 2 2 7 2 3" xfId="26932"/>
    <cellStyle name="Header2 3 2 2 7 2 4" xfId="36122"/>
    <cellStyle name="Header2 3 2 2 7 3" xfId="20063"/>
    <cellStyle name="Header2 3 2 2 7 3 2" xfId="31880"/>
    <cellStyle name="Header2 3 2 2 7 3 2 2" xfId="41879"/>
    <cellStyle name="Header2 3 2 2 7 3 3" xfId="27538"/>
    <cellStyle name="Header2 3 2 2 7 3 4" xfId="36728"/>
    <cellStyle name="Header2 3 2 2 7 4" xfId="18063"/>
    <cellStyle name="Header2 3 2 2 7 4 2" xfId="29880"/>
    <cellStyle name="Header2 3 2 2 7 4 2 2" xfId="39879"/>
    <cellStyle name="Header2 3 2 2 7 4 3" xfId="25638"/>
    <cellStyle name="Header2 3 2 2 7 4 4" xfId="34728"/>
    <cellStyle name="Header2 3 2 2 7 5" xfId="20872"/>
    <cellStyle name="Header2 3 2 2 7 5 2" xfId="32689"/>
    <cellStyle name="Header2 3 2 2 7 5 2 2" xfId="42688"/>
    <cellStyle name="Header2 3 2 2 7 5 3" xfId="37537"/>
    <cellStyle name="Header2 3 2 2 7 6" xfId="28027"/>
    <cellStyle name="Header2 3 2 2 7 6 2" xfId="38026"/>
    <cellStyle name="Header2 3 2 2 7 7" xfId="22238"/>
    <cellStyle name="Header2 3 2 2 8" xfId="15926"/>
    <cellStyle name="Header2 3 2 2 8 2" xfId="27743"/>
    <cellStyle name="Header2 3 2 2 8 2 2" xfId="37742"/>
    <cellStyle name="Header2 3 2 2 8 3" xfId="23804"/>
    <cellStyle name="Header2 3 2 2 8 4" xfId="32894"/>
    <cellStyle name="Header2 3 2 2 9" xfId="16640"/>
    <cellStyle name="Header2 3 2 2 9 2" xfId="28457"/>
    <cellStyle name="Header2 3 2 2 9 2 2" xfId="38456"/>
    <cellStyle name="Header2 3 2 2 9 3" xfId="24215"/>
    <cellStyle name="Header2 3 2 2 9 4" xfId="33305"/>
    <cellStyle name="Header2 3 2 20" xfId="18498"/>
    <cellStyle name="Header2 3 2 20 2" xfId="30315"/>
    <cellStyle name="Header2 3 2 20 2 2" xfId="40314"/>
    <cellStyle name="Header2 3 2 20 3" xfId="25973"/>
    <cellStyle name="Header2 3 2 20 4" xfId="35163"/>
    <cellStyle name="Header2 3 2 21" xfId="18791"/>
    <cellStyle name="Header2 3 2 21 2" xfId="30608"/>
    <cellStyle name="Header2 3 2 21 2 2" xfId="40607"/>
    <cellStyle name="Header2 3 2 21 3" xfId="26266"/>
    <cellStyle name="Header2 3 2 21 4" xfId="35456"/>
    <cellStyle name="Header2 3 2 22" xfId="20363"/>
    <cellStyle name="Header2 3 2 22 2" xfId="32180"/>
    <cellStyle name="Header2 3 2 22 2 2" xfId="42179"/>
    <cellStyle name="Header2 3 2 22 3" xfId="37028"/>
    <cellStyle name="Header2 3 2 23" xfId="23290"/>
    <cellStyle name="Header2 3 2 23 2" xfId="21960"/>
    <cellStyle name="Header2 3 2 24" xfId="22684"/>
    <cellStyle name="Header2 3 2 3" xfId="7842"/>
    <cellStyle name="Header2 3 2 3 10" xfId="17164"/>
    <cellStyle name="Header2 3 2 3 10 2" xfId="28981"/>
    <cellStyle name="Header2 3 2 3 10 2 2" xfId="38980"/>
    <cellStyle name="Header2 3 2 3 10 3" xfId="24739"/>
    <cellStyle name="Header2 3 2 3 10 4" xfId="33829"/>
    <cellStyle name="Header2 3 2 3 11" xfId="17467"/>
    <cellStyle name="Header2 3 2 3 11 2" xfId="29284"/>
    <cellStyle name="Header2 3 2 3 11 2 2" xfId="39283"/>
    <cellStyle name="Header2 3 2 3 11 3" xfId="25042"/>
    <cellStyle name="Header2 3 2 3 11 4" xfId="34132"/>
    <cellStyle name="Header2 3 2 3 12" xfId="18468"/>
    <cellStyle name="Header2 3 2 3 12 2" xfId="30285"/>
    <cellStyle name="Header2 3 2 3 12 2 2" xfId="40284"/>
    <cellStyle name="Header2 3 2 3 12 3" xfId="25943"/>
    <cellStyle name="Header2 3 2 3 12 4" xfId="35133"/>
    <cellStyle name="Header2 3 2 3 13" xfId="18763"/>
    <cellStyle name="Header2 3 2 3 13 2" xfId="30580"/>
    <cellStyle name="Header2 3 2 3 13 2 2" xfId="40579"/>
    <cellStyle name="Header2 3 2 3 13 3" xfId="26238"/>
    <cellStyle name="Header2 3 2 3 13 4" xfId="35428"/>
    <cellStyle name="Header2 3 2 3 14" xfId="20318"/>
    <cellStyle name="Header2 3 2 3 14 2" xfId="32135"/>
    <cellStyle name="Header2 3 2 3 14 2 2" xfId="42134"/>
    <cellStyle name="Header2 3 2 3 14 3" xfId="36983"/>
    <cellStyle name="Header2 3 2 3 15" xfId="23260"/>
    <cellStyle name="Header2 3 2 3 15 2" xfId="21191"/>
    <cellStyle name="Header2 3 2 3 16" xfId="22654"/>
    <cellStyle name="Header2 3 2 3 2" xfId="7843"/>
    <cellStyle name="Header2 3 2 3 2 10" xfId="17165"/>
    <cellStyle name="Header2 3 2 3 2 10 2" xfId="28982"/>
    <cellStyle name="Header2 3 2 3 2 10 2 2" xfId="38981"/>
    <cellStyle name="Header2 3 2 3 2 10 3" xfId="24740"/>
    <cellStyle name="Header2 3 2 3 2 10 4" xfId="33830"/>
    <cellStyle name="Header2 3 2 3 2 11" xfId="17468"/>
    <cellStyle name="Header2 3 2 3 2 11 2" xfId="29285"/>
    <cellStyle name="Header2 3 2 3 2 11 2 2" xfId="39284"/>
    <cellStyle name="Header2 3 2 3 2 11 3" xfId="25043"/>
    <cellStyle name="Header2 3 2 3 2 11 4" xfId="34133"/>
    <cellStyle name="Header2 3 2 3 2 12" xfId="18467"/>
    <cellStyle name="Header2 3 2 3 2 12 2" xfId="30284"/>
    <cellStyle name="Header2 3 2 3 2 12 2 2" xfId="40283"/>
    <cellStyle name="Header2 3 2 3 2 12 3" xfId="25942"/>
    <cellStyle name="Header2 3 2 3 2 12 4" xfId="35132"/>
    <cellStyle name="Header2 3 2 3 2 13" xfId="18762"/>
    <cellStyle name="Header2 3 2 3 2 13 2" xfId="30579"/>
    <cellStyle name="Header2 3 2 3 2 13 2 2" xfId="40578"/>
    <cellStyle name="Header2 3 2 3 2 13 3" xfId="26237"/>
    <cellStyle name="Header2 3 2 3 2 13 4" xfId="35427"/>
    <cellStyle name="Header2 3 2 3 2 14" xfId="18244"/>
    <cellStyle name="Header2 3 2 3 2 14 2" xfId="30061"/>
    <cellStyle name="Header2 3 2 3 2 14 2 2" xfId="40060"/>
    <cellStyle name="Header2 3 2 3 2 14 3" xfId="34909"/>
    <cellStyle name="Header2 3 2 3 2 15" xfId="23259"/>
    <cellStyle name="Header2 3 2 3 2 15 2" xfId="21971"/>
    <cellStyle name="Header2 3 2 3 2 16" xfId="22653"/>
    <cellStyle name="Header2 3 2 3 2 2" xfId="7844"/>
    <cellStyle name="Header2 3 2 3 2 2 10" xfId="18761"/>
    <cellStyle name="Header2 3 2 3 2 2 10 2" xfId="30578"/>
    <cellStyle name="Header2 3 2 3 2 2 10 2 2" xfId="40577"/>
    <cellStyle name="Header2 3 2 3 2 2 10 3" xfId="26236"/>
    <cellStyle name="Header2 3 2 3 2 2 10 4" xfId="35426"/>
    <cellStyle name="Header2 3 2 3 2 2 11" xfId="18245"/>
    <cellStyle name="Header2 3 2 3 2 2 11 2" xfId="30062"/>
    <cellStyle name="Header2 3 2 3 2 2 11 2 2" xfId="40061"/>
    <cellStyle name="Header2 3 2 3 2 2 11 3" xfId="34910"/>
    <cellStyle name="Header2 3 2 3 2 2 12" xfId="23258"/>
    <cellStyle name="Header2 3 2 3 2 2 12 2" xfId="21192"/>
    <cellStyle name="Header2 3 2 3 2 2 13" xfId="22652"/>
    <cellStyle name="Header2 3 2 3 2 2 2" xfId="15651"/>
    <cellStyle name="Header2 3 2 3 2 2 2 2" xfId="19142"/>
    <cellStyle name="Header2 3 2 3 2 2 2 2 2" xfId="30959"/>
    <cellStyle name="Header2 3 2 3 2 2 2 2 2 2" xfId="40958"/>
    <cellStyle name="Header2 3 2 3 2 2 2 2 3" xfId="26617"/>
    <cellStyle name="Header2 3 2 3 2 2 2 2 4" xfId="35807"/>
    <cellStyle name="Header2 3 2 3 2 2 2 3" xfId="19748"/>
    <cellStyle name="Header2 3 2 3 2 2 2 3 2" xfId="31565"/>
    <cellStyle name="Header2 3 2 3 2 2 2 3 2 2" xfId="41564"/>
    <cellStyle name="Header2 3 2 3 2 2 2 3 3" xfId="27223"/>
    <cellStyle name="Header2 3 2 3 2 2 2 3 4" xfId="36413"/>
    <cellStyle name="Header2 3 2 3 2 2 2 4" xfId="18150"/>
    <cellStyle name="Header2 3 2 3 2 2 2 4 2" xfId="29967"/>
    <cellStyle name="Header2 3 2 3 2 2 2 4 2 2" xfId="39966"/>
    <cellStyle name="Header2 3 2 3 2 2 2 4 3" xfId="25725"/>
    <cellStyle name="Header2 3 2 3 2 2 2 4 4" xfId="34815"/>
    <cellStyle name="Header2 3 2 3 2 2 2 5" xfId="20557"/>
    <cellStyle name="Header2 3 2 3 2 2 2 5 2" xfId="32374"/>
    <cellStyle name="Header2 3 2 3 2 2 2 5 2 2" xfId="42373"/>
    <cellStyle name="Header2 3 2 3 2 2 2 5 3" xfId="37222"/>
    <cellStyle name="Header2 3 2 3 2 2 2 6" xfId="23529"/>
    <cellStyle name="Header2 3 2 3 2 2 2 6 2" xfId="21859"/>
    <cellStyle name="Header2 3 2 3 2 2 2 7" xfId="23023"/>
    <cellStyle name="Header2 3 2 3 2 2 2 7 2" xfId="21308"/>
    <cellStyle name="Header2 3 2 3 2 2 2 8" xfId="21633"/>
    <cellStyle name="Header2 3 2 3 2 2 3" xfId="16232"/>
    <cellStyle name="Header2 3 2 3 2 2 3 2" xfId="19437"/>
    <cellStyle name="Header2 3 2 3 2 2 3 2 2" xfId="31254"/>
    <cellStyle name="Header2 3 2 3 2 2 3 2 2 2" xfId="41253"/>
    <cellStyle name="Header2 3 2 3 2 2 3 2 3" xfId="26912"/>
    <cellStyle name="Header2 3 2 3 2 2 3 2 4" xfId="36102"/>
    <cellStyle name="Header2 3 2 3 2 2 3 3" xfId="20043"/>
    <cellStyle name="Header2 3 2 3 2 2 3 3 2" xfId="31860"/>
    <cellStyle name="Header2 3 2 3 2 2 3 3 2 2" xfId="41859"/>
    <cellStyle name="Header2 3 2 3 2 2 3 3 3" xfId="27518"/>
    <cellStyle name="Header2 3 2 3 2 2 3 3 4" xfId="36708"/>
    <cellStyle name="Header2 3 2 3 2 2 3 4" xfId="18071"/>
    <cellStyle name="Header2 3 2 3 2 2 3 4 2" xfId="29888"/>
    <cellStyle name="Header2 3 2 3 2 2 3 4 2 2" xfId="39887"/>
    <cellStyle name="Header2 3 2 3 2 2 3 4 3" xfId="25646"/>
    <cellStyle name="Header2 3 2 3 2 2 3 4 4" xfId="34736"/>
    <cellStyle name="Header2 3 2 3 2 2 3 5" xfId="20852"/>
    <cellStyle name="Header2 3 2 3 2 2 3 5 2" xfId="32669"/>
    <cellStyle name="Header2 3 2 3 2 2 3 5 2 2" xfId="42668"/>
    <cellStyle name="Header2 3 2 3 2 2 3 5 3" xfId="37517"/>
    <cellStyle name="Header2 3 2 3 2 2 3 6" xfId="28049"/>
    <cellStyle name="Header2 3 2 3 2 2 3 6 2" xfId="38048"/>
    <cellStyle name="Header2 3 2 3 2 2 3 7" xfId="21503"/>
    <cellStyle name="Header2 3 2 3 2 2 4" xfId="15945"/>
    <cellStyle name="Header2 3 2 3 2 2 4 2" xfId="27762"/>
    <cellStyle name="Header2 3 2 3 2 2 4 2 2" xfId="37761"/>
    <cellStyle name="Header2 3 2 3 2 2 4 3" xfId="23823"/>
    <cellStyle name="Header2 3 2 3 2 2 4 4" xfId="32913"/>
    <cellStyle name="Header2 3 2 3 2 2 5" xfId="16618"/>
    <cellStyle name="Header2 3 2 3 2 2 5 2" xfId="28435"/>
    <cellStyle name="Header2 3 2 3 2 2 5 2 2" xfId="38434"/>
    <cellStyle name="Header2 3 2 3 2 2 5 3" xfId="24193"/>
    <cellStyle name="Header2 3 2 3 2 2 5 4" xfId="33283"/>
    <cellStyle name="Header2 3 2 3 2 2 6" xfId="16913"/>
    <cellStyle name="Header2 3 2 3 2 2 6 2" xfId="28730"/>
    <cellStyle name="Header2 3 2 3 2 2 6 2 2" xfId="38729"/>
    <cellStyle name="Header2 3 2 3 2 2 6 3" xfId="24488"/>
    <cellStyle name="Header2 3 2 3 2 2 6 4" xfId="33578"/>
    <cellStyle name="Header2 3 2 3 2 2 7" xfId="17166"/>
    <cellStyle name="Header2 3 2 3 2 2 7 2" xfId="28983"/>
    <cellStyle name="Header2 3 2 3 2 2 7 2 2" xfId="38982"/>
    <cellStyle name="Header2 3 2 3 2 2 7 3" xfId="24741"/>
    <cellStyle name="Header2 3 2 3 2 2 7 4" xfId="33831"/>
    <cellStyle name="Header2 3 2 3 2 2 8" xfId="17469"/>
    <cellStyle name="Header2 3 2 3 2 2 8 2" xfId="29286"/>
    <cellStyle name="Header2 3 2 3 2 2 8 2 2" xfId="39285"/>
    <cellStyle name="Header2 3 2 3 2 2 8 3" xfId="25044"/>
    <cellStyle name="Header2 3 2 3 2 2 8 4" xfId="34134"/>
    <cellStyle name="Header2 3 2 3 2 2 9" xfId="18466"/>
    <cellStyle name="Header2 3 2 3 2 2 9 2" xfId="30283"/>
    <cellStyle name="Header2 3 2 3 2 2 9 2 2" xfId="40282"/>
    <cellStyle name="Header2 3 2 3 2 2 9 3" xfId="25941"/>
    <cellStyle name="Header2 3 2 3 2 2 9 4" xfId="35131"/>
    <cellStyle name="Header2 3 2 3 2 3" xfId="7845"/>
    <cellStyle name="Header2 3 2 3 2 3 10" xfId="18760"/>
    <cellStyle name="Header2 3 2 3 2 3 10 2" xfId="30577"/>
    <cellStyle name="Header2 3 2 3 2 3 10 2 2" xfId="40576"/>
    <cellStyle name="Header2 3 2 3 2 3 10 3" xfId="26235"/>
    <cellStyle name="Header2 3 2 3 2 3 10 4" xfId="35425"/>
    <cellStyle name="Header2 3 2 3 2 3 11" xfId="20214"/>
    <cellStyle name="Header2 3 2 3 2 3 11 2" xfId="32031"/>
    <cellStyle name="Header2 3 2 3 2 3 11 2 2" xfId="42030"/>
    <cellStyle name="Header2 3 2 3 2 3 11 3" xfId="36879"/>
    <cellStyle name="Header2 3 2 3 2 3 12" xfId="23257"/>
    <cellStyle name="Header2 3 2 3 2 3 12 2" xfId="21193"/>
    <cellStyle name="Header2 3 2 3 2 3 13" xfId="22651"/>
    <cellStyle name="Header2 3 2 3 2 3 2" xfId="15652"/>
    <cellStyle name="Header2 3 2 3 2 3 2 2" xfId="19141"/>
    <cellStyle name="Header2 3 2 3 2 3 2 2 2" xfId="30958"/>
    <cellStyle name="Header2 3 2 3 2 3 2 2 2 2" xfId="40957"/>
    <cellStyle name="Header2 3 2 3 2 3 2 2 3" xfId="26616"/>
    <cellStyle name="Header2 3 2 3 2 3 2 2 4" xfId="35806"/>
    <cellStyle name="Header2 3 2 3 2 3 2 3" xfId="19747"/>
    <cellStyle name="Header2 3 2 3 2 3 2 3 2" xfId="31564"/>
    <cellStyle name="Header2 3 2 3 2 3 2 3 2 2" xfId="41563"/>
    <cellStyle name="Header2 3 2 3 2 3 2 3 3" xfId="27222"/>
    <cellStyle name="Header2 3 2 3 2 3 2 3 4" xfId="36412"/>
    <cellStyle name="Header2 3 2 3 2 3 2 4" xfId="18151"/>
    <cellStyle name="Header2 3 2 3 2 3 2 4 2" xfId="29968"/>
    <cellStyle name="Header2 3 2 3 2 3 2 4 2 2" xfId="39967"/>
    <cellStyle name="Header2 3 2 3 2 3 2 4 3" xfId="25726"/>
    <cellStyle name="Header2 3 2 3 2 3 2 4 4" xfId="34816"/>
    <cellStyle name="Header2 3 2 3 2 3 2 5" xfId="20556"/>
    <cellStyle name="Header2 3 2 3 2 3 2 5 2" xfId="32373"/>
    <cellStyle name="Header2 3 2 3 2 3 2 5 2 2" xfId="42372"/>
    <cellStyle name="Header2 3 2 3 2 3 2 5 3" xfId="37221"/>
    <cellStyle name="Header2 3 2 3 2 3 2 6" xfId="23530"/>
    <cellStyle name="Header2 3 2 3 2 3 2 6 2" xfId="21858"/>
    <cellStyle name="Header2 3 2 3 2 3 2 7" xfId="23022"/>
    <cellStyle name="Header2 3 2 3 2 3 2 7 2" xfId="22090"/>
    <cellStyle name="Header2 3 2 3 2 3 2 8" xfId="21634"/>
    <cellStyle name="Header2 3 2 3 2 3 3" xfId="16233"/>
    <cellStyle name="Header2 3 2 3 2 3 3 2" xfId="19436"/>
    <cellStyle name="Header2 3 2 3 2 3 3 2 2" xfId="31253"/>
    <cellStyle name="Header2 3 2 3 2 3 3 2 2 2" xfId="41252"/>
    <cellStyle name="Header2 3 2 3 2 3 3 2 3" xfId="26911"/>
    <cellStyle name="Header2 3 2 3 2 3 3 2 4" xfId="36101"/>
    <cellStyle name="Header2 3 2 3 2 3 3 3" xfId="20042"/>
    <cellStyle name="Header2 3 2 3 2 3 3 3 2" xfId="31859"/>
    <cellStyle name="Header2 3 2 3 2 3 3 3 2 2" xfId="41858"/>
    <cellStyle name="Header2 3 2 3 2 3 3 3 3" xfId="27517"/>
    <cellStyle name="Header2 3 2 3 2 3 3 3 4" xfId="36707"/>
    <cellStyle name="Header2 3 2 3 2 3 3 4" xfId="18072"/>
    <cellStyle name="Header2 3 2 3 2 3 3 4 2" xfId="29889"/>
    <cellStyle name="Header2 3 2 3 2 3 3 4 2 2" xfId="39888"/>
    <cellStyle name="Header2 3 2 3 2 3 3 4 3" xfId="25647"/>
    <cellStyle name="Header2 3 2 3 2 3 3 4 4" xfId="34737"/>
    <cellStyle name="Header2 3 2 3 2 3 3 5" xfId="20851"/>
    <cellStyle name="Header2 3 2 3 2 3 3 5 2" xfId="32668"/>
    <cellStyle name="Header2 3 2 3 2 3 3 5 2 2" xfId="42667"/>
    <cellStyle name="Header2 3 2 3 2 3 3 5 3" xfId="37516"/>
    <cellStyle name="Header2 3 2 3 2 3 3 6" xfId="28050"/>
    <cellStyle name="Header2 3 2 3 2 3 3 6 2" xfId="38049"/>
    <cellStyle name="Header2 3 2 3 2 3 3 7" xfId="21504"/>
    <cellStyle name="Header2 3 2 3 2 3 4" xfId="15946"/>
    <cellStyle name="Header2 3 2 3 2 3 4 2" xfId="27763"/>
    <cellStyle name="Header2 3 2 3 2 3 4 2 2" xfId="37762"/>
    <cellStyle name="Header2 3 2 3 2 3 4 3" xfId="23824"/>
    <cellStyle name="Header2 3 2 3 2 3 4 4" xfId="32914"/>
    <cellStyle name="Header2 3 2 3 2 3 5" xfId="16617"/>
    <cellStyle name="Header2 3 2 3 2 3 5 2" xfId="28434"/>
    <cellStyle name="Header2 3 2 3 2 3 5 2 2" xfId="38433"/>
    <cellStyle name="Header2 3 2 3 2 3 5 3" xfId="24192"/>
    <cellStyle name="Header2 3 2 3 2 3 5 4" xfId="33282"/>
    <cellStyle name="Header2 3 2 3 2 3 6" xfId="16912"/>
    <cellStyle name="Header2 3 2 3 2 3 6 2" xfId="28729"/>
    <cellStyle name="Header2 3 2 3 2 3 6 2 2" xfId="38728"/>
    <cellStyle name="Header2 3 2 3 2 3 6 3" xfId="24487"/>
    <cellStyle name="Header2 3 2 3 2 3 6 4" xfId="33577"/>
    <cellStyle name="Header2 3 2 3 2 3 7" xfId="17167"/>
    <cellStyle name="Header2 3 2 3 2 3 7 2" xfId="28984"/>
    <cellStyle name="Header2 3 2 3 2 3 7 2 2" xfId="38983"/>
    <cellStyle name="Header2 3 2 3 2 3 7 3" xfId="24742"/>
    <cellStyle name="Header2 3 2 3 2 3 7 4" xfId="33832"/>
    <cellStyle name="Header2 3 2 3 2 3 8" xfId="17470"/>
    <cellStyle name="Header2 3 2 3 2 3 8 2" xfId="29287"/>
    <cellStyle name="Header2 3 2 3 2 3 8 2 2" xfId="39286"/>
    <cellStyle name="Header2 3 2 3 2 3 8 3" xfId="25045"/>
    <cellStyle name="Header2 3 2 3 2 3 8 4" xfId="34135"/>
    <cellStyle name="Header2 3 2 3 2 3 9" xfId="18465"/>
    <cellStyle name="Header2 3 2 3 2 3 9 2" xfId="30282"/>
    <cellStyle name="Header2 3 2 3 2 3 9 2 2" xfId="40281"/>
    <cellStyle name="Header2 3 2 3 2 3 9 3" xfId="25940"/>
    <cellStyle name="Header2 3 2 3 2 3 9 4" xfId="35130"/>
    <cellStyle name="Header2 3 2 3 2 4" xfId="7846"/>
    <cellStyle name="Header2 3 2 3 2 4 10" xfId="18759"/>
    <cellStyle name="Header2 3 2 3 2 4 10 2" xfId="30576"/>
    <cellStyle name="Header2 3 2 3 2 4 10 2 2" xfId="40575"/>
    <cellStyle name="Header2 3 2 3 2 4 10 3" xfId="26234"/>
    <cellStyle name="Header2 3 2 3 2 4 10 4" xfId="35424"/>
    <cellStyle name="Header2 3 2 3 2 4 11" xfId="20313"/>
    <cellStyle name="Header2 3 2 3 2 4 11 2" xfId="32130"/>
    <cellStyle name="Header2 3 2 3 2 4 11 2 2" xfId="42129"/>
    <cellStyle name="Header2 3 2 3 2 4 11 3" xfId="36978"/>
    <cellStyle name="Header2 3 2 3 2 4 12" xfId="23256"/>
    <cellStyle name="Header2 3 2 3 2 4 12 2" xfId="21194"/>
    <cellStyle name="Header2 3 2 3 2 4 13" xfId="22650"/>
    <cellStyle name="Header2 3 2 3 2 4 2" xfId="15653"/>
    <cellStyle name="Header2 3 2 3 2 4 2 2" xfId="19140"/>
    <cellStyle name="Header2 3 2 3 2 4 2 2 2" xfId="30957"/>
    <cellStyle name="Header2 3 2 3 2 4 2 2 2 2" xfId="40956"/>
    <cellStyle name="Header2 3 2 3 2 4 2 2 3" xfId="26615"/>
    <cellStyle name="Header2 3 2 3 2 4 2 2 4" xfId="35805"/>
    <cellStyle name="Header2 3 2 3 2 4 2 3" xfId="19746"/>
    <cellStyle name="Header2 3 2 3 2 4 2 3 2" xfId="31563"/>
    <cellStyle name="Header2 3 2 3 2 4 2 3 2 2" xfId="41562"/>
    <cellStyle name="Header2 3 2 3 2 4 2 3 3" xfId="27221"/>
    <cellStyle name="Header2 3 2 3 2 4 2 3 4" xfId="36411"/>
    <cellStyle name="Header2 3 2 3 2 4 2 4" xfId="18152"/>
    <cellStyle name="Header2 3 2 3 2 4 2 4 2" xfId="29969"/>
    <cellStyle name="Header2 3 2 3 2 4 2 4 2 2" xfId="39968"/>
    <cellStyle name="Header2 3 2 3 2 4 2 4 3" xfId="25727"/>
    <cellStyle name="Header2 3 2 3 2 4 2 4 4" xfId="34817"/>
    <cellStyle name="Header2 3 2 3 2 4 2 5" xfId="20555"/>
    <cellStyle name="Header2 3 2 3 2 4 2 5 2" xfId="32372"/>
    <cellStyle name="Header2 3 2 3 2 4 2 5 2 2" xfId="42371"/>
    <cellStyle name="Header2 3 2 3 2 4 2 5 3" xfId="37220"/>
    <cellStyle name="Header2 3 2 3 2 4 2 6" xfId="23531"/>
    <cellStyle name="Header2 3 2 3 2 4 2 6 2" xfId="21857"/>
    <cellStyle name="Header2 3 2 3 2 4 2 7" xfId="23021"/>
    <cellStyle name="Header2 3 2 3 2 4 2 7 2" xfId="22091"/>
    <cellStyle name="Header2 3 2 3 2 4 2 8" xfId="22412"/>
    <cellStyle name="Header2 3 2 3 2 4 3" xfId="16234"/>
    <cellStyle name="Header2 3 2 3 2 4 3 2" xfId="19435"/>
    <cellStyle name="Header2 3 2 3 2 4 3 2 2" xfId="31252"/>
    <cellStyle name="Header2 3 2 3 2 4 3 2 2 2" xfId="41251"/>
    <cellStyle name="Header2 3 2 3 2 4 3 2 3" xfId="26910"/>
    <cellStyle name="Header2 3 2 3 2 4 3 2 4" xfId="36100"/>
    <cellStyle name="Header2 3 2 3 2 4 3 3" xfId="20041"/>
    <cellStyle name="Header2 3 2 3 2 4 3 3 2" xfId="31858"/>
    <cellStyle name="Header2 3 2 3 2 4 3 3 2 2" xfId="41857"/>
    <cellStyle name="Header2 3 2 3 2 4 3 3 3" xfId="27516"/>
    <cellStyle name="Header2 3 2 3 2 4 3 3 4" xfId="36706"/>
    <cellStyle name="Header2 3 2 3 2 4 3 4" xfId="18073"/>
    <cellStyle name="Header2 3 2 3 2 4 3 4 2" xfId="29890"/>
    <cellStyle name="Header2 3 2 3 2 4 3 4 2 2" xfId="39889"/>
    <cellStyle name="Header2 3 2 3 2 4 3 4 3" xfId="25648"/>
    <cellStyle name="Header2 3 2 3 2 4 3 4 4" xfId="34738"/>
    <cellStyle name="Header2 3 2 3 2 4 3 5" xfId="20850"/>
    <cellStyle name="Header2 3 2 3 2 4 3 5 2" xfId="32667"/>
    <cellStyle name="Header2 3 2 3 2 4 3 5 2 2" xfId="42666"/>
    <cellStyle name="Header2 3 2 3 2 4 3 5 3" xfId="37515"/>
    <cellStyle name="Header2 3 2 3 2 4 3 6" xfId="28051"/>
    <cellStyle name="Header2 3 2 3 2 4 3 6 2" xfId="38050"/>
    <cellStyle name="Header2 3 2 3 2 4 3 7" xfId="21505"/>
    <cellStyle name="Header2 3 2 3 2 4 4" xfId="15947"/>
    <cellStyle name="Header2 3 2 3 2 4 4 2" xfId="27764"/>
    <cellStyle name="Header2 3 2 3 2 4 4 2 2" xfId="37763"/>
    <cellStyle name="Header2 3 2 3 2 4 4 3" xfId="23825"/>
    <cellStyle name="Header2 3 2 3 2 4 4 4" xfId="32915"/>
    <cellStyle name="Header2 3 2 3 2 4 5" xfId="16616"/>
    <cellStyle name="Header2 3 2 3 2 4 5 2" xfId="28433"/>
    <cellStyle name="Header2 3 2 3 2 4 5 2 2" xfId="38432"/>
    <cellStyle name="Header2 3 2 3 2 4 5 3" xfId="24191"/>
    <cellStyle name="Header2 3 2 3 2 4 5 4" xfId="33281"/>
    <cellStyle name="Header2 3 2 3 2 4 6" xfId="16911"/>
    <cellStyle name="Header2 3 2 3 2 4 6 2" xfId="28728"/>
    <cellStyle name="Header2 3 2 3 2 4 6 2 2" xfId="38727"/>
    <cellStyle name="Header2 3 2 3 2 4 6 3" xfId="24486"/>
    <cellStyle name="Header2 3 2 3 2 4 6 4" xfId="33576"/>
    <cellStyle name="Header2 3 2 3 2 4 7" xfId="17168"/>
    <cellStyle name="Header2 3 2 3 2 4 7 2" xfId="28985"/>
    <cellStyle name="Header2 3 2 3 2 4 7 2 2" xfId="38984"/>
    <cellStyle name="Header2 3 2 3 2 4 7 3" xfId="24743"/>
    <cellStyle name="Header2 3 2 3 2 4 7 4" xfId="33833"/>
    <cellStyle name="Header2 3 2 3 2 4 8" xfId="17471"/>
    <cellStyle name="Header2 3 2 3 2 4 8 2" xfId="29288"/>
    <cellStyle name="Header2 3 2 3 2 4 8 2 2" xfId="39287"/>
    <cellStyle name="Header2 3 2 3 2 4 8 3" xfId="25046"/>
    <cellStyle name="Header2 3 2 3 2 4 8 4" xfId="34136"/>
    <cellStyle name="Header2 3 2 3 2 4 9" xfId="18464"/>
    <cellStyle name="Header2 3 2 3 2 4 9 2" xfId="30281"/>
    <cellStyle name="Header2 3 2 3 2 4 9 2 2" xfId="40280"/>
    <cellStyle name="Header2 3 2 3 2 4 9 3" xfId="25939"/>
    <cellStyle name="Header2 3 2 3 2 4 9 4" xfId="35129"/>
    <cellStyle name="Header2 3 2 3 2 5" xfId="15650"/>
    <cellStyle name="Header2 3 2 3 2 5 2" xfId="19143"/>
    <cellStyle name="Header2 3 2 3 2 5 2 2" xfId="30960"/>
    <cellStyle name="Header2 3 2 3 2 5 2 2 2" xfId="40959"/>
    <cellStyle name="Header2 3 2 3 2 5 2 3" xfId="26618"/>
    <cellStyle name="Header2 3 2 3 2 5 2 4" xfId="35808"/>
    <cellStyle name="Header2 3 2 3 2 5 3" xfId="19749"/>
    <cellStyle name="Header2 3 2 3 2 5 3 2" xfId="31566"/>
    <cellStyle name="Header2 3 2 3 2 5 3 2 2" xfId="41565"/>
    <cellStyle name="Header2 3 2 3 2 5 3 3" xfId="27224"/>
    <cellStyle name="Header2 3 2 3 2 5 3 4" xfId="36414"/>
    <cellStyle name="Header2 3 2 3 2 5 4" xfId="18901"/>
    <cellStyle name="Header2 3 2 3 2 5 4 2" xfId="30718"/>
    <cellStyle name="Header2 3 2 3 2 5 4 2 2" xfId="40717"/>
    <cellStyle name="Header2 3 2 3 2 5 4 3" xfId="26376"/>
    <cellStyle name="Header2 3 2 3 2 5 4 4" xfId="35566"/>
    <cellStyle name="Header2 3 2 3 2 5 5" xfId="20558"/>
    <cellStyle name="Header2 3 2 3 2 5 5 2" xfId="32375"/>
    <cellStyle name="Header2 3 2 3 2 5 5 2 2" xfId="42374"/>
    <cellStyle name="Header2 3 2 3 2 5 5 3" xfId="37223"/>
    <cellStyle name="Header2 3 2 3 2 5 6" xfId="23528"/>
    <cellStyle name="Header2 3 2 3 2 5 6 2" xfId="21034"/>
    <cellStyle name="Header2 3 2 3 2 5 7" xfId="22852"/>
    <cellStyle name="Header2 3 2 3 2 5 7 2" xfId="21381"/>
    <cellStyle name="Header2 3 2 3 2 5 8" xfId="21632"/>
    <cellStyle name="Header2 3 2 3 2 6" xfId="16231"/>
    <cellStyle name="Header2 3 2 3 2 6 2" xfId="19438"/>
    <cellStyle name="Header2 3 2 3 2 6 2 2" xfId="31255"/>
    <cellStyle name="Header2 3 2 3 2 6 2 2 2" xfId="41254"/>
    <cellStyle name="Header2 3 2 3 2 6 2 3" xfId="26913"/>
    <cellStyle name="Header2 3 2 3 2 6 2 4" xfId="36103"/>
    <cellStyle name="Header2 3 2 3 2 6 3" xfId="20044"/>
    <cellStyle name="Header2 3 2 3 2 6 3 2" xfId="31861"/>
    <cellStyle name="Header2 3 2 3 2 6 3 2 2" xfId="41860"/>
    <cellStyle name="Header2 3 2 3 2 6 3 3" xfId="27519"/>
    <cellStyle name="Header2 3 2 3 2 6 3 4" xfId="36709"/>
    <cellStyle name="Header2 3 2 3 2 6 4" xfId="17654"/>
    <cellStyle name="Header2 3 2 3 2 6 4 2" xfId="29471"/>
    <cellStyle name="Header2 3 2 3 2 6 4 2 2" xfId="39470"/>
    <cellStyle name="Header2 3 2 3 2 6 4 3" xfId="25229"/>
    <cellStyle name="Header2 3 2 3 2 6 4 4" xfId="34319"/>
    <cellStyle name="Header2 3 2 3 2 6 5" xfId="20853"/>
    <cellStyle name="Header2 3 2 3 2 6 5 2" xfId="32670"/>
    <cellStyle name="Header2 3 2 3 2 6 5 2 2" xfId="42669"/>
    <cellStyle name="Header2 3 2 3 2 6 5 3" xfId="37518"/>
    <cellStyle name="Header2 3 2 3 2 6 6" xfId="28048"/>
    <cellStyle name="Header2 3 2 3 2 6 6 2" xfId="38047"/>
    <cellStyle name="Header2 3 2 3 2 6 7" xfId="22247"/>
    <cellStyle name="Header2 3 2 3 2 7" xfId="15944"/>
    <cellStyle name="Header2 3 2 3 2 7 2" xfId="27761"/>
    <cellStyle name="Header2 3 2 3 2 7 2 2" xfId="37760"/>
    <cellStyle name="Header2 3 2 3 2 7 3" xfId="23822"/>
    <cellStyle name="Header2 3 2 3 2 7 4" xfId="32912"/>
    <cellStyle name="Header2 3 2 3 2 8" xfId="16619"/>
    <cellStyle name="Header2 3 2 3 2 8 2" xfId="28436"/>
    <cellStyle name="Header2 3 2 3 2 8 2 2" xfId="38435"/>
    <cellStyle name="Header2 3 2 3 2 8 3" xfId="24194"/>
    <cellStyle name="Header2 3 2 3 2 8 4" xfId="33284"/>
    <cellStyle name="Header2 3 2 3 2 9" xfId="16914"/>
    <cellStyle name="Header2 3 2 3 2 9 2" xfId="28731"/>
    <cellStyle name="Header2 3 2 3 2 9 2 2" xfId="38730"/>
    <cellStyle name="Header2 3 2 3 2 9 3" xfId="24489"/>
    <cellStyle name="Header2 3 2 3 2 9 4" xfId="33579"/>
    <cellStyle name="Header2 3 2 3 3" xfId="7847"/>
    <cellStyle name="Header2 3 2 3 3 10" xfId="17169"/>
    <cellStyle name="Header2 3 2 3 3 10 2" xfId="28986"/>
    <cellStyle name="Header2 3 2 3 3 10 2 2" xfId="38985"/>
    <cellStyle name="Header2 3 2 3 3 10 3" xfId="24744"/>
    <cellStyle name="Header2 3 2 3 3 10 4" xfId="33834"/>
    <cellStyle name="Header2 3 2 3 3 11" xfId="17472"/>
    <cellStyle name="Header2 3 2 3 3 11 2" xfId="29289"/>
    <cellStyle name="Header2 3 2 3 3 11 2 2" xfId="39288"/>
    <cellStyle name="Header2 3 2 3 3 11 3" xfId="25047"/>
    <cellStyle name="Header2 3 2 3 3 11 4" xfId="34137"/>
    <cellStyle name="Header2 3 2 3 3 12" xfId="18463"/>
    <cellStyle name="Header2 3 2 3 3 12 2" xfId="30280"/>
    <cellStyle name="Header2 3 2 3 3 12 2 2" xfId="40279"/>
    <cellStyle name="Header2 3 2 3 3 12 3" xfId="25938"/>
    <cellStyle name="Header2 3 2 3 3 12 4" xfId="35128"/>
    <cellStyle name="Header2 3 2 3 3 13" xfId="18758"/>
    <cellStyle name="Header2 3 2 3 3 13 2" xfId="30575"/>
    <cellStyle name="Header2 3 2 3 3 13 2 2" xfId="40574"/>
    <cellStyle name="Header2 3 2 3 3 13 3" xfId="26233"/>
    <cellStyle name="Header2 3 2 3 3 13 4" xfId="35423"/>
    <cellStyle name="Header2 3 2 3 3 14" xfId="18246"/>
    <cellStyle name="Header2 3 2 3 3 14 2" xfId="30063"/>
    <cellStyle name="Header2 3 2 3 3 14 2 2" xfId="40062"/>
    <cellStyle name="Header2 3 2 3 3 14 3" xfId="34911"/>
    <cellStyle name="Header2 3 2 3 3 15" xfId="23255"/>
    <cellStyle name="Header2 3 2 3 3 15 2" xfId="21972"/>
    <cellStyle name="Header2 3 2 3 3 16" xfId="22649"/>
    <cellStyle name="Header2 3 2 3 3 2" xfId="7848"/>
    <cellStyle name="Header2 3 2 3 3 2 10" xfId="18757"/>
    <cellStyle name="Header2 3 2 3 3 2 10 2" xfId="30574"/>
    <cellStyle name="Header2 3 2 3 3 2 10 2 2" xfId="40573"/>
    <cellStyle name="Header2 3 2 3 3 2 10 3" xfId="26232"/>
    <cellStyle name="Header2 3 2 3 3 2 10 4" xfId="35422"/>
    <cellStyle name="Header2 3 2 3 3 2 11" xfId="20213"/>
    <cellStyle name="Header2 3 2 3 3 2 11 2" xfId="32030"/>
    <cellStyle name="Header2 3 2 3 3 2 11 2 2" xfId="42029"/>
    <cellStyle name="Header2 3 2 3 3 2 11 3" xfId="36878"/>
    <cellStyle name="Header2 3 2 3 3 2 12" xfId="23254"/>
    <cellStyle name="Header2 3 2 3 3 2 12 2" xfId="21195"/>
    <cellStyle name="Header2 3 2 3 3 2 13" xfId="22648"/>
    <cellStyle name="Header2 3 2 3 3 2 2" xfId="15655"/>
    <cellStyle name="Header2 3 2 3 3 2 2 2" xfId="19138"/>
    <cellStyle name="Header2 3 2 3 3 2 2 2 2" xfId="30955"/>
    <cellStyle name="Header2 3 2 3 3 2 2 2 2 2" xfId="40954"/>
    <cellStyle name="Header2 3 2 3 3 2 2 2 3" xfId="26613"/>
    <cellStyle name="Header2 3 2 3 3 2 2 2 4" xfId="35803"/>
    <cellStyle name="Header2 3 2 3 3 2 2 3" xfId="19744"/>
    <cellStyle name="Header2 3 2 3 3 2 2 3 2" xfId="31561"/>
    <cellStyle name="Header2 3 2 3 3 2 2 3 2 2" xfId="41560"/>
    <cellStyle name="Header2 3 2 3 3 2 2 3 3" xfId="27219"/>
    <cellStyle name="Header2 3 2 3 3 2 2 3 4" xfId="36409"/>
    <cellStyle name="Header2 3 2 3 3 2 2 4" xfId="17820"/>
    <cellStyle name="Header2 3 2 3 3 2 2 4 2" xfId="29637"/>
    <cellStyle name="Header2 3 2 3 3 2 2 4 2 2" xfId="39636"/>
    <cellStyle name="Header2 3 2 3 3 2 2 4 3" xfId="25395"/>
    <cellStyle name="Header2 3 2 3 3 2 2 4 4" xfId="34485"/>
    <cellStyle name="Header2 3 2 3 3 2 2 5" xfId="20553"/>
    <cellStyle name="Header2 3 2 3 3 2 2 5 2" xfId="32370"/>
    <cellStyle name="Header2 3 2 3 3 2 2 5 2 2" xfId="42369"/>
    <cellStyle name="Header2 3 2 3 3 2 2 5 3" xfId="37218"/>
    <cellStyle name="Header2 3 2 3 3 2 2 6" xfId="23533"/>
    <cellStyle name="Header2 3 2 3 3 2 2 6 2" xfId="21855"/>
    <cellStyle name="Header2 3 2 3 3 2 2 7" xfId="23019"/>
    <cellStyle name="Header2 3 2 3 3 2 2 7 2" xfId="22093"/>
    <cellStyle name="Header2 3 2 3 3 2 2 8" xfId="22413"/>
    <cellStyle name="Header2 3 2 3 3 2 3" xfId="16236"/>
    <cellStyle name="Header2 3 2 3 3 2 3 2" xfId="19433"/>
    <cellStyle name="Header2 3 2 3 3 2 3 2 2" xfId="31250"/>
    <cellStyle name="Header2 3 2 3 3 2 3 2 2 2" xfId="41249"/>
    <cellStyle name="Header2 3 2 3 3 2 3 2 3" xfId="26908"/>
    <cellStyle name="Header2 3 2 3 3 2 3 2 4" xfId="36098"/>
    <cellStyle name="Header2 3 2 3 3 2 3 3" xfId="20039"/>
    <cellStyle name="Header2 3 2 3 3 2 3 3 2" xfId="31856"/>
    <cellStyle name="Header2 3 2 3 3 2 3 3 2 2" xfId="41855"/>
    <cellStyle name="Header2 3 2 3 3 2 3 3 3" xfId="27514"/>
    <cellStyle name="Header2 3 2 3 3 2 3 3 4" xfId="36704"/>
    <cellStyle name="Header2 3 2 3 3 2 3 4" xfId="17770"/>
    <cellStyle name="Header2 3 2 3 3 2 3 4 2" xfId="29587"/>
    <cellStyle name="Header2 3 2 3 3 2 3 4 2 2" xfId="39586"/>
    <cellStyle name="Header2 3 2 3 3 2 3 4 3" xfId="25345"/>
    <cellStyle name="Header2 3 2 3 3 2 3 4 4" xfId="34435"/>
    <cellStyle name="Header2 3 2 3 3 2 3 5" xfId="20848"/>
    <cellStyle name="Header2 3 2 3 3 2 3 5 2" xfId="32665"/>
    <cellStyle name="Header2 3 2 3 3 2 3 5 2 2" xfId="42664"/>
    <cellStyle name="Header2 3 2 3 3 2 3 5 3" xfId="37513"/>
    <cellStyle name="Header2 3 2 3 3 2 3 6" xfId="28053"/>
    <cellStyle name="Header2 3 2 3 3 2 3 6 2" xfId="38052"/>
    <cellStyle name="Header2 3 2 3 3 2 3 7" xfId="21507"/>
    <cellStyle name="Header2 3 2 3 3 2 4" xfId="15949"/>
    <cellStyle name="Header2 3 2 3 3 2 4 2" xfId="27766"/>
    <cellStyle name="Header2 3 2 3 3 2 4 2 2" xfId="37765"/>
    <cellStyle name="Header2 3 2 3 3 2 4 3" xfId="23827"/>
    <cellStyle name="Header2 3 2 3 3 2 4 4" xfId="32917"/>
    <cellStyle name="Header2 3 2 3 3 2 5" xfId="16614"/>
    <cellStyle name="Header2 3 2 3 3 2 5 2" xfId="28431"/>
    <cellStyle name="Header2 3 2 3 3 2 5 2 2" xfId="38430"/>
    <cellStyle name="Header2 3 2 3 3 2 5 3" xfId="24189"/>
    <cellStyle name="Header2 3 2 3 3 2 5 4" xfId="33279"/>
    <cellStyle name="Header2 3 2 3 3 2 6" xfId="16909"/>
    <cellStyle name="Header2 3 2 3 3 2 6 2" xfId="28726"/>
    <cellStyle name="Header2 3 2 3 3 2 6 2 2" xfId="38725"/>
    <cellStyle name="Header2 3 2 3 3 2 6 3" xfId="24484"/>
    <cellStyle name="Header2 3 2 3 3 2 6 4" xfId="33574"/>
    <cellStyle name="Header2 3 2 3 3 2 7" xfId="17170"/>
    <cellStyle name="Header2 3 2 3 3 2 7 2" xfId="28987"/>
    <cellStyle name="Header2 3 2 3 3 2 7 2 2" xfId="38986"/>
    <cellStyle name="Header2 3 2 3 3 2 7 3" xfId="24745"/>
    <cellStyle name="Header2 3 2 3 3 2 7 4" xfId="33835"/>
    <cellStyle name="Header2 3 2 3 3 2 8" xfId="17473"/>
    <cellStyle name="Header2 3 2 3 3 2 8 2" xfId="29290"/>
    <cellStyle name="Header2 3 2 3 3 2 8 2 2" xfId="39289"/>
    <cellStyle name="Header2 3 2 3 3 2 8 3" xfId="25048"/>
    <cellStyle name="Header2 3 2 3 3 2 8 4" xfId="34138"/>
    <cellStyle name="Header2 3 2 3 3 2 9" xfId="18462"/>
    <cellStyle name="Header2 3 2 3 3 2 9 2" xfId="30279"/>
    <cellStyle name="Header2 3 2 3 3 2 9 2 2" xfId="40278"/>
    <cellStyle name="Header2 3 2 3 3 2 9 3" xfId="25937"/>
    <cellStyle name="Header2 3 2 3 3 2 9 4" xfId="35127"/>
    <cellStyle name="Header2 3 2 3 3 3" xfId="7849"/>
    <cellStyle name="Header2 3 2 3 3 3 10" xfId="18756"/>
    <cellStyle name="Header2 3 2 3 3 3 10 2" xfId="30573"/>
    <cellStyle name="Header2 3 2 3 3 3 10 2 2" xfId="40572"/>
    <cellStyle name="Header2 3 2 3 3 3 10 3" xfId="26231"/>
    <cellStyle name="Header2 3 2 3 3 3 10 4" xfId="35421"/>
    <cellStyle name="Header2 3 2 3 3 3 11" xfId="20312"/>
    <cellStyle name="Header2 3 2 3 3 3 11 2" xfId="32129"/>
    <cellStyle name="Header2 3 2 3 3 3 11 2 2" xfId="42128"/>
    <cellStyle name="Header2 3 2 3 3 3 11 3" xfId="36977"/>
    <cellStyle name="Header2 3 2 3 3 3 12" xfId="23253"/>
    <cellStyle name="Header2 3 2 3 3 3 12 2" xfId="21196"/>
    <cellStyle name="Header2 3 2 3 3 3 13" xfId="22647"/>
    <cellStyle name="Header2 3 2 3 3 3 2" xfId="15656"/>
    <cellStyle name="Header2 3 2 3 3 3 2 2" xfId="19137"/>
    <cellStyle name="Header2 3 2 3 3 3 2 2 2" xfId="30954"/>
    <cellStyle name="Header2 3 2 3 3 3 2 2 2 2" xfId="40953"/>
    <cellStyle name="Header2 3 2 3 3 3 2 2 3" xfId="26612"/>
    <cellStyle name="Header2 3 2 3 3 3 2 2 4" xfId="35802"/>
    <cellStyle name="Header2 3 2 3 3 3 2 3" xfId="19743"/>
    <cellStyle name="Header2 3 2 3 3 3 2 3 2" xfId="31560"/>
    <cellStyle name="Header2 3 2 3 3 3 2 3 2 2" xfId="41559"/>
    <cellStyle name="Header2 3 2 3 3 3 2 3 3" xfId="27218"/>
    <cellStyle name="Header2 3 2 3 3 3 2 3 4" xfId="36408"/>
    <cellStyle name="Header2 3 2 3 3 3 2 4" xfId="17974"/>
    <cellStyle name="Header2 3 2 3 3 3 2 4 2" xfId="29791"/>
    <cellStyle name="Header2 3 2 3 3 3 2 4 2 2" xfId="39790"/>
    <cellStyle name="Header2 3 2 3 3 3 2 4 3" xfId="25549"/>
    <cellStyle name="Header2 3 2 3 3 3 2 4 4" xfId="34639"/>
    <cellStyle name="Header2 3 2 3 3 3 2 5" xfId="20552"/>
    <cellStyle name="Header2 3 2 3 3 3 2 5 2" xfId="32369"/>
    <cellStyle name="Header2 3 2 3 3 3 2 5 2 2" xfId="42368"/>
    <cellStyle name="Header2 3 2 3 3 3 2 5 3" xfId="37217"/>
    <cellStyle name="Header2 3 2 3 3 3 2 6" xfId="23534"/>
    <cellStyle name="Header2 3 2 3 3 3 2 6 2" xfId="21033"/>
    <cellStyle name="Header2 3 2 3 3 3 2 7" xfId="22851"/>
    <cellStyle name="Header2 3 2 3 3 3 2 7 2" xfId="21382"/>
    <cellStyle name="Header2 3 2 3 3 3 2 8" xfId="21636"/>
    <cellStyle name="Header2 3 2 3 3 3 3" xfId="16237"/>
    <cellStyle name="Header2 3 2 3 3 3 3 2" xfId="19432"/>
    <cellStyle name="Header2 3 2 3 3 3 3 2 2" xfId="31249"/>
    <cellStyle name="Header2 3 2 3 3 3 3 2 2 2" xfId="41248"/>
    <cellStyle name="Header2 3 2 3 3 3 3 2 3" xfId="26907"/>
    <cellStyle name="Header2 3 2 3 3 3 3 2 4" xfId="36097"/>
    <cellStyle name="Header2 3 2 3 3 3 3 3" xfId="20038"/>
    <cellStyle name="Header2 3 2 3 3 3 3 3 2" xfId="31855"/>
    <cellStyle name="Header2 3 2 3 3 3 3 3 2 2" xfId="41854"/>
    <cellStyle name="Header2 3 2 3 3 3 3 3 3" xfId="27513"/>
    <cellStyle name="Header2 3 2 3 3 3 3 3 4" xfId="36703"/>
    <cellStyle name="Header2 3 2 3 3 3 3 4" xfId="17655"/>
    <cellStyle name="Header2 3 2 3 3 3 3 4 2" xfId="29472"/>
    <cellStyle name="Header2 3 2 3 3 3 3 4 2 2" xfId="39471"/>
    <cellStyle name="Header2 3 2 3 3 3 3 4 3" xfId="25230"/>
    <cellStyle name="Header2 3 2 3 3 3 3 4 4" xfId="34320"/>
    <cellStyle name="Header2 3 2 3 3 3 3 5" xfId="20847"/>
    <cellStyle name="Header2 3 2 3 3 3 3 5 2" xfId="32664"/>
    <cellStyle name="Header2 3 2 3 3 3 3 5 2 2" xfId="42663"/>
    <cellStyle name="Header2 3 2 3 3 3 3 5 3" xfId="37512"/>
    <cellStyle name="Header2 3 2 3 3 3 3 6" xfId="28054"/>
    <cellStyle name="Header2 3 2 3 3 3 3 6 2" xfId="38053"/>
    <cellStyle name="Header2 3 2 3 3 3 3 7" xfId="21508"/>
    <cellStyle name="Header2 3 2 3 3 3 4" xfId="15950"/>
    <cellStyle name="Header2 3 2 3 3 3 4 2" xfId="27767"/>
    <cellStyle name="Header2 3 2 3 3 3 4 2 2" xfId="37766"/>
    <cellStyle name="Header2 3 2 3 3 3 4 3" xfId="23828"/>
    <cellStyle name="Header2 3 2 3 3 3 4 4" xfId="32918"/>
    <cellStyle name="Header2 3 2 3 3 3 5" xfId="16613"/>
    <cellStyle name="Header2 3 2 3 3 3 5 2" xfId="28430"/>
    <cellStyle name="Header2 3 2 3 3 3 5 2 2" xfId="38429"/>
    <cellStyle name="Header2 3 2 3 3 3 5 3" xfId="24188"/>
    <cellStyle name="Header2 3 2 3 3 3 5 4" xfId="33278"/>
    <cellStyle name="Header2 3 2 3 3 3 6" xfId="16908"/>
    <cellStyle name="Header2 3 2 3 3 3 6 2" xfId="28725"/>
    <cellStyle name="Header2 3 2 3 3 3 6 2 2" xfId="38724"/>
    <cellStyle name="Header2 3 2 3 3 3 6 3" xfId="24483"/>
    <cellStyle name="Header2 3 2 3 3 3 6 4" xfId="33573"/>
    <cellStyle name="Header2 3 2 3 3 3 7" xfId="17171"/>
    <cellStyle name="Header2 3 2 3 3 3 7 2" xfId="28988"/>
    <cellStyle name="Header2 3 2 3 3 3 7 2 2" xfId="38987"/>
    <cellStyle name="Header2 3 2 3 3 3 7 3" xfId="24746"/>
    <cellStyle name="Header2 3 2 3 3 3 7 4" xfId="33836"/>
    <cellStyle name="Header2 3 2 3 3 3 8" xfId="17474"/>
    <cellStyle name="Header2 3 2 3 3 3 8 2" xfId="29291"/>
    <cellStyle name="Header2 3 2 3 3 3 8 2 2" xfId="39290"/>
    <cellStyle name="Header2 3 2 3 3 3 8 3" xfId="25049"/>
    <cellStyle name="Header2 3 2 3 3 3 8 4" xfId="34139"/>
    <cellStyle name="Header2 3 2 3 3 3 9" xfId="18461"/>
    <cellStyle name="Header2 3 2 3 3 3 9 2" xfId="30278"/>
    <cellStyle name="Header2 3 2 3 3 3 9 2 2" xfId="40277"/>
    <cellStyle name="Header2 3 2 3 3 3 9 3" xfId="25936"/>
    <cellStyle name="Header2 3 2 3 3 3 9 4" xfId="35126"/>
    <cellStyle name="Header2 3 2 3 3 4" xfId="7850"/>
    <cellStyle name="Header2 3 2 3 3 4 10" xfId="18755"/>
    <cellStyle name="Header2 3 2 3 3 4 10 2" xfId="30572"/>
    <cellStyle name="Header2 3 2 3 3 4 10 2 2" xfId="40571"/>
    <cellStyle name="Header2 3 2 3 3 4 10 3" xfId="26230"/>
    <cellStyle name="Header2 3 2 3 3 4 10 4" xfId="35420"/>
    <cellStyle name="Header2 3 2 3 3 4 11" xfId="18247"/>
    <cellStyle name="Header2 3 2 3 3 4 11 2" xfId="30064"/>
    <cellStyle name="Header2 3 2 3 3 4 11 2 2" xfId="40063"/>
    <cellStyle name="Header2 3 2 3 3 4 11 3" xfId="34912"/>
    <cellStyle name="Header2 3 2 3 3 4 12" xfId="23252"/>
    <cellStyle name="Header2 3 2 3 3 4 12 2" xfId="21197"/>
    <cellStyle name="Header2 3 2 3 3 4 13" xfId="22646"/>
    <cellStyle name="Header2 3 2 3 3 4 2" xfId="15657"/>
    <cellStyle name="Header2 3 2 3 3 4 2 2" xfId="19136"/>
    <cellStyle name="Header2 3 2 3 3 4 2 2 2" xfId="30953"/>
    <cellStyle name="Header2 3 2 3 3 4 2 2 2 2" xfId="40952"/>
    <cellStyle name="Header2 3 2 3 3 4 2 2 3" xfId="26611"/>
    <cellStyle name="Header2 3 2 3 3 4 2 2 4" xfId="35801"/>
    <cellStyle name="Header2 3 2 3 3 4 2 3" xfId="19742"/>
    <cellStyle name="Header2 3 2 3 3 4 2 3 2" xfId="31559"/>
    <cellStyle name="Header2 3 2 3 3 4 2 3 2 2" xfId="41558"/>
    <cellStyle name="Header2 3 2 3 3 4 2 3 3" xfId="27217"/>
    <cellStyle name="Header2 3 2 3 3 4 2 3 4" xfId="36407"/>
    <cellStyle name="Header2 3 2 3 3 4 2 4" xfId="18902"/>
    <cellStyle name="Header2 3 2 3 3 4 2 4 2" xfId="30719"/>
    <cellStyle name="Header2 3 2 3 3 4 2 4 2 2" xfId="40718"/>
    <cellStyle name="Header2 3 2 3 3 4 2 4 3" xfId="26377"/>
    <cellStyle name="Header2 3 2 3 3 4 2 4 4" xfId="35567"/>
    <cellStyle name="Header2 3 2 3 3 4 2 5" xfId="20551"/>
    <cellStyle name="Header2 3 2 3 3 4 2 5 2" xfId="32368"/>
    <cellStyle name="Header2 3 2 3 3 4 2 5 2 2" xfId="42367"/>
    <cellStyle name="Header2 3 2 3 3 4 2 5 3" xfId="37216"/>
    <cellStyle name="Header2 3 2 3 3 4 2 6" xfId="23535"/>
    <cellStyle name="Header2 3 2 3 3 4 2 6 2" xfId="21854"/>
    <cellStyle name="Header2 3 2 3 3 4 2 7" xfId="23018"/>
    <cellStyle name="Header2 3 2 3 3 4 2 7 2" xfId="22094"/>
    <cellStyle name="Header2 3 2 3 3 4 2 8" xfId="22414"/>
    <cellStyle name="Header2 3 2 3 3 4 3" xfId="16238"/>
    <cellStyle name="Header2 3 2 3 3 4 3 2" xfId="19431"/>
    <cellStyle name="Header2 3 2 3 3 4 3 2 2" xfId="31248"/>
    <cellStyle name="Header2 3 2 3 3 4 3 2 2 2" xfId="41247"/>
    <cellStyle name="Header2 3 2 3 3 4 3 2 3" xfId="26906"/>
    <cellStyle name="Header2 3 2 3 3 4 3 2 4" xfId="36096"/>
    <cellStyle name="Header2 3 2 3 3 4 3 3" xfId="20037"/>
    <cellStyle name="Header2 3 2 3 3 4 3 3 2" xfId="31854"/>
    <cellStyle name="Header2 3 2 3 3 4 3 3 2 2" xfId="41853"/>
    <cellStyle name="Header2 3 2 3 3 4 3 3 3" xfId="27512"/>
    <cellStyle name="Header2 3 2 3 3 4 3 3 4" xfId="36702"/>
    <cellStyle name="Header2 3 2 3 3 4 3 4" xfId="17656"/>
    <cellStyle name="Header2 3 2 3 3 4 3 4 2" xfId="29473"/>
    <cellStyle name="Header2 3 2 3 3 4 3 4 2 2" xfId="39472"/>
    <cellStyle name="Header2 3 2 3 3 4 3 4 3" xfId="25231"/>
    <cellStyle name="Header2 3 2 3 3 4 3 4 4" xfId="34321"/>
    <cellStyle name="Header2 3 2 3 3 4 3 5" xfId="20846"/>
    <cellStyle name="Header2 3 2 3 3 4 3 5 2" xfId="32663"/>
    <cellStyle name="Header2 3 2 3 3 4 3 5 2 2" xfId="42662"/>
    <cellStyle name="Header2 3 2 3 3 4 3 5 3" xfId="37511"/>
    <cellStyle name="Header2 3 2 3 3 4 3 6" xfId="28055"/>
    <cellStyle name="Header2 3 2 3 3 4 3 6 2" xfId="38054"/>
    <cellStyle name="Header2 3 2 3 3 4 3 7" xfId="21509"/>
    <cellStyle name="Header2 3 2 3 3 4 4" xfId="15854"/>
    <cellStyle name="Header2 3 2 3 3 4 4 2" xfId="27671"/>
    <cellStyle name="Header2 3 2 3 3 4 4 2 2" xfId="37670"/>
    <cellStyle name="Header2 3 2 3 3 4 4 3" xfId="23732"/>
    <cellStyle name="Header2 3 2 3 3 4 4 4" xfId="32822"/>
    <cellStyle name="Header2 3 2 3 3 4 5" xfId="16612"/>
    <cellStyle name="Header2 3 2 3 3 4 5 2" xfId="28429"/>
    <cellStyle name="Header2 3 2 3 3 4 5 2 2" xfId="38428"/>
    <cellStyle name="Header2 3 2 3 3 4 5 3" xfId="24187"/>
    <cellStyle name="Header2 3 2 3 3 4 5 4" xfId="33277"/>
    <cellStyle name="Header2 3 2 3 3 4 6" xfId="16907"/>
    <cellStyle name="Header2 3 2 3 3 4 6 2" xfId="28724"/>
    <cellStyle name="Header2 3 2 3 3 4 6 2 2" xfId="38723"/>
    <cellStyle name="Header2 3 2 3 3 4 6 3" xfId="24482"/>
    <cellStyle name="Header2 3 2 3 3 4 6 4" xfId="33572"/>
    <cellStyle name="Header2 3 2 3 3 4 7" xfId="17172"/>
    <cellStyle name="Header2 3 2 3 3 4 7 2" xfId="28989"/>
    <cellStyle name="Header2 3 2 3 3 4 7 2 2" xfId="38988"/>
    <cellStyle name="Header2 3 2 3 3 4 7 3" xfId="24747"/>
    <cellStyle name="Header2 3 2 3 3 4 7 4" xfId="33837"/>
    <cellStyle name="Header2 3 2 3 3 4 8" xfId="17475"/>
    <cellStyle name="Header2 3 2 3 3 4 8 2" xfId="29292"/>
    <cellStyle name="Header2 3 2 3 3 4 8 2 2" xfId="39291"/>
    <cellStyle name="Header2 3 2 3 3 4 8 3" xfId="25050"/>
    <cellStyle name="Header2 3 2 3 3 4 8 4" xfId="34140"/>
    <cellStyle name="Header2 3 2 3 3 4 9" xfId="18460"/>
    <cellStyle name="Header2 3 2 3 3 4 9 2" xfId="30277"/>
    <cellStyle name="Header2 3 2 3 3 4 9 2 2" xfId="40276"/>
    <cellStyle name="Header2 3 2 3 3 4 9 3" xfId="25935"/>
    <cellStyle name="Header2 3 2 3 3 4 9 4" xfId="35125"/>
    <cellStyle name="Header2 3 2 3 3 5" xfId="15654"/>
    <cellStyle name="Header2 3 2 3 3 5 2" xfId="19139"/>
    <cellStyle name="Header2 3 2 3 3 5 2 2" xfId="30956"/>
    <cellStyle name="Header2 3 2 3 3 5 2 2 2" xfId="40955"/>
    <cellStyle name="Header2 3 2 3 3 5 2 3" xfId="26614"/>
    <cellStyle name="Header2 3 2 3 3 5 2 4" xfId="35804"/>
    <cellStyle name="Header2 3 2 3 3 5 3" xfId="19745"/>
    <cellStyle name="Header2 3 2 3 3 5 3 2" xfId="31562"/>
    <cellStyle name="Header2 3 2 3 3 5 3 2 2" xfId="41561"/>
    <cellStyle name="Header2 3 2 3 3 5 3 3" xfId="27220"/>
    <cellStyle name="Header2 3 2 3 3 5 3 4" xfId="36410"/>
    <cellStyle name="Header2 3 2 3 3 5 4" xfId="18916"/>
    <cellStyle name="Header2 3 2 3 3 5 4 2" xfId="30733"/>
    <cellStyle name="Header2 3 2 3 3 5 4 2 2" xfId="40732"/>
    <cellStyle name="Header2 3 2 3 3 5 4 3" xfId="26391"/>
    <cellStyle name="Header2 3 2 3 3 5 4 4" xfId="35581"/>
    <cellStyle name="Header2 3 2 3 3 5 5" xfId="20554"/>
    <cellStyle name="Header2 3 2 3 3 5 5 2" xfId="32371"/>
    <cellStyle name="Header2 3 2 3 3 5 5 2 2" xfId="42370"/>
    <cellStyle name="Header2 3 2 3 3 5 5 3" xfId="37219"/>
    <cellStyle name="Header2 3 2 3 3 5 6" xfId="23532"/>
    <cellStyle name="Header2 3 2 3 3 5 6 2" xfId="21856"/>
    <cellStyle name="Header2 3 2 3 3 5 7" xfId="23020"/>
    <cellStyle name="Header2 3 2 3 3 5 7 2" xfId="22092"/>
    <cellStyle name="Header2 3 2 3 3 5 8" xfId="21635"/>
    <cellStyle name="Header2 3 2 3 3 6" xfId="16235"/>
    <cellStyle name="Header2 3 2 3 3 6 2" xfId="19434"/>
    <cellStyle name="Header2 3 2 3 3 6 2 2" xfId="31251"/>
    <cellStyle name="Header2 3 2 3 3 6 2 2 2" xfId="41250"/>
    <cellStyle name="Header2 3 2 3 3 6 2 3" xfId="26909"/>
    <cellStyle name="Header2 3 2 3 3 6 2 4" xfId="36099"/>
    <cellStyle name="Header2 3 2 3 3 6 3" xfId="20040"/>
    <cellStyle name="Header2 3 2 3 3 6 3 2" xfId="31857"/>
    <cellStyle name="Header2 3 2 3 3 6 3 2 2" xfId="41856"/>
    <cellStyle name="Header2 3 2 3 3 6 3 3" xfId="27515"/>
    <cellStyle name="Header2 3 2 3 3 6 3 4" xfId="36705"/>
    <cellStyle name="Header2 3 2 3 3 6 4" xfId="18074"/>
    <cellStyle name="Header2 3 2 3 3 6 4 2" xfId="29891"/>
    <cellStyle name="Header2 3 2 3 3 6 4 2 2" xfId="39890"/>
    <cellStyle name="Header2 3 2 3 3 6 4 3" xfId="25649"/>
    <cellStyle name="Header2 3 2 3 3 6 4 4" xfId="34739"/>
    <cellStyle name="Header2 3 2 3 3 6 5" xfId="20849"/>
    <cellStyle name="Header2 3 2 3 3 6 5 2" xfId="32666"/>
    <cellStyle name="Header2 3 2 3 3 6 5 2 2" xfId="42665"/>
    <cellStyle name="Header2 3 2 3 3 6 5 3" xfId="37514"/>
    <cellStyle name="Header2 3 2 3 3 6 6" xfId="28052"/>
    <cellStyle name="Header2 3 2 3 3 6 6 2" xfId="38051"/>
    <cellStyle name="Header2 3 2 3 3 6 7" xfId="21506"/>
    <cellStyle name="Header2 3 2 3 3 7" xfId="15948"/>
    <cellStyle name="Header2 3 2 3 3 7 2" xfId="27765"/>
    <cellStyle name="Header2 3 2 3 3 7 2 2" xfId="37764"/>
    <cellStyle name="Header2 3 2 3 3 7 3" xfId="23826"/>
    <cellStyle name="Header2 3 2 3 3 7 4" xfId="32916"/>
    <cellStyle name="Header2 3 2 3 3 8" xfId="16615"/>
    <cellStyle name="Header2 3 2 3 3 8 2" xfId="28432"/>
    <cellStyle name="Header2 3 2 3 3 8 2 2" xfId="38431"/>
    <cellStyle name="Header2 3 2 3 3 8 3" xfId="24190"/>
    <cellStyle name="Header2 3 2 3 3 8 4" xfId="33280"/>
    <cellStyle name="Header2 3 2 3 3 9" xfId="16910"/>
    <cellStyle name="Header2 3 2 3 3 9 2" xfId="28727"/>
    <cellStyle name="Header2 3 2 3 3 9 2 2" xfId="38726"/>
    <cellStyle name="Header2 3 2 3 3 9 3" xfId="24485"/>
    <cellStyle name="Header2 3 2 3 3 9 4" xfId="33575"/>
    <cellStyle name="Header2 3 2 3 4" xfId="7851"/>
    <cellStyle name="Header2 3 2 3 4 10" xfId="18754"/>
    <cellStyle name="Header2 3 2 3 4 10 2" xfId="30571"/>
    <cellStyle name="Header2 3 2 3 4 10 2 2" xfId="40570"/>
    <cellStyle name="Header2 3 2 3 4 10 3" xfId="26229"/>
    <cellStyle name="Header2 3 2 3 4 10 4" xfId="35419"/>
    <cellStyle name="Header2 3 2 3 4 11" xfId="20212"/>
    <cellStyle name="Header2 3 2 3 4 11 2" xfId="32029"/>
    <cellStyle name="Header2 3 2 3 4 11 2 2" xfId="42028"/>
    <cellStyle name="Header2 3 2 3 4 11 3" xfId="36877"/>
    <cellStyle name="Header2 3 2 3 4 12" xfId="23251"/>
    <cellStyle name="Header2 3 2 3 4 12 2" xfId="21973"/>
    <cellStyle name="Header2 3 2 3 4 13" xfId="22645"/>
    <cellStyle name="Header2 3 2 3 4 2" xfId="15658"/>
    <cellStyle name="Header2 3 2 3 4 2 2" xfId="19135"/>
    <cellStyle name="Header2 3 2 3 4 2 2 2" xfId="30952"/>
    <cellStyle name="Header2 3 2 3 4 2 2 2 2" xfId="40951"/>
    <cellStyle name="Header2 3 2 3 4 2 2 3" xfId="26610"/>
    <cellStyle name="Header2 3 2 3 4 2 2 4" xfId="35800"/>
    <cellStyle name="Header2 3 2 3 4 2 3" xfId="19741"/>
    <cellStyle name="Header2 3 2 3 4 2 3 2" xfId="31558"/>
    <cellStyle name="Header2 3 2 3 4 2 3 2 2" xfId="41557"/>
    <cellStyle name="Header2 3 2 3 4 2 3 3" xfId="27216"/>
    <cellStyle name="Header2 3 2 3 4 2 3 4" xfId="36406"/>
    <cellStyle name="Header2 3 2 3 4 2 4" xfId="18903"/>
    <cellStyle name="Header2 3 2 3 4 2 4 2" xfId="30720"/>
    <cellStyle name="Header2 3 2 3 4 2 4 2 2" xfId="40719"/>
    <cellStyle name="Header2 3 2 3 4 2 4 3" xfId="26378"/>
    <cellStyle name="Header2 3 2 3 4 2 4 4" xfId="35568"/>
    <cellStyle name="Header2 3 2 3 4 2 5" xfId="20550"/>
    <cellStyle name="Header2 3 2 3 4 2 5 2" xfId="32367"/>
    <cellStyle name="Header2 3 2 3 4 2 5 2 2" xfId="42366"/>
    <cellStyle name="Header2 3 2 3 4 2 5 3" xfId="37215"/>
    <cellStyle name="Header2 3 2 3 4 2 6" xfId="23536"/>
    <cellStyle name="Header2 3 2 3 4 2 6 2" xfId="21853"/>
    <cellStyle name="Header2 3 2 3 4 2 7" xfId="23017"/>
    <cellStyle name="Header2 3 2 3 4 2 7 2" xfId="21309"/>
    <cellStyle name="Header2 3 2 3 4 2 8" xfId="22415"/>
    <cellStyle name="Header2 3 2 3 4 3" xfId="16239"/>
    <cellStyle name="Header2 3 2 3 4 3 2" xfId="19430"/>
    <cellStyle name="Header2 3 2 3 4 3 2 2" xfId="31247"/>
    <cellStyle name="Header2 3 2 3 4 3 2 2 2" xfId="41246"/>
    <cellStyle name="Header2 3 2 3 4 3 2 3" xfId="26905"/>
    <cellStyle name="Header2 3 2 3 4 3 2 4" xfId="36095"/>
    <cellStyle name="Header2 3 2 3 4 3 3" xfId="20036"/>
    <cellStyle name="Header2 3 2 3 4 3 3 2" xfId="31853"/>
    <cellStyle name="Header2 3 2 3 4 3 3 2 2" xfId="41852"/>
    <cellStyle name="Header2 3 2 3 4 3 3 3" xfId="27511"/>
    <cellStyle name="Header2 3 2 3 4 3 3 4" xfId="36701"/>
    <cellStyle name="Header2 3 2 3 4 3 4" xfId="17771"/>
    <cellStyle name="Header2 3 2 3 4 3 4 2" xfId="29588"/>
    <cellStyle name="Header2 3 2 3 4 3 4 2 2" xfId="39587"/>
    <cellStyle name="Header2 3 2 3 4 3 4 3" xfId="25346"/>
    <cellStyle name="Header2 3 2 3 4 3 4 4" xfId="34436"/>
    <cellStyle name="Header2 3 2 3 4 3 5" xfId="20845"/>
    <cellStyle name="Header2 3 2 3 4 3 5 2" xfId="32662"/>
    <cellStyle name="Header2 3 2 3 4 3 5 2 2" xfId="42661"/>
    <cellStyle name="Header2 3 2 3 4 3 5 3" xfId="37510"/>
    <cellStyle name="Header2 3 2 3 4 3 6" xfId="28056"/>
    <cellStyle name="Header2 3 2 3 4 3 6 2" xfId="38055"/>
    <cellStyle name="Header2 3 2 3 4 3 7" xfId="21510"/>
    <cellStyle name="Header2 3 2 3 4 4" xfId="15951"/>
    <cellStyle name="Header2 3 2 3 4 4 2" xfId="27768"/>
    <cellStyle name="Header2 3 2 3 4 4 2 2" xfId="37767"/>
    <cellStyle name="Header2 3 2 3 4 4 3" xfId="23829"/>
    <cellStyle name="Header2 3 2 3 4 4 4" xfId="32919"/>
    <cellStyle name="Header2 3 2 3 4 5" xfId="16611"/>
    <cellStyle name="Header2 3 2 3 4 5 2" xfId="28428"/>
    <cellStyle name="Header2 3 2 3 4 5 2 2" xfId="38427"/>
    <cellStyle name="Header2 3 2 3 4 5 3" xfId="24186"/>
    <cellStyle name="Header2 3 2 3 4 5 4" xfId="33276"/>
    <cellStyle name="Header2 3 2 3 4 6" xfId="16906"/>
    <cellStyle name="Header2 3 2 3 4 6 2" xfId="28723"/>
    <cellStyle name="Header2 3 2 3 4 6 2 2" xfId="38722"/>
    <cellStyle name="Header2 3 2 3 4 6 3" xfId="24481"/>
    <cellStyle name="Header2 3 2 3 4 6 4" xfId="33571"/>
    <cellStyle name="Header2 3 2 3 4 7" xfId="17173"/>
    <cellStyle name="Header2 3 2 3 4 7 2" xfId="28990"/>
    <cellStyle name="Header2 3 2 3 4 7 2 2" xfId="38989"/>
    <cellStyle name="Header2 3 2 3 4 7 3" xfId="24748"/>
    <cellStyle name="Header2 3 2 3 4 7 4" xfId="33838"/>
    <cellStyle name="Header2 3 2 3 4 8" xfId="17476"/>
    <cellStyle name="Header2 3 2 3 4 8 2" xfId="29293"/>
    <cellStyle name="Header2 3 2 3 4 8 2 2" xfId="39292"/>
    <cellStyle name="Header2 3 2 3 4 8 3" xfId="25051"/>
    <cellStyle name="Header2 3 2 3 4 8 4" xfId="34141"/>
    <cellStyle name="Header2 3 2 3 4 9" xfId="18459"/>
    <cellStyle name="Header2 3 2 3 4 9 2" xfId="30276"/>
    <cellStyle name="Header2 3 2 3 4 9 2 2" xfId="40275"/>
    <cellStyle name="Header2 3 2 3 4 9 3" xfId="25934"/>
    <cellStyle name="Header2 3 2 3 4 9 4" xfId="35124"/>
    <cellStyle name="Header2 3 2 3 5" xfId="15649"/>
    <cellStyle name="Header2 3 2 3 5 2" xfId="19144"/>
    <cellStyle name="Header2 3 2 3 5 2 2" xfId="30961"/>
    <cellStyle name="Header2 3 2 3 5 2 2 2" xfId="40960"/>
    <cellStyle name="Header2 3 2 3 5 2 3" xfId="26619"/>
    <cellStyle name="Header2 3 2 3 5 2 4" xfId="35809"/>
    <cellStyle name="Header2 3 2 3 5 3" xfId="19750"/>
    <cellStyle name="Header2 3 2 3 5 3 2" xfId="31567"/>
    <cellStyle name="Header2 3 2 3 5 3 2 2" xfId="41566"/>
    <cellStyle name="Header2 3 2 3 5 3 3" xfId="27225"/>
    <cellStyle name="Header2 3 2 3 5 3 4" xfId="36415"/>
    <cellStyle name="Header2 3 2 3 5 4" xfId="18149"/>
    <cellStyle name="Header2 3 2 3 5 4 2" xfId="29966"/>
    <cellStyle name="Header2 3 2 3 5 4 2 2" xfId="39965"/>
    <cellStyle name="Header2 3 2 3 5 4 3" xfId="25724"/>
    <cellStyle name="Header2 3 2 3 5 4 4" xfId="34814"/>
    <cellStyle name="Header2 3 2 3 5 5" xfId="20559"/>
    <cellStyle name="Header2 3 2 3 5 5 2" xfId="32376"/>
    <cellStyle name="Header2 3 2 3 5 5 2 2" xfId="42375"/>
    <cellStyle name="Header2 3 2 3 5 5 3" xfId="37224"/>
    <cellStyle name="Header2 3 2 3 5 6" xfId="23527"/>
    <cellStyle name="Header2 3 2 3 5 6 2" xfId="21035"/>
    <cellStyle name="Header2 3 2 3 5 7" xfId="22853"/>
    <cellStyle name="Header2 3 2 3 5 7 2" xfId="21380"/>
    <cellStyle name="Header2 3 2 3 5 8" xfId="22411"/>
    <cellStyle name="Header2 3 2 3 6" xfId="16230"/>
    <cellStyle name="Header2 3 2 3 6 2" xfId="19439"/>
    <cellStyle name="Header2 3 2 3 6 2 2" xfId="31256"/>
    <cellStyle name="Header2 3 2 3 6 2 2 2" xfId="41255"/>
    <cellStyle name="Header2 3 2 3 6 2 3" xfId="26914"/>
    <cellStyle name="Header2 3 2 3 6 2 4" xfId="36104"/>
    <cellStyle name="Header2 3 2 3 6 3" xfId="20045"/>
    <cellStyle name="Header2 3 2 3 6 3 2" xfId="31862"/>
    <cellStyle name="Header2 3 2 3 6 3 2 2" xfId="41861"/>
    <cellStyle name="Header2 3 2 3 6 3 3" xfId="27520"/>
    <cellStyle name="Header2 3 2 3 6 3 4" xfId="36710"/>
    <cellStyle name="Header2 3 2 3 6 4" xfId="18070"/>
    <cellStyle name="Header2 3 2 3 6 4 2" xfId="29887"/>
    <cellStyle name="Header2 3 2 3 6 4 2 2" xfId="39886"/>
    <cellStyle name="Header2 3 2 3 6 4 3" xfId="25645"/>
    <cellStyle name="Header2 3 2 3 6 4 4" xfId="34735"/>
    <cellStyle name="Header2 3 2 3 6 5" xfId="20854"/>
    <cellStyle name="Header2 3 2 3 6 5 2" xfId="32671"/>
    <cellStyle name="Header2 3 2 3 6 5 2 2" xfId="42670"/>
    <cellStyle name="Header2 3 2 3 6 5 3" xfId="37519"/>
    <cellStyle name="Header2 3 2 3 6 6" xfId="28047"/>
    <cellStyle name="Header2 3 2 3 6 6 2" xfId="38046"/>
    <cellStyle name="Header2 3 2 3 6 7" xfId="21502"/>
    <cellStyle name="Header2 3 2 3 7" xfId="15943"/>
    <cellStyle name="Header2 3 2 3 7 2" xfId="27760"/>
    <cellStyle name="Header2 3 2 3 7 2 2" xfId="37759"/>
    <cellStyle name="Header2 3 2 3 7 3" xfId="23821"/>
    <cellStyle name="Header2 3 2 3 7 4" xfId="32911"/>
    <cellStyle name="Header2 3 2 3 8" xfId="16620"/>
    <cellStyle name="Header2 3 2 3 8 2" xfId="28437"/>
    <cellStyle name="Header2 3 2 3 8 2 2" xfId="38436"/>
    <cellStyle name="Header2 3 2 3 8 3" xfId="24195"/>
    <cellStyle name="Header2 3 2 3 8 4" xfId="33285"/>
    <cellStyle name="Header2 3 2 3 9" xfId="16915"/>
    <cellStyle name="Header2 3 2 3 9 2" xfId="28732"/>
    <cellStyle name="Header2 3 2 3 9 2 2" xfId="38731"/>
    <cellStyle name="Header2 3 2 3 9 3" xfId="24490"/>
    <cellStyle name="Header2 3 2 3 9 4" xfId="33580"/>
    <cellStyle name="Header2 3 2 4" xfId="7852"/>
    <cellStyle name="Header2 3 2 4 10" xfId="16610"/>
    <cellStyle name="Header2 3 2 4 10 2" xfId="28427"/>
    <cellStyle name="Header2 3 2 4 10 2 2" xfId="38426"/>
    <cellStyle name="Header2 3 2 4 10 3" xfId="24185"/>
    <cellStyle name="Header2 3 2 4 10 4" xfId="33275"/>
    <cellStyle name="Header2 3 2 4 11" xfId="16905"/>
    <cellStyle name="Header2 3 2 4 11 2" xfId="28722"/>
    <cellStyle name="Header2 3 2 4 11 2 2" xfId="38721"/>
    <cellStyle name="Header2 3 2 4 11 3" xfId="24480"/>
    <cellStyle name="Header2 3 2 4 11 4" xfId="33570"/>
    <cellStyle name="Header2 3 2 4 12" xfId="17174"/>
    <cellStyle name="Header2 3 2 4 12 2" xfId="28991"/>
    <cellStyle name="Header2 3 2 4 12 2 2" xfId="38990"/>
    <cellStyle name="Header2 3 2 4 12 3" xfId="24749"/>
    <cellStyle name="Header2 3 2 4 12 4" xfId="33839"/>
    <cellStyle name="Header2 3 2 4 13" xfId="17477"/>
    <cellStyle name="Header2 3 2 4 13 2" xfId="29294"/>
    <cellStyle name="Header2 3 2 4 13 2 2" xfId="39293"/>
    <cellStyle name="Header2 3 2 4 13 3" xfId="25052"/>
    <cellStyle name="Header2 3 2 4 13 4" xfId="34142"/>
    <cellStyle name="Header2 3 2 4 14" xfId="18458"/>
    <cellStyle name="Header2 3 2 4 14 2" xfId="30275"/>
    <cellStyle name="Header2 3 2 4 14 2 2" xfId="40274"/>
    <cellStyle name="Header2 3 2 4 14 3" xfId="25933"/>
    <cellStyle name="Header2 3 2 4 14 4" xfId="35123"/>
    <cellStyle name="Header2 3 2 4 15" xfId="18753"/>
    <cellStyle name="Header2 3 2 4 15 2" xfId="30570"/>
    <cellStyle name="Header2 3 2 4 15 2 2" xfId="40569"/>
    <cellStyle name="Header2 3 2 4 15 3" xfId="26228"/>
    <cellStyle name="Header2 3 2 4 15 4" xfId="35418"/>
    <cellStyle name="Header2 3 2 4 16" xfId="20311"/>
    <cellStyle name="Header2 3 2 4 16 2" xfId="32128"/>
    <cellStyle name="Header2 3 2 4 16 2 2" xfId="42127"/>
    <cellStyle name="Header2 3 2 4 16 3" xfId="36976"/>
    <cellStyle name="Header2 3 2 4 17" xfId="23250"/>
    <cellStyle name="Header2 3 2 4 17 2" xfId="21198"/>
    <cellStyle name="Header2 3 2 4 18" xfId="22644"/>
    <cellStyle name="Header2 3 2 4 2" xfId="7853"/>
    <cellStyle name="Header2 3 2 4 2 10" xfId="17175"/>
    <cellStyle name="Header2 3 2 4 2 10 2" xfId="28992"/>
    <cellStyle name="Header2 3 2 4 2 10 2 2" xfId="38991"/>
    <cellStyle name="Header2 3 2 4 2 10 3" xfId="24750"/>
    <cellStyle name="Header2 3 2 4 2 10 4" xfId="33840"/>
    <cellStyle name="Header2 3 2 4 2 11" xfId="17478"/>
    <cellStyle name="Header2 3 2 4 2 11 2" xfId="29295"/>
    <cellStyle name="Header2 3 2 4 2 11 2 2" xfId="39294"/>
    <cellStyle name="Header2 3 2 4 2 11 3" xfId="25053"/>
    <cellStyle name="Header2 3 2 4 2 11 4" xfId="34143"/>
    <cellStyle name="Header2 3 2 4 2 12" xfId="18457"/>
    <cellStyle name="Header2 3 2 4 2 12 2" xfId="30274"/>
    <cellStyle name="Header2 3 2 4 2 12 2 2" xfId="40273"/>
    <cellStyle name="Header2 3 2 4 2 12 3" xfId="25932"/>
    <cellStyle name="Header2 3 2 4 2 12 4" xfId="35122"/>
    <cellStyle name="Header2 3 2 4 2 13" xfId="18752"/>
    <cellStyle name="Header2 3 2 4 2 13 2" xfId="30569"/>
    <cellStyle name="Header2 3 2 4 2 13 2 2" xfId="40568"/>
    <cellStyle name="Header2 3 2 4 2 13 3" xfId="26227"/>
    <cellStyle name="Header2 3 2 4 2 13 4" xfId="35417"/>
    <cellStyle name="Header2 3 2 4 2 14" xfId="20215"/>
    <cellStyle name="Header2 3 2 4 2 14 2" xfId="32032"/>
    <cellStyle name="Header2 3 2 4 2 14 2 2" xfId="42031"/>
    <cellStyle name="Header2 3 2 4 2 14 3" xfId="36880"/>
    <cellStyle name="Header2 3 2 4 2 15" xfId="23249"/>
    <cellStyle name="Header2 3 2 4 2 15 2" xfId="21974"/>
    <cellStyle name="Header2 3 2 4 2 16" xfId="22643"/>
    <cellStyle name="Header2 3 2 4 2 2" xfId="7854"/>
    <cellStyle name="Header2 3 2 4 2 2 10" xfId="18751"/>
    <cellStyle name="Header2 3 2 4 2 2 10 2" xfId="30568"/>
    <cellStyle name="Header2 3 2 4 2 2 10 2 2" xfId="40567"/>
    <cellStyle name="Header2 3 2 4 2 2 10 3" xfId="26226"/>
    <cellStyle name="Header2 3 2 4 2 2 10 4" xfId="35416"/>
    <cellStyle name="Header2 3 2 4 2 2 11" xfId="20314"/>
    <cellStyle name="Header2 3 2 4 2 2 11 2" xfId="32131"/>
    <cellStyle name="Header2 3 2 4 2 2 11 2 2" xfId="42130"/>
    <cellStyle name="Header2 3 2 4 2 2 11 3" xfId="36979"/>
    <cellStyle name="Header2 3 2 4 2 2 12" xfId="23248"/>
    <cellStyle name="Header2 3 2 4 2 2 12 2" xfId="21199"/>
    <cellStyle name="Header2 3 2 4 2 2 13" xfId="22642"/>
    <cellStyle name="Header2 3 2 4 2 2 2" xfId="15661"/>
    <cellStyle name="Header2 3 2 4 2 2 2 2" xfId="19132"/>
    <cellStyle name="Header2 3 2 4 2 2 2 2 2" xfId="30949"/>
    <cellStyle name="Header2 3 2 4 2 2 2 2 2 2" xfId="40948"/>
    <cellStyle name="Header2 3 2 4 2 2 2 2 3" xfId="26607"/>
    <cellStyle name="Header2 3 2 4 2 2 2 2 4" xfId="35797"/>
    <cellStyle name="Header2 3 2 4 2 2 2 3" xfId="19738"/>
    <cellStyle name="Header2 3 2 4 2 2 2 3 2" xfId="31555"/>
    <cellStyle name="Header2 3 2 4 2 2 2 3 2 2" xfId="41554"/>
    <cellStyle name="Header2 3 2 4 2 2 2 3 3" xfId="27213"/>
    <cellStyle name="Header2 3 2 4 2 2 2 3 4" xfId="36403"/>
    <cellStyle name="Header2 3 2 4 2 2 2 4" xfId="18904"/>
    <cellStyle name="Header2 3 2 4 2 2 2 4 2" xfId="30721"/>
    <cellStyle name="Header2 3 2 4 2 2 2 4 2 2" xfId="40720"/>
    <cellStyle name="Header2 3 2 4 2 2 2 4 3" xfId="26379"/>
    <cellStyle name="Header2 3 2 4 2 2 2 4 4" xfId="35569"/>
    <cellStyle name="Header2 3 2 4 2 2 2 5" xfId="20547"/>
    <cellStyle name="Header2 3 2 4 2 2 2 5 2" xfId="32364"/>
    <cellStyle name="Header2 3 2 4 2 2 2 5 2 2" xfId="42363"/>
    <cellStyle name="Header2 3 2 4 2 2 2 5 3" xfId="37212"/>
    <cellStyle name="Header2 3 2 4 2 2 2 6" xfId="23539"/>
    <cellStyle name="Header2 3 2 4 2 2 2 6 2" xfId="21850"/>
    <cellStyle name="Header2 3 2 4 2 2 2 7" xfId="23014"/>
    <cellStyle name="Header2 3 2 4 2 2 2 7 2" xfId="21311"/>
    <cellStyle name="Header2 3 2 4 2 2 2 8" xfId="22418"/>
    <cellStyle name="Header2 3 2 4 2 2 3" xfId="16242"/>
    <cellStyle name="Header2 3 2 4 2 2 3 2" xfId="19427"/>
    <cellStyle name="Header2 3 2 4 2 2 3 2 2" xfId="31244"/>
    <cellStyle name="Header2 3 2 4 2 2 3 2 2 2" xfId="41243"/>
    <cellStyle name="Header2 3 2 4 2 2 3 2 3" xfId="26902"/>
    <cellStyle name="Header2 3 2 4 2 2 3 2 4" xfId="36092"/>
    <cellStyle name="Header2 3 2 4 2 2 3 3" xfId="20033"/>
    <cellStyle name="Header2 3 2 4 2 2 3 3 2" xfId="31850"/>
    <cellStyle name="Header2 3 2 4 2 2 3 3 2 2" xfId="41849"/>
    <cellStyle name="Header2 3 2 4 2 2 3 3 3" xfId="27508"/>
    <cellStyle name="Header2 3 2 4 2 2 3 3 4" xfId="36698"/>
    <cellStyle name="Header2 3 2 4 2 2 3 4" xfId="17657"/>
    <cellStyle name="Header2 3 2 4 2 2 3 4 2" xfId="29474"/>
    <cellStyle name="Header2 3 2 4 2 2 3 4 2 2" xfId="39473"/>
    <cellStyle name="Header2 3 2 4 2 2 3 4 3" xfId="25232"/>
    <cellStyle name="Header2 3 2 4 2 2 3 4 4" xfId="34322"/>
    <cellStyle name="Header2 3 2 4 2 2 3 5" xfId="20842"/>
    <cellStyle name="Header2 3 2 4 2 2 3 5 2" xfId="32659"/>
    <cellStyle name="Header2 3 2 4 2 2 3 5 2 2" xfId="42658"/>
    <cellStyle name="Header2 3 2 4 2 2 3 5 3" xfId="37507"/>
    <cellStyle name="Header2 3 2 4 2 2 3 6" xfId="28059"/>
    <cellStyle name="Header2 3 2 4 2 2 3 6 2" xfId="38058"/>
    <cellStyle name="Header2 3 2 4 2 2 3 7" xfId="21512"/>
    <cellStyle name="Header2 3 2 4 2 2 4" xfId="15954"/>
    <cellStyle name="Header2 3 2 4 2 2 4 2" xfId="27771"/>
    <cellStyle name="Header2 3 2 4 2 2 4 2 2" xfId="37770"/>
    <cellStyle name="Header2 3 2 4 2 2 4 3" xfId="23832"/>
    <cellStyle name="Header2 3 2 4 2 2 4 4" xfId="32922"/>
    <cellStyle name="Header2 3 2 4 2 2 5" xfId="16608"/>
    <cellStyle name="Header2 3 2 4 2 2 5 2" xfId="28425"/>
    <cellStyle name="Header2 3 2 4 2 2 5 2 2" xfId="38424"/>
    <cellStyle name="Header2 3 2 4 2 2 5 3" xfId="24183"/>
    <cellStyle name="Header2 3 2 4 2 2 5 4" xfId="33273"/>
    <cellStyle name="Header2 3 2 4 2 2 6" xfId="16903"/>
    <cellStyle name="Header2 3 2 4 2 2 6 2" xfId="28720"/>
    <cellStyle name="Header2 3 2 4 2 2 6 2 2" xfId="38719"/>
    <cellStyle name="Header2 3 2 4 2 2 6 3" xfId="24478"/>
    <cellStyle name="Header2 3 2 4 2 2 6 4" xfId="33568"/>
    <cellStyle name="Header2 3 2 4 2 2 7" xfId="17176"/>
    <cellStyle name="Header2 3 2 4 2 2 7 2" xfId="28993"/>
    <cellStyle name="Header2 3 2 4 2 2 7 2 2" xfId="38992"/>
    <cellStyle name="Header2 3 2 4 2 2 7 3" xfId="24751"/>
    <cellStyle name="Header2 3 2 4 2 2 7 4" xfId="33841"/>
    <cellStyle name="Header2 3 2 4 2 2 8" xfId="17479"/>
    <cellStyle name="Header2 3 2 4 2 2 8 2" xfId="29296"/>
    <cellStyle name="Header2 3 2 4 2 2 8 2 2" xfId="39295"/>
    <cellStyle name="Header2 3 2 4 2 2 8 3" xfId="25054"/>
    <cellStyle name="Header2 3 2 4 2 2 8 4" xfId="34144"/>
    <cellStyle name="Header2 3 2 4 2 2 9" xfId="18456"/>
    <cellStyle name="Header2 3 2 4 2 2 9 2" xfId="30273"/>
    <cellStyle name="Header2 3 2 4 2 2 9 2 2" xfId="40272"/>
    <cellStyle name="Header2 3 2 4 2 2 9 3" xfId="25931"/>
    <cellStyle name="Header2 3 2 4 2 2 9 4" xfId="35121"/>
    <cellStyle name="Header2 3 2 4 2 3" xfId="7855"/>
    <cellStyle name="Header2 3 2 4 2 3 10" xfId="18750"/>
    <cellStyle name="Header2 3 2 4 2 3 10 2" xfId="30567"/>
    <cellStyle name="Header2 3 2 4 2 3 10 2 2" xfId="40566"/>
    <cellStyle name="Header2 3 2 4 2 3 10 3" xfId="26225"/>
    <cellStyle name="Header2 3 2 4 2 3 10 4" xfId="35415"/>
    <cellStyle name="Header2 3 2 4 2 3 11" xfId="18248"/>
    <cellStyle name="Header2 3 2 4 2 3 11 2" xfId="30065"/>
    <cellStyle name="Header2 3 2 4 2 3 11 2 2" xfId="40064"/>
    <cellStyle name="Header2 3 2 4 2 3 11 3" xfId="34913"/>
    <cellStyle name="Header2 3 2 4 2 3 12" xfId="23247"/>
    <cellStyle name="Header2 3 2 4 2 3 12 2" xfId="21975"/>
    <cellStyle name="Header2 3 2 4 2 3 13" xfId="22641"/>
    <cellStyle name="Header2 3 2 4 2 3 2" xfId="15662"/>
    <cellStyle name="Header2 3 2 4 2 3 2 2" xfId="19131"/>
    <cellStyle name="Header2 3 2 4 2 3 2 2 2" xfId="30948"/>
    <cellStyle name="Header2 3 2 4 2 3 2 2 2 2" xfId="40947"/>
    <cellStyle name="Header2 3 2 4 2 3 2 2 3" xfId="26606"/>
    <cellStyle name="Header2 3 2 4 2 3 2 2 4" xfId="35796"/>
    <cellStyle name="Header2 3 2 4 2 3 2 3" xfId="19737"/>
    <cellStyle name="Header2 3 2 4 2 3 2 3 2" xfId="31554"/>
    <cellStyle name="Header2 3 2 4 2 3 2 3 2 2" xfId="41553"/>
    <cellStyle name="Header2 3 2 4 2 3 2 3 3" xfId="27212"/>
    <cellStyle name="Header2 3 2 4 2 3 2 3 4" xfId="36402"/>
    <cellStyle name="Header2 3 2 4 2 3 2 4" xfId="18905"/>
    <cellStyle name="Header2 3 2 4 2 3 2 4 2" xfId="30722"/>
    <cellStyle name="Header2 3 2 4 2 3 2 4 2 2" xfId="40721"/>
    <cellStyle name="Header2 3 2 4 2 3 2 4 3" xfId="26380"/>
    <cellStyle name="Header2 3 2 4 2 3 2 4 4" xfId="35570"/>
    <cellStyle name="Header2 3 2 4 2 3 2 5" xfId="20546"/>
    <cellStyle name="Header2 3 2 4 2 3 2 5 2" xfId="32363"/>
    <cellStyle name="Header2 3 2 4 2 3 2 5 2 2" xfId="42362"/>
    <cellStyle name="Header2 3 2 4 2 3 2 5 3" xfId="37211"/>
    <cellStyle name="Header2 3 2 4 2 3 2 6" xfId="23540"/>
    <cellStyle name="Header2 3 2 4 2 3 2 6 2" xfId="21032"/>
    <cellStyle name="Header2 3 2 4 2 3 2 7" xfId="22850"/>
    <cellStyle name="Header2 3 2 4 2 3 2 7 2" xfId="21383"/>
    <cellStyle name="Header2 3 2 4 2 3 2 8" xfId="22419"/>
    <cellStyle name="Header2 3 2 4 2 3 3" xfId="16243"/>
    <cellStyle name="Header2 3 2 4 2 3 3 2" xfId="19426"/>
    <cellStyle name="Header2 3 2 4 2 3 3 2 2" xfId="31243"/>
    <cellStyle name="Header2 3 2 4 2 3 3 2 2 2" xfId="41242"/>
    <cellStyle name="Header2 3 2 4 2 3 3 2 3" xfId="26901"/>
    <cellStyle name="Header2 3 2 4 2 3 3 2 4" xfId="36091"/>
    <cellStyle name="Header2 3 2 4 2 3 3 3" xfId="20032"/>
    <cellStyle name="Header2 3 2 4 2 3 3 3 2" xfId="31849"/>
    <cellStyle name="Header2 3 2 4 2 3 3 3 2 2" xfId="41848"/>
    <cellStyle name="Header2 3 2 4 2 3 3 3 3" xfId="27507"/>
    <cellStyle name="Header2 3 2 4 2 3 3 3 4" xfId="36697"/>
    <cellStyle name="Header2 3 2 4 2 3 3 4" xfId="17906"/>
    <cellStyle name="Header2 3 2 4 2 3 3 4 2" xfId="29723"/>
    <cellStyle name="Header2 3 2 4 2 3 3 4 2 2" xfId="39722"/>
    <cellStyle name="Header2 3 2 4 2 3 3 4 3" xfId="25481"/>
    <cellStyle name="Header2 3 2 4 2 3 3 4 4" xfId="34571"/>
    <cellStyle name="Header2 3 2 4 2 3 3 5" xfId="20841"/>
    <cellStyle name="Header2 3 2 4 2 3 3 5 2" xfId="32658"/>
    <cellStyle name="Header2 3 2 4 2 3 3 5 2 2" xfId="42657"/>
    <cellStyle name="Header2 3 2 4 2 3 3 5 3" xfId="37506"/>
    <cellStyle name="Header2 3 2 4 2 3 3 6" xfId="28060"/>
    <cellStyle name="Header2 3 2 4 2 3 3 6 2" xfId="38059"/>
    <cellStyle name="Header2 3 2 4 2 3 3 7" xfId="21513"/>
    <cellStyle name="Header2 3 2 4 2 3 4" xfId="15955"/>
    <cellStyle name="Header2 3 2 4 2 3 4 2" xfId="27772"/>
    <cellStyle name="Header2 3 2 4 2 3 4 2 2" xfId="37771"/>
    <cellStyle name="Header2 3 2 4 2 3 4 3" xfId="23833"/>
    <cellStyle name="Header2 3 2 4 2 3 4 4" xfId="32923"/>
    <cellStyle name="Header2 3 2 4 2 3 5" xfId="16607"/>
    <cellStyle name="Header2 3 2 4 2 3 5 2" xfId="28424"/>
    <cellStyle name="Header2 3 2 4 2 3 5 2 2" xfId="38423"/>
    <cellStyle name="Header2 3 2 4 2 3 5 3" xfId="24182"/>
    <cellStyle name="Header2 3 2 4 2 3 5 4" xfId="33272"/>
    <cellStyle name="Header2 3 2 4 2 3 6" xfId="16902"/>
    <cellStyle name="Header2 3 2 4 2 3 6 2" xfId="28719"/>
    <cellStyle name="Header2 3 2 4 2 3 6 2 2" xfId="38718"/>
    <cellStyle name="Header2 3 2 4 2 3 6 3" xfId="24477"/>
    <cellStyle name="Header2 3 2 4 2 3 6 4" xfId="33567"/>
    <cellStyle name="Header2 3 2 4 2 3 7" xfId="17177"/>
    <cellStyle name="Header2 3 2 4 2 3 7 2" xfId="28994"/>
    <cellStyle name="Header2 3 2 4 2 3 7 2 2" xfId="38993"/>
    <cellStyle name="Header2 3 2 4 2 3 7 3" xfId="24752"/>
    <cellStyle name="Header2 3 2 4 2 3 7 4" xfId="33842"/>
    <cellStyle name="Header2 3 2 4 2 3 8" xfId="17480"/>
    <cellStyle name="Header2 3 2 4 2 3 8 2" xfId="29297"/>
    <cellStyle name="Header2 3 2 4 2 3 8 2 2" xfId="39296"/>
    <cellStyle name="Header2 3 2 4 2 3 8 3" xfId="25055"/>
    <cellStyle name="Header2 3 2 4 2 3 8 4" xfId="34145"/>
    <cellStyle name="Header2 3 2 4 2 3 9" xfId="18455"/>
    <cellStyle name="Header2 3 2 4 2 3 9 2" xfId="30272"/>
    <cellStyle name="Header2 3 2 4 2 3 9 2 2" xfId="40271"/>
    <cellStyle name="Header2 3 2 4 2 3 9 3" xfId="25930"/>
    <cellStyle name="Header2 3 2 4 2 3 9 4" xfId="35120"/>
    <cellStyle name="Header2 3 2 4 2 4" xfId="7856"/>
    <cellStyle name="Header2 3 2 4 2 4 10" xfId="18749"/>
    <cellStyle name="Header2 3 2 4 2 4 10 2" xfId="30566"/>
    <cellStyle name="Header2 3 2 4 2 4 10 2 2" xfId="40565"/>
    <cellStyle name="Header2 3 2 4 2 4 10 3" xfId="26224"/>
    <cellStyle name="Header2 3 2 4 2 4 10 4" xfId="35414"/>
    <cellStyle name="Header2 3 2 4 2 4 11" xfId="20211"/>
    <cellStyle name="Header2 3 2 4 2 4 11 2" xfId="32028"/>
    <cellStyle name="Header2 3 2 4 2 4 11 2 2" xfId="42027"/>
    <cellStyle name="Header2 3 2 4 2 4 11 3" xfId="36876"/>
    <cellStyle name="Header2 3 2 4 2 4 12" xfId="23246"/>
    <cellStyle name="Header2 3 2 4 2 4 12 2" xfId="21976"/>
    <cellStyle name="Header2 3 2 4 2 4 13" xfId="22640"/>
    <cellStyle name="Header2 3 2 4 2 4 2" xfId="15663"/>
    <cellStyle name="Header2 3 2 4 2 4 2 2" xfId="19130"/>
    <cellStyle name="Header2 3 2 4 2 4 2 2 2" xfId="30947"/>
    <cellStyle name="Header2 3 2 4 2 4 2 2 2 2" xfId="40946"/>
    <cellStyle name="Header2 3 2 4 2 4 2 2 3" xfId="26605"/>
    <cellStyle name="Header2 3 2 4 2 4 2 2 4" xfId="35795"/>
    <cellStyle name="Header2 3 2 4 2 4 2 3" xfId="19736"/>
    <cellStyle name="Header2 3 2 4 2 4 2 3 2" xfId="31553"/>
    <cellStyle name="Header2 3 2 4 2 4 2 3 2 2" xfId="41552"/>
    <cellStyle name="Header2 3 2 4 2 4 2 3 3" xfId="27211"/>
    <cellStyle name="Header2 3 2 4 2 4 2 3 4" xfId="36401"/>
    <cellStyle name="Header2 3 2 4 2 4 2 4" xfId="18906"/>
    <cellStyle name="Header2 3 2 4 2 4 2 4 2" xfId="30723"/>
    <cellStyle name="Header2 3 2 4 2 4 2 4 2 2" xfId="40722"/>
    <cellStyle name="Header2 3 2 4 2 4 2 4 3" xfId="26381"/>
    <cellStyle name="Header2 3 2 4 2 4 2 4 4" xfId="35571"/>
    <cellStyle name="Header2 3 2 4 2 4 2 5" xfId="20545"/>
    <cellStyle name="Header2 3 2 4 2 4 2 5 2" xfId="32362"/>
    <cellStyle name="Header2 3 2 4 2 4 2 5 2 2" xfId="42361"/>
    <cellStyle name="Header2 3 2 4 2 4 2 5 3" xfId="37210"/>
    <cellStyle name="Header2 3 2 4 2 4 2 6" xfId="23541"/>
    <cellStyle name="Header2 3 2 4 2 4 2 6 2" xfId="21849"/>
    <cellStyle name="Header2 3 2 4 2 4 2 7" xfId="23013"/>
    <cellStyle name="Header2 3 2 4 2 4 2 7 2" xfId="22096"/>
    <cellStyle name="Header2 3 2 4 2 4 2 8" xfId="21637"/>
    <cellStyle name="Header2 3 2 4 2 4 3" xfId="16244"/>
    <cellStyle name="Header2 3 2 4 2 4 3 2" xfId="19425"/>
    <cellStyle name="Header2 3 2 4 2 4 3 2 2" xfId="31242"/>
    <cellStyle name="Header2 3 2 4 2 4 3 2 2 2" xfId="41241"/>
    <cellStyle name="Header2 3 2 4 2 4 3 2 3" xfId="26900"/>
    <cellStyle name="Header2 3 2 4 2 4 3 2 4" xfId="36090"/>
    <cellStyle name="Header2 3 2 4 2 4 3 3" xfId="20031"/>
    <cellStyle name="Header2 3 2 4 2 4 3 3 2" xfId="31848"/>
    <cellStyle name="Header2 3 2 4 2 4 3 3 2 2" xfId="41847"/>
    <cellStyle name="Header2 3 2 4 2 4 3 3 3" xfId="27506"/>
    <cellStyle name="Header2 3 2 4 2 4 3 3 4" xfId="36696"/>
    <cellStyle name="Header2 3 2 4 2 4 3 4" xfId="17658"/>
    <cellStyle name="Header2 3 2 4 2 4 3 4 2" xfId="29475"/>
    <cellStyle name="Header2 3 2 4 2 4 3 4 2 2" xfId="39474"/>
    <cellStyle name="Header2 3 2 4 2 4 3 4 3" xfId="25233"/>
    <cellStyle name="Header2 3 2 4 2 4 3 4 4" xfId="34323"/>
    <cellStyle name="Header2 3 2 4 2 4 3 5" xfId="20840"/>
    <cellStyle name="Header2 3 2 4 2 4 3 5 2" xfId="32657"/>
    <cellStyle name="Header2 3 2 4 2 4 3 5 2 2" xfId="42656"/>
    <cellStyle name="Header2 3 2 4 2 4 3 5 3" xfId="37505"/>
    <cellStyle name="Header2 3 2 4 2 4 3 6" xfId="28061"/>
    <cellStyle name="Header2 3 2 4 2 4 3 6 2" xfId="38060"/>
    <cellStyle name="Header2 3 2 4 2 4 3 7" xfId="21514"/>
    <cellStyle name="Header2 3 2 4 2 4 4" xfId="15956"/>
    <cellStyle name="Header2 3 2 4 2 4 4 2" xfId="27773"/>
    <cellStyle name="Header2 3 2 4 2 4 4 2 2" xfId="37772"/>
    <cellStyle name="Header2 3 2 4 2 4 4 3" xfId="23834"/>
    <cellStyle name="Header2 3 2 4 2 4 4 4" xfId="32924"/>
    <cellStyle name="Header2 3 2 4 2 4 5" xfId="16606"/>
    <cellStyle name="Header2 3 2 4 2 4 5 2" xfId="28423"/>
    <cellStyle name="Header2 3 2 4 2 4 5 2 2" xfId="38422"/>
    <cellStyle name="Header2 3 2 4 2 4 5 3" xfId="24181"/>
    <cellStyle name="Header2 3 2 4 2 4 5 4" xfId="33271"/>
    <cellStyle name="Header2 3 2 4 2 4 6" xfId="16901"/>
    <cellStyle name="Header2 3 2 4 2 4 6 2" xfId="28718"/>
    <cellStyle name="Header2 3 2 4 2 4 6 2 2" xfId="38717"/>
    <cellStyle name="Header2 3 2 4 2 4 6 3" xfId="24476"/>
    <cellStyle name="Header2 3 2 4 2 4 6 4" xfId="33566"/>
    <cellStyle name="Header2 3 2 4 2 4 7" xfId="17178"/>
    <cellStyle name="Header2 3 2 4 2 4 7 2" xfId="28995"/>
    <cellStyle name="Header2 3 2 4 2 4 7 2 2" xfId="38994"/>
    <cellStyle name="Header2 3 2 4 2 4 7 3" xfId="24753"/>
    <cellStyle name="Header2 3 2 4 2 4 7 4" xfId="33843"/>
    <cellStyle name="Header2 3 2 4 2 4 8" xfId="17481"/>
    <cellStyle name="Header2 3 2 4 2 4 8 2" xfId="29298"/>
    <cellStyle name="Header2 3 2 4 2 4 8 2 2" xfId="39297"/>
    <cellStyle name="Header2 3 2 4 2 4 8 3" xfId="25056"/>
    <cellStyle name="Header2 3 2 4 2 4 8 4" xfId="34146"/>
    <cellStyle name="Header2 3 2 4 2 4 9" xfId="18454"/>
    <cellStyle name="Header2 3 2 4 2 4 9 2" xfId="30271"/>
    <cellStyle name="Header2 3 2 4 2 4 9 2 2" xfId="40270"/>
    <cellStyle name="Header2 3 2 4 2 4 9 3" xfId="25929"/>
    <cellStyle name="Header2 3 2 4 2 4 9 4" xfId="35119"/>
    <cellStyle name="Header2 3 2 4 2 5" xfId="15660"/>
    <cellStyle name="Header2 3 2 4 2 5 2" xfId="19133"/>
    <cellStyle name="Header2 3 2 4 2 5 2 2" xfId="30950"/>
    <cellStyle name="Header2 3 2 4 2 5 2 2 2" xfId="40949"/>
    <cellStyle name="Header2 3 2 4 2 5 2 3" xfId="26608"/>
    <cellStyle name="Header2 3 2 4 2 5 2 4" xfId="35798"/>
    <cellStyle name="Header2 3 2 4 2 5 3" xfId="19739"/>
    <cellStyle name="Header2 3 2 4 2 5 3 2" xfId="31556"/>
    <cellStyle name="Header2 3 2 4 2 5 3 2 2" xfId="41555"/>
    <cellStyle name="Header2 3 2 4 2 5 3 3" xfId="27214"/>
    <cellStyle name="Header2 3 2 4 2 5 3 4" xfId="36404"/>
    <cellStyle name="Header2 3 2 4 2 5 4" xfId="18153"/>
    <cellStyle name="Header2 3 2 4 2 5 4 2" xfId="29970"/>
    <cellStyle name="Header2 3 2 4 2 5 4 2 2" xfId="39969"/>
    <cellStyle name="Header2 3 2 4 2 5 4 3" xfId="25728"/>
    <cellStyle name="Header2 3 2 4 2 5 4 4" xfId="34818"/>
    <cellStyle name="Header2 3 2 4 2 5 5" xfId="20548"/>
    <cellStyle name="Header2 3 2 4 2 5 5 2" xfId="32365"/>
    <cellStyle name="Header2 3 2 4 2 5 5 2 2" xfId="42364"/>
    <cellStyle name="Header2 3 2 4 2 5 5 3" xfId="37213"/>
    <cellStyle name="Header2 3 2 4 2 5 6" xfId="23538"/>
    <cellStyle name="Header2 3 2 4 2 5 6 2" xfId="21851"/>
    <cellStyle name="Header2 3 2 4 2 5 7" xfId="23015"/>
    <cellStyle name="Header2 3 2 4 2 5 7 2" xfId="22095"/>
    <cellStyle name="Header2 3 2 4 2 5 8" xfId="22417"/>
    <cellStyle name="Header2 3 2 4 2 6" xfId="16241"/>
    <cellStyle name="Header2 3 2 4 2 6 2" xfId="19428"/>
    <cellStyle name="Header2 3 2 4 2 6 2 2" xfId="31245"/>
    <cellStyle name="Header2 3 2 4 2 6 2 2 2" xfId="41244"/>
    <cellStyle name="Header2 3 2 4 2 6 2 3" xfId="26903"/>
    <cellStyle name="Header2 3 2 4 2 6 2 4" xfId="36093"/>
    <cellStyle name="Header2 3 2 4 2 6 3" xfId="20034"/>
    <cellStyle name="Header2 3 2 4 2 6 3 2" xfId="31851"/>
    <cellStyle name="Header2 3 2 4 2 6 3 2 2" xfId="41850"/>
    <cellStyle name="Header2 3 2 4 2 6 3 3" xfId="27509"/>
    <cellStyle name="Header2 3 2 4 2 6 3 4" xfId="36699"/>
    <cellStyle name="Header2 3 2 4 2 6 4" xfId="18948"/>
    <cellStyle name="Header2 3 2 4 2 6 4 2" xfId="30765"/>
    <cellStyle name="Header2 3 2 4 2 6 4 2 2" xfId="40764"/>
    <cellStyle name="Header2 3 2 4 2 6 4 3" xfId="26423"/>
    <cellStyle name="Header2 3 2 4 2 6 4 4" xfId="35613"/>
    <cellStyle name="Header2 3 2 4 2 6 5" xfId="20843"/>
    <cellStyle name="Header2 3 2 4 2 6 5 2" xfId="32660"/>
    <cellStyle name="Header2 3 2 4 2 6 5 2 2" xfId="42659"/>
    <cellStyle name="Header2 3 2 4 2 6 5 3" xfId="37508"/>
    <cellStyle name="Header2 3 2 4 2 6 6" xfId="28058"/>
    <cellStyle name="Header2 3 2 4 2 6 6 2" xfId="38057"/>
    <cellStyle name="Header2 3 2 4 2 6 7" xfId="22248"/>
    <cellStyle name="Header2 3 2 4 2 7" xfId="15953"/>
    <cellStyle name="Header2 3 2 4 2 7 2" xfId="27770"/>
    <cellStyle name="Header2 3 2 4 2 7 2 2" xfId="37769"/>
    <cellStyle name="Header2 3 2 4 2 7 3" xfId="23831"/>
    <cellStyle name="Header2 3 2 4 2 7 4" xfId="32921"/>
    <cellStyle name="Header2 3 2 4 2 8" xfId="16609"/>
    <cellStyle name="Header2 3 2 4 2 8 2" xfId="28426"/>
    <cellStyle name="Header2 3 2 4 2 8 2 2" xfId="38425"/>
    <cellStyle name="Header2 3 2 4 2 8 3" xfId="24184"/>
    <cellStyle name="Header2 3 2 4 2 8 4" xfId="33274"/>
    <cellStyle name="Header2 3 2 4 2 9" xfId="16904"/>
    <cellStyle name="Header2 3 2 4 2 9 2" xfId="28721"/>
    <cellStyle name="Header2 3 2 4 2 9 2 2" xfId="38720"/>
    <cellStyle name="Header2 3 2 4 2 9 3" xfId="24479"/>
    <cellStyle name="Header2 3 2 4 2 9 4" xfId="33569"/>
    <cellStyle name="Header2 3 2 4 3" xfId="7857"/>
    <cellStyle name="Header2 3 2 4 3 10" xfId="17179"/>
    <cellStyle name="Header2 3 2 4 3 10 2" xfId="28996"/>
    <cellStyle name="Header2 3 2 4 3 10 2 2" xfId="38995"/>
    <cellStyle name="Header2 3 2 4 3 10 3" xfId="24754"/>
    <cellStyle name="Header2 3 2 4 3 10 4" xfId="33844"/>
    <cellStyle name="Header2 3 2 4 3 11" xfId="17482"/>
    <cellStyle name="Header2 3 2 4 3 11 2" xfId="29299"/>
    <cellStyle name="Header2 3 2 4 3 11 2 2" xfId="39298"/>
    <cellStyle name="Header2 3 2 4 3 11 3" xfId="25057"/>
    <cellStyle name="Header2 3 2 4 3 11 4" xfId="34147"/>
    <cellStyle name="Header2 3 2 4 3 12" xfId="18453"/>
    <cellStyle name="Header2 3 2 4 3 12 2" xfId="30270"/>
    <cellStyle name="Header2 3 2 4 3 12 2 2" xfId="40269"/>
    <cellStyle name="Header2 3 2 4 3 12 3" xfId="25928"/>
    <cellStyle name="Header2 3 2 4 3 12 4" xfId="35118"/>
    <cellStyle name="Header2 3 2 4 3 13" xfId="18748"/>
    <cellStyle name="Header2 3 2 4 3 13 2" xfId="30565"/>
    <cellStyle name="Header2 3 2 4 3 13 2 2" xfId="40564"/>
    <cellStyle name="Header2 3 2 4 3 13 3" xfId="26223"/>
    <cellStyle name="Header2 3 2 4 3 13 4" xfId="35413"/>
    <cellStyle name="Header2 3 2 4 3 14" xfId="20310"/>
    <cellStyle name="Header2 3 2 4 3 14 2" xfId="32127"/>
    <cellStyle name="Header2 3 2 4 3 14 2 2" xfId="42126"/>
    <cellStyle name="Header2 3 2 4 3 14 3" xfId="36975"/>
    <cellStyle name="Header2 3 2 4 3 15" xfId="23245"/>
    <cellStyle name="Header2 3 2 4 3 15 2" xfId="21977"/>
    <cellStyle name="Header2 3 2 4 3 16" xfId="22639"/>
    <cellStyle name="Header2 3 2 4 3 2" xfId="7858"/>
    <cellStyle name="Header2 3 2 4 3 2 10" xfId="18853"/>
    <cellStyle name="Header2 3 2 4 3 2 10 2" xfId="30670"/>
    <cellStyle name="Header2 3 2 4 3 2 10 2 2" xfId="40669"/>
    <cellStyle name="Header2 3 2 4 3 2 10 3" xfId="26328"/>
    <cellStyle name="Header2 3 2 4 3 2 10 4" xfId="35518"/>
    <cellStyle name="Header2 3 2 4 3 2 11" xfId="18249"/>
    <cellStyle name="Header2 3 2 4 3 2 11 2" xfId="30066"/>
    <cellStyle name="Header2 3 2 4 3 2 11 2 2" xfId="40065"/>
    <cellStyle name="Header2 3 2 4 3 2 11 3" xfId="34914"/>
    <cellStyle name="Header2 3 2 4 3 2 12" xfId="23244"/>
    <cellStyle name="Header2 3 2 4 3 2 12 2" xfId="21200"/>
    <cellStyle name="Header2 3 2 4 3 2 13" xfId="22638"/>
    <cellStyle name="Header2 3 2 4 3 2 2" xfId="15665"/>
    <cellStyle name="Header2 3 2 4 3 2 2 2" xfId="19128"/>
    <cellStyle name="Header2 3 2 4 3 2 2 2 2" xfId="30945"/>
    <cellStyle name="Header2 3 2 4 3 2 2 2 2 2" xfId="40944"/>
    <cellStyle name="Header2 3 2 4 3 2 2 2 3" xfId="26603"/>
    <cellStyle name="Header2 3 2 4 3 2 2 2 4" xfId="35793"/>
    <cellStyle name="Header2 3 2 4 3 2 2 3" xfId="19734"/>
    <cellStyle name="Header2 3 2 4 3 2 2 3 2" xfId="31551"/>
    <cellStyle name="Header2 3 2 4 3 2 2 3 2 2" xfId="41550"/>
    <cellStyle name="Header2 3 2 4 3 2 2 3 3" xfId="27209"/>
    <cellStyle name="Header2 3 2 4 3 2 2 3 4" xfId="36399"/>
    <cellStyle name="Header2 3 2 4 3 2 2 4" xfId="18907"/>
    <cellStyle name="Header2 3 2 4 3 2 2 4 2" xfId="30724"/>
    <cellStyle name="Header2 3 2 4 3 2 2 4 2 2" xfId="40723"/>
    <cellStyle name="Header2 3 2 4 3 2 2 4 3" xfId="26382"/>
    <cellStyle name="Header2 3 2 4 3 2 2 4 4" xfId="35572"/>
    <cellStyle name="Header2 3 2 4 3 2 2 5" xfId="20543"/>
    <cellStyle name="Header2 3 2 4 3 2 2 5 2" xfId="32360"/>
    <cellStyle name="Header2 3 2 4 3 2 2 5 2 2" xfId="42359"/>
    <cellStyle name="Header2 3 2 4 3 2 2 5 3" xfId="37208"/>
    <cellStyle name="Header2 3 2 4 3 2 2 6" xfId="23543"/>
    <cellStyle name="Header2 3 2 4 3 2 2 6 2" xfId="21848"/>
    <cellStyle name="Header2 3 2 4 3 2 2 7" xfId="23012"/>
    <cellStyle name="Header2 3 2 4 3 2 2 7 2" xfId="21312"/>
    <cellStyle name="Header2 3 2 4 3 2 2 8" xfId="22421"/>
    <cellStyle name="Header2 3 2 4 3 2 3" xfId="16246"/>
    <cellStyle name="Header2 3 2 4 3 2 3 2" xfId="19528"/>
    <cellStyle name="Header2 3 2 4 3 2 3 2 2" xfId="31345"/>
    <cellStyle name="Header2 3 2 4 3 2 3 2 2 2" xfId="41344"/>
    <cellStyle name="Header2 3 2 4 3 2 3 2 3" xfId="27003"/>
    <cellStyle name="Header2 3 2 4 3 2 3 2 4" xfId="36193"/>
    <cellStyle name="Header2 3 2 4 3 2 3 3" xfId="20134"/>
    <cellStyle name="Header2 3 2 4 3 2 3 3 2" xfId="31951"/>
    <cellStyle name="Header2 3 2 4 3 2 3 3 2 2" xfId="41950"/>
    <cellStyle name="Header2 3 2 4 3 2 3 3 3" xfId="27609"/>
    <cellStyle name="Header2 3 2 4 3 2 3 3 4" xfId="36799"/>
    <cellStyle name="Header2 3 2 4 3 2 3 4" xfId="18038"/>
    <cellStyle name="Header2 3 2 4 3 2 3 4 2" xfId="29855"/>
    <cellStyle name="Header2 3 2 4 3 2 3 4 2 2" xfId="39854"/>
    <cellStyle name="Header2 3 2 4 3 2 3 4 3" xfId="25613"/>
    <cellStyle name="Header2 3 2 4 3 2 3 4 4" xfId="34703"/>
    <cellStyle name="Header2 3 2 4 3 2 3 5" xfId="20943"/>
    <cellStyle name="Header2 3 2 4 3 2 3 5 2" xfId="32760"/>
    <cellStyle name="Header2 3 2 4 3 2 3 5 2 2" xfId="42759"/>
    <cellStyle name="Header2 3 2 4 3 2 3 5 3" xfId="37608"/>
    <cellStyle name="Header2 3 2 4 3 2 3 6" xfId="28063"/>
    <cellStyle name="Header2 3 2 4 3 2 3 6 2" xfId="38062"/>
    <cellStyle name="Header2 3 2 4 3 2 3 7" xfId="21442"/>
    <cellStyle name="Header2 3 2 4 3 2 4" xfId="15868"/>
    <cellStyle name="Header2 3 2 4 3 2 4 2" xfId="27685"/>
    <cellStyle name="Header2 3 2 4 3 2 4 2 2" xfId="37684"/>
    <cellStyle name="Header2 3 2 4 3 2 4 3" xfId="23746"/>
    <cellStyle name="Header2 3 2 4 3 2 4 4" xfId="32836"/>
    <cellStyle name="Header2 3 2 4 3 2 5" xfId="16604"/>
    <cellStyle name="Header2 3 2 4 3 2 5 2" xfId="28421"/>
    <cellStyle name="Header2 3 2 4 3 2 5 2 2" xfId="38420"/>
    <cellStyle name="Header2 3 2 4 3 2 5 3" xfId="24179"/>
    <cellStyle name="Header2 3 2 4 3 2 5 4" xfId="33269"/>
    <cellStyle name="Header2 3 2 4 3 2 6" xfId="17004"/>
    <cellStyle name="Header2 3 2 4 3 2 6 2" xfId="28821"/>
    <cellStyle name="Header2 3 2 4 3 2 6 2 2" xfId="38820"/>
    <cellStyle name="Header2 3 2 4 3 2 6 3" xfId="24579"/>
    <cellStyle name="Header2 3 2 4 3 2 6 4" xfId="33669"/>
    <cellStyle name="Header2 3 2 4 3 2 7" xfId="17180"/>
    <cellStyle name="Header2 3 2 4 3 2 7 2" xfId="28997"/>
    <cellStyle name="Header2 3 2 4 3 2 7 2 2" xfId="38996"/>
    <cellStyle name="Header2 3 2 4 3 2 7 3" xfId="24755"/>
    <cellStyle name="Header2 3 2 4 3 2 7 4" xfId="33845"/>
    <cellStyle name="Header2 3 2 4 3 2 8" xfId="17483"/>
    <cellStyle name="Header2 3 2 4 3 2 8 2" xfId="29300"/>
    <cellStyle name="Header2 3 2 4 3 2 8 2 2" xfId="39299"/>
    <cellStyle name="Header2 3 2 4 3 2 8 3" xfId="25058"/>
    <cellStyle name="Header2 3 2 4 3 2 8 4" xfId="34148"/>
    <cellStyle name="Header2 3 2 4 3 2 9" xfId="18452"/>
    <cellStyle name="Header2 3 2 4 3 2 9 2" xfId="30269"/>
    <cellStyle name="Header2 3 2 4 3 2 9 2 2" xfId="40268"/>
    <cellStyle name="Header2 3 2 4 3 2 9 3" xfId="25927"/>
    <cellStyle name="Header2 3 2 4 3 2 9 4" xfId="35117"/>
    <cellStyle name="Header2 3 2 4 3 3" xfId="7859"/>
    <cellStyle name="Header2 3 2 4 3 3 10" xfId="18747"/>
    <cellStyle name="Header2 3 2 4 3 3 10 2" xfId="30564"/>
    <cellStyle name="Header2 3 2 4 3 3 10 2 2" xfId="40563"/>
    <cellStyle name="Header2 3 2 4 3 3 10 3" xfId="26222"/>
    <cellStyle name="Header2 3 2 4 3 3 10 4" xfId="35412"/>
    <cellStyle name="Header2 3 2 4 3 3 11" xfId="20210"/>
    <cellStyle name="Header2 3 2 4 3 3 11 2" xfId="32027"/>
    <cellStyle name="Header2 3 2 4 3 3 11 2 2" xfId="42026"/>
    <cellStyle name="Header2 3 2 4 3 3 11 3" xfId="36875"/>
    <cellStyle name="Header2 3 2 4 3 3 12" xfId="23243"/>
    <cellStyle name="Header2 3 2 4 3 3 12 2" xfId="21978"/>
    <cellStyle name="Header2 3 2 4 3 3 13" xfId="22637"/>
    <cellStyle name="Header2 3 2 4 3 3 2" xfId="15666"/>
    <cellStyle name="Header2 3 2 4 3 3 2 2" xfId="19127"/>
    <cellStyle name="Header2 3 2 4 3 3 2 2 2" xfId="30944"/>
    <cellStyle name="Header2 3 2 4 3 3 2 2 2 2" xfId="40943"/>
    <cellStyle name="Header2 3 2 4 3 3 2 2 3" xfId="26602"/>
    <cellStyle name="Header2 3 2 4 3 3 2 2 4" xfId="35792"/>
    <cellStyle name="Header2 3 2 4 3 3 2 3" xfId="19733"/>
    <cellStyle name="Header2 3 2 4 3 3 2 3 2" xfId="31550"/>
    <cellStyle name="Header2 3 2 4 3 3 2 3 2 2" xfId="41549"/>
    <cellStyle name="Header2 3 2 4 3 3 2 3 3" xfId="27208"/>
    <cellStyle name="Header2 3 2 4 3 3 2 3 4" xfId="36398"/>
    <cellStyle name="Header2 3 2 4 3 3 2 4" xfId="18917"/>
    <cellStyle name="Header2 3 2 4 3 3 2 4 2" xfId="30734"/>
    <cellStyle name="Header2 3 2 4 3 3 2 4 2 2" xfId="40733"/>
    <cellStyle name="Header2 3 2 4 3 3 2 4 3" xfId="26392"/>
    <cellStyle name="Header2 3 2 4 3 3 2 4 4" xfId="35582"/>
    <cellStyle name="Header2 3 2 4 3 3 2 5" xfId="20542"/>
    <cellStyle name="Header2 3 2 4 3 3 2 5 2" xfId="32359"/>
    <cellStyle name="Header2 3 2 4 3 3 2 5 2 2" xfId="42358"/>
    <cellStyle name="Header2 3 2 4 3 3 2 5 3" xfId="37207"/>
    <cellStyle name="Header2 3 2 4 3 3 2 6" xfId="23544"/>
    <cellStyle name="Header2 3 2 4 3 3 2 6 2" xfId="21030"/>
    <cellStyle name="Header2 3 2 4 3 3 2 7" xfId="22848"/>
    <cellStyle name="Header2 3 2 4 3 3 2 7 2" xfId="22188"/>
    <cellStyle name="Header2 3 2 4 3 3 2 8" xfId="22422"/>
    <cellStyle name="Header2 3 2 4 3 3 3" xfId="16247"/>
    <cellStyle name="Header2 3 2 4 3 3 3 2" xfId="19423"/>
    <cellStyle name="Header2 3 2 4 3 3 3 2 2" xfId="31240"/>
    <cellStyle name="Header2 3 2 4 3 3 3 2 2 2" xfId="41239"/>
    <cellStyle name="Header2 3 2 4 3 3 3 2 3" xfId="26898"/>
    <cellStyle name="Header2 3 2 4 3 3 3 2 4" xfId="36088"/>
    <cellStyle name="Header2 3 2 4 3 3 3 3" xfId="20029"/>
    <cellStyle name="Header2 3 2 4 3 3 3 3 2" xfId="31846"/>
    <cellStyle name="Header2 3 2 4 3 3 3 3 2 2" xfId="41845"/>
    <cellStyle name="Header2 3 2 4 3 3 3 3 3" xfId="27504"/>
    <cellStyle name="Header2 3 2 4 3 3 3 3 4" xfId="36694"/>
    <cellStyle name="Header2 3 2 4 3 3 3 4" xfId="17907"/>
    <cellStyle name="Header2 3 2 4 3 3 3 4 2" xfId="29724"/>
    <cellStyle name="Header2 3 2 4 3 3 3 4 2 2" xfId="39723"/>
    <cellStyle name="Header2 3 2 4 3 3 3 4 3" xfId="25482"/>
    <cellStyle name="Header2 3 2 4 3 3 3 4 4" xfId="34572"/>
    <cellStyle name="Header2 3 2 4 3 3 3 5" xfId="20838"/>
    <cellStyle name="Header2 3 2 4 3 3 3 5 2" xfId="32655"/>
    <cellStyle name="Header2 3 2 4 3 3 3 5 2 2" xfId="42654"/>
    <cellStyle name="Header2 3 2 4 3 3 3 5 3" xfId="37503"/>
    <cellStyle name="Header2 3 2 4 3 3 3 6" xfId="28064"/>
    <cellStyle name="Header2 3 2 4 3 3 3 6 2" xfId="38063"/>
    <cellStyle name="Header2 3 2 4 3 3 3 7" xfId="21515"/>
    <cellStyle name="Header2 3 2 4 3 3 4" xfId="15958"/>
    <cellStyle name="Header2 3 2 4 3 3 4 2" xfId="27775"/>
    <cellStyle name="Header2 3 2 4 3 3 4 2 2" xfId="37774"/>
    <cellStyle name="Header2 3 2 4 3 3 4 3" xfId="23836"/>
    <cellStyle name="Header2 3 2 4 3 3 4 4" xfId="32926"/>
    <cellStyle name="Header2 3 2 4 3 3 5" xfId="16603"/>
    <cellStyle name="Header2 3 2 4 3 3 5 2" xfId="28420"/>
    <cellStyle name="Header2 3 2 4 3 3 5 2 2" xfId="38419"/>
    <cellStyle name="Header2 3 2 4 3 3 5 3" xfId="24178"/>
    <cellStyle name="Header2 3 2 4 3 3 5 4" xfId="33268"/>
    <cellStyle name="Header2 3 2 4 3 3 6" xfId="16899"/>
    <cellStyle name="Header2 3 2 4 3 3 6 2" xfId="28716"/>
    <cellStyle name="Header2 3 2 4 3 3 6 2 2" xfId="38715"/>
    <cellStyle name="Header2 3 2 4 3 3 6 3" xfId="24474"/>
    <cellStyle name="Header2 3 2 4 3 3 6 4" xfId="33564"/>
    <cellStyle name="Header2 3 2 4 3 3 7" xfId="17181"/>
    <cellStyle name="Header2 3 2 4 3 3 7 2" xfId="28998"/>
    <cellStyle name="Header2 3 2 4 3 3 7 2 2" xfId="38997"/>
    <cellStyle name="Header2 3 2 4 3 3 7 3" xfId="24756"/>
    <cellStyle name="Header2 3 2 4 3 3 7 4" xfId="33846"/>
    <cellStyle name="Header2 3 2 4 3 3 8" xfId="17484"/>
    <cellStyle name="Header2 3 2 4 3 3 8 2" xfId="29301"/>
    <cellStyle name="Header2 3 2 4 3 3 8 2 2" xfId="39300"/>
    <cellStyle name="Header2 3 2 4 3 3 8 3" xfId="25059"/>
    <cellStyle name="Header2 3 2 4 3 3 8 4" xfId="34149"/>
    <cellStyle name="Header2 3 2 4 3 3 9" xfId="18451"/>
    <cellStyle name="Header2 3 2 4 3 3 9 2" xfId="30268"/>
    <cellStyle name="Header2 3 2 4 3 3 9 2 2" xfId="40267"/>
    <cellStyle name="Header2 3 2 4 3 3 9 3" xfId="25926"/>
    <cellStyle name="Header2 3 2 4 3 3 9 4" xfId="35116"/>
    <cellStyle name="Header2 3 2 4 3 4" xfId="7860"/>
    <cellStyle name="Header2 3 2 4 3 4 10" xfId="18746"/>
    <cellStyle name="Header2 3 2 4 3 4 10 2" xfId="30563"/>
    <cellStyle name="Header2 3 2 4 3 4 10 2 2" xfId="40562"/>
    <cellStyle name="Header2 3 2 4 3 4 10 3" xfId="26221"/>
    <cellStyle name="Header2 3 2 4 3 4 10 4" xfId="35411"/>
    <cellStyle name="Header2 3 2 4 3 4 11" xfId="20309"/>
    <cellStyle name="Header2 3 2 4 3 4 11 2" xfId="32126"/>
    <cellStyle name="Header2 3 2 4 3 4 11 2 2" xfId="42125"/>
    <cellStyle name="Header2 3 2 4 3 4 11 3" xfId="36974"/>
    <cellStyle name="Header2 3 2 4 3 4 12" xfId="23242"/>
    <cellStyle name="Header2 3 2 4 3 4 12 2" xfId="21979"/>
    <cellStyle name="Header2 3 2 4 3 4 13" xfId="22636"/>
    <cellStyle name="Header2 3 2 4 3 4 2" xfId="15667"/>
    <cellStyle name="Header2 3 2 4 3 4 2 2" xfId="19126"/>
    <cellStyle name="Header2 3 2 4 3 4 2 2 2" xfId="30943"/>
    <cellStyle name="Header2 3 2 4 3 4 2 2 2 2" xfId="40942"/>
    <cellStyle name="Header2 3 2 4 3 4 2 2 3" xfId="26601"/>
    <cellStyle name="Header2 3 2 4 3 4 2 2 4" xfId="35791"/>
    <cellStyle name="Header2 3 2 4 3 4 2 3" xfId="19732"/>
    <cellStyle name="Header2 3 2 4 3 4 2 3 2" xfId="31549"/>
    <cellStyle name="Header2 3 2 4 3 4 2 3 2 2" xfId="41548"/>
    <cellStyle name="Header2 3 2 4 3 4 2 3 3" xfId="27207"/>
    <cellStyle name="Header2 3 2 4 3 4 2 3 4" xfId="36397"/>
    <cellStyle name="Header2 3 2 4 3 4 2 4" xfId="17976"/>
    <cellStyle name="Header2 3 2 4 3 4 2 4 2" xfId="29793"/>
    <cellStyle name="Header2 3 2 4 3 4 2 4 2 2" xfId="39792"/>
    <cellStyle name="Header2 3 2 4 3 4 2 4 3" xfId="25551"/>
    <cellStyle name="Header2 3 2 4 3 4 2 4 4" xfId="34641"/>
    <cellStyle name="Header2 3 2 4 3 4 2 5" xfId="20541"/>
    <cellStyle name="Header2 3 2 4 3 4 2 5 2" xfId="32358"/>
    <cellStyle name="Header2 3 2 4 3 4 2 5 2 2" xfId="42357"/>
    <cellStyle name="Header2 3 2 4 3 4 2 5 3" xfId="37206"/>
    <cellStyle name="Header2 3 2 4 3 4 2 6" xfId="23545"/>
    <cellStyle name="Header2 3 2 4 3 4 2 6 2" xfId="21029"/>
    <cellStyle name="Header2 3 2 4 3 4 2 7" xfId="22847"/>
    <cellStyle name="Header2 3 2 4 3 4 2 7 2" xfId="21385"/>
    <cellStyle name="Header2 3 2 4 3 4 2 8" xfId="22423"/>
    <cellStyle name="Header2 3 2 4 3 4 3" xfId="16248"/>
    <cellStyle name="Header2 3 2 4 3 4 3 2" xfId="19422"/>
    <cellStyle name="Header2 3 2 4 3 4 3 2 2" xfId="31239"/>
    <cellStyle name="Header2 3 2 4 3 4 3 2 2 2" xfId="41238"/>
    <cellStyle name="Header2 3 2 4 3 4 3 2 3" xfId="26897"/>
    <cellStyle name="Header2 3 2 4 3 4 3 2 4" xfId="36087"/>
    <cellStyle name="Header2 3 2 4 3 4 3 3" xfId="20028"/>
    <cellStyle name="Header2 3 2 4 3 4 3 3 2" xfId="31845"/>
    <cellStyle name="Header2 3 2 4 3 4 3 3 2 2" xfId="41844"/>
    <cellStyle name="Header2 3 2 4 3 4 3 3 3" xfId="27503"/>
    <cellStyle name="Header2 3 2 4 3 4 3 3 4" xfId="36693"/>
    <cellStyle name="Header2 3 2 4 3 4 3 4" xfId="17772"/>
    <cellStyle name="Header2 3 2 4 3 4 3 4 2" xfId="29589"/>
    <cellStyle name="Header2 3 2 4 3 4 3 4 2 2" xfId="39588"/>
    <cellStyle name="Header2 3 2 4 3 4 3 4 3" xfId="25347"/>
    <cellStyle name="Header2 3 2 4 3 4 3 4 4" xfId="34437"/>
    <cellStyle name="Header2 3 2 4 3 4 3 5" xfId="20837"/>
    <cellStyle name="Header2 3 2 4 3 4 3 5 2" xfId="32654"/>
    <cellStyle name="Header2 3 2 4 3 4 3 5 2 2" xfId="42653"/>
    <cellStyle name="Header2 3 2 4 3 4 3 5 3" xfId="37502"/>
    <cellStyle name="Header2 3 2 4 3 4 3 6" xfId="28065"/>
    <cellStyle name="Header2 3 2 4 3 4 3 6 2" xfId="38064"/>
    <cellStyle name="Header2 3 2 4 3 4 3 7" xfId="21516"/>
    <cellStyle name="Header2 3 2 4 3 4 4" xfId="15959"/>
    <cellStyle name="Header2 3 2 4 3 4 4 2" xfId="27776"/>
    <cellStyle name="Header2 3 2 4 3 4 4 2 2" xfId="37775"/>
    <cellStyle name="Header2 3 2 4 3 4 4 3" xfId="23837"/>
    <cellStyle name="Header2 3 2 4 3 4 4 4" xfId="32927"/>
    <cellStyle name="Header2 3 2 4 3 4 5" xfId="16602"/>
    <cellStyle name="Header2 3 2 4 3 4 5 2" xfId="28419"/>
    <cellStyle name="Header2 3 2 4 3 4 5 2 2" xfId="38418"/>
    <cellStyle name="Header2 3 2 4 3 4 5 3" xfId="24177"/>
    <cellStyle name="Header2 3 2 4 3 4 5 4" xfId="33267"/>
    <cellStyle name="Header2 3 2 4 3 4 6" xfId="16898"/>
    <cellStyle name="Header2 3 2 4 3 4 6 2" xfId="28715"/>
    <cellStyle name="Header2 3 2 4 3 4 6 2 2" xfId="38714"/>
    <cellStyle name="Header2 3 2 4 3 4 6 3" xfId="24473"/>
    <cellStyle name="Header2 3 2 4 3 4 6 4" xfId="33563"/>
    <cellStyle name="Header2 3 2 4 3 4 7" xfId="17182"/>
    <cellStyle name="Header2 3 2 4 3 4 7 2" xfId="28999"/>
    <cellStyle name="Header2 3 2 4 3 4 7 2 2" xfId="38998"/>
    <cellStyle name="Header2 3 2 4 3 4 7 3" xfId="24757"/>
    <cellStyle name="Header2 3 2 4 3 4 7 4" xfId="33847"/>
    <cellStyle name="Header2 3 2 4 3 4 8" xfId="17485"/>
    <cellStyle name="Header2 3 2 4 3 4 8 2" xfId="29302"/>
    <cellStyle name="Header2 3 2 4 3 4 8 2 2" xfId="39301"/>
    <cellStyle name="Header2 3 2 4 3 4 8 3" xfId="25060"/>
    <cellStyle name="Header2 3 2 4 3 4 8 4" xfId="34150"/>
    <cellStyle name="Header2 3 2 4 3 4 9" xfId="18450"/>
    <cellStyle name="Header2 3 2 4 3 4 9 2" xfId="30267"/>
    <cellStyle name="Header2 3 2 4 3 4 9 2 2" xfId="40266"/>
    <cellStyle name="Header2 3 2 4 3 4 9 3" xfId="25925"/>
    <cellStyle name="Header2 3 2 4 3 4 9 4" xfId="35115"/>
    <cellStyle name="Header2 3 2 4 3 5" xfId="15664"/>
    <cellStyle name="Header2 3 2 4 3 5 2" xfId="19129"/>
    <cellStyle name="Header2 3 2 4 3 5 2 2" xfId="30946"/>
    <cellStyle name="Header2 3 2 4 3 5 2 2 2" xfId="40945"/>
    <cellStyle name="Header2 3 2 4 3 5 2 3" xfId="26604"/>
    <cellStyle name="Header2 3 2 4 3 5 2 4" xfId="35794"/>
    <cellStyle name="Header2 3 2 4 3 5 3" xfId="19735"/>
    <cellStyle name="Header2 3 2 4 3 5 3 2" xfId="31552"/>
    <cellStyle name="Header2 3 2 4 3 5 3 2 2" xfId="41551"/>
    <cellStyle name="Header2 3 2 4 3 5 3 3" xfId="27210"/>
    <cellStyle name="Header2 3 2 4 3 5 3 4" xfId="36400"/>
    <cellStyle name="Header2 3 2 4 3 5 4" xfId="17975"/>
    <cellStyle name="Header2 3 2 4 3 5 4 2" xfId="29792"/>
    <cellStyle name="Header2 3 2 4 3 5 4 2 2" xfId="39791"/>
    <cellStyle name="Header2 3 2 4 3 5 4 3" xfId="25550"/>
    <cellStyle name="Header2 3 2 4 3 5 4 4" xfId="34640"/>
    <cellStyle name="Header2 3 2 4 3 5 5" xfId="20544"/>
    <cellStyle name="Header2 3 2 4 3 5 5 2" xfId="32361"/>
    <cellStyle name="Header2 3 2 4 3 5 5 2 2" xfId="42360"/>
    <cellStyle name="Header2 3 2 4 3 5 5 3" xfId="37209"/>
    <cellStyle name="Header2 3 2 4 3 5 6" xfId="23542"/>
    <cellStyle name="Header2 3 2 4 3 5 6 2" xfId="21031"/>
    <cellStyle name="Header2 3 2 4 3 5 7" xfId="22849"/>
    <cellStyle name="Header2 3 2 4 3 5 7 2" xfId="21384"/>
    <cellStyle name="Header2 3 2 4 3 5 8" xfId="22420"/>
    <cellStyle name="Header2 3 2 4 3 6" xfId="16245"/>
    <cellStyle name="Header2 3 2 4 3 6 2" xfId="19424"/>
    <cellStyle name="Header2 3 2 4 3 6 2 2" xfId="31241"/>
    <cellStyle name="Header2 3 2 4 3 6 2 2 2" xfId="41240"/>
    <cellStyle name="Header2 3 2 4 3 6 2 3" xfId="26899"/>
    <cellStyle name="Header2 3 2 4 3 6 2 4" xfId="36089"/>
    <cellStyle name="Header2 3 2 4 3 6 3" xfId="20030"/>
    <cellStyle name="Header2 3 2 4 3 6 3 2" xfId="31847"/>
    <cellStyle name="Header2 3 2 4 3 6 3 2 2" xfId="41846"/>
    <cellStyle name="Header2 3 2 4 3 6 3 3" xfId="27505"/>
    <cellStyle name="Header2 3 2 4 3 6 3 4" xfId="36695"/>
    <cellStyle name="Header2 3 2 4 3 6 4" xfId="18075"/>
    <cellStyle name="Header2 3 2 4 3 6 4 2" xfId="29892"/>
    <cellStyle name="Header2 3 2 4 3 6 4 2 2" xfId="39891"/>
    <cellStyle name="Header2 3 2 4 3 6 4 3" xfId="25650"/>
    <cellStyle name="Header2 3 2 4 3 6 4 4" xfId="34740"/>
    <cellStyle name="Header2 3 2 4 3 6 5" xfId="20839"/>
    <cellStyle name="Header2 3 2 4 3 6 5 2" xfId="32656"/>
    <cellStyle name="Header2 3 2 4 3 6 5 2 2" xfId="42655"/>
    <cellStyle name="Header2 3 2 4 3 6 5 3" xfId="37504"/>
    <cellStyle name="Header2 3 2 4 3 6 6" xfId="28062"/>
    <cellStyle name="Header2 3 2 4 3 6 6 2" xfId="38061"/>
    <cellStyle name="Header2 3 2 4 3 6 7" xfId="22249"/>
    <cellStyle name="Header2 3 2 4 3 7" xfId="15957"/>
    <cellStyle name="Header2 3 2 4 3 7 2" xfId="27774"/>
    <cellStyle name="Header2 3 2 4 3 7 2 2" xfId="37773"/>
    <cellStyle name="Header2 3 2 4 3 7 3" xfId="23835"/>
    <cellStyle name="Header2 3 2 4 3 7 4" xfId="32925"/>
    <cellStyle name="Header2 3 2 4 3 8" xfId="16605"/>
    <cellStyle name="Header2 3 2 4 3 8 2" xfId="28422"/>
    <cellStyle name="Header2 3 2 4 3 8 2 2" xfId="38421"/>
    <cellStyle name="Header2 3 2 4 3 8 3" xfId="24180"/>
    <cellStyle name="Header2 3 2 4 3 8 4" xfId="33270"/>
    <cellStyle name="Header2 3 2 4 3 9" xfId="16900"/>
    <cellStyle name="Header2 3 2 4 3 9 2" xfId="28717"/>
    <cellStyle name="Header2 3 2 4 3 9 2 2" xfId="38716"/>
    <cellStyle name="Header2 3 2 4 3 9 3" xfId="24475"/>
    <cellStyle name="Header2 3 2 4 3 9 4" xfId="33565"/>
    <cellStyle name="Header2 3 2 4 4" xfId="7861"/>
    <cellStyle name="Header2 3 2 4 4 10" xfId="18745"/>
    <cellStyle name="Header2 3 2 4 4 10 2" xfId="30562"/>
    <cellStyle name="Header2 3 2 4 4 10 2 2" xfId="40561"/>
    <cellStyle name="Header2 3 2 4 4 10 3" xfId="26220"/>
    <cellStyle name="Header2 3 2 4 4 10 4" xfId="35410"/>
    <cellStyle name="Header2 3 2 4 4 11" xfId="18250"/>
    <cellStyle name="Header2 3 2 4 4 11 2" xfId="30067"/>
    <cellStyle name="Header2 3 2 4 4 11 2 2" xfId="40066"/>
    <cellStyle name="Header2 3 2 4 4 11 3" xfId="34915"/>
    <cellStyle name="Header2 3 2 4 4 12" xfId="23241"/>
    <cellStyle name="Header2 3 2 4 4 12 2" xfId="21980"/>
    <cellStyle name="Header2 3 2 4 4 13" xfId="22635"/>
    <cellStyle name="Header2 3 2 4 4 2" xfId="15668"/>
    <cellStyle name="Header2 3 2 4 4 2 2" xfId="19125"/>
    <cellStyle name="Header2 3 2 4 4 2 2 2" xfId="30942"/>
    <cellStyle name="Header2 3 2 4 4 2 2 2 2" xfId="40941"/>
    <cellStyle name="Header2 3 2 4 4 2 2 3" xfId="26600"/>
    <cellStyle name="Header2 3 2 4 4 2 2 4" xfId="35790"/>
    <cellStyle name="Header2 3 2 4 4 2 3" xfId="19731"/>
    <cellStyle name="Header2 3 2 4 4 2 3 2" xfId="31548"/>
    <cellStyle name="Header2 3 2 4 4 2 3 2 2" xfId="41547"/>
    <cellStyle name="Header2 3 2 4 4 2 3 3" xfId="27206"/>
    <cellStyle name="Header2 3 2 4 4 2 3 4" xfId="36396"/>
    <cellStyle name="Header2 3 2 4 4 2 4" xfId="18908"/>
    <cellStyle name="Header2 3 2 4 4 2 4 2" xfId="30725"/>
    <cellStyle name="Header2 3 2 4 4 2 4 2 2" xfId="40724"/>
    <cellStyle name="Header2 3 2 4 4 2 4 3" xfId="26383"/>
    <cellStyle name="Header2 3 2 4 4 2 4 4" xfId="35573"/>
    <cellStyle name="Header2 3 2 4 4 2 5" xfId="20540"/>
    <cellStyle name="Header2 3 2 4 4 2 5 2" xfId="32357"/>
    <cellStyle name="Header2 3 2 4 4 2 5 2 2" xfId="42356"/>
    <cellStyle name="Header2 3 2 4 4 2 5 3" xfId="37205"/>
    <cellStyle name="Header2 3 2 4 4 2 6" xfId="23546"/>
    <cellStyle name="Header2 3 2 4 4 2 6 2" xfId="21028"/>
    <cellStyle name="Header2 3 2 4 4 2 7" xfId="22846"/>
    <cellStyle name="Header2 3 2 4 4 2 7 2" xfId="21386"/>
    <cellStyle name="Header2 3 2 4 4 2 8" xfId="22424"/>
    <cellStyle name="Header2 3 2 4 4 3" xfId="16249"/>
    <cellStyle name="Header2 3 2 4 4 3 2" xfId="19421"/>
    <cellStyle name="Header2 3 2 4 4 3 2 2" xfId="31238"/>
    <cellStyle name="Header2 3 2 4 4 3 2 2 2" xfId="41237"/>
    <cellStyle name="Header2 3 2 4 4 3 2 3" xfId="26896"/>
    <cellStyle name="Header2 3 2 4 4 3 2 4" xfId="36086"/>
    <cellStyle name="Header2 3 2 4 4 3 3" xfId="20027"/>
    <cellStyle name="Header2 3 2 4 4 3 3 2" xfId="31844"/>
    <cellStyle name="Header2 3 2 4 4 3 3 2 2" xfId="41843"/>
    <cellStyle name="Header2 3 2 4 4 3 3 3" xfId="27502"/>
    <cellStyle name="Header2 3 2 4 4 3 3 4" xfId="36692"/>
    <cellStyle name="Header2 3 2 4 4 3 4" xfId="17908"/>
    <cellStyle name="Header2 3 2 4 4 3 4 2" xfId="29725"/>
    <cellStyle name="Header2 3 2 4 4 3 4 2 2" xfId="39724"/>
    <cellStyle name="Header2 3 2 4 4 3 4 3" xfId="25483"/>
    <cellStyle name="Header2 3 2 4 4 3 4 4" xfId="34573"/>
    <cellStyle name="Header2 3 2 4 4 3 5" xfId="20836"/>
    <cellStyle name="Header2 3 2 4 4 3 5 2" xfId="32653"/>
    <cellStyle name="Header2 3 2 4 4 3 5 2 2" xfId="42652"/>
    <cellStyle name="Header2 3 2 4 4 3 5 3" xfId="37501"/>
    <cellStyle name="Header2 3 2 4 4 3 6" xfId="28066"/>
    <cellStyle name="Header2 3 2 4 4 3 6 2" xfId="38065"/>
    <cellStyle name="Header2 3 2 4 4 3 7" xfId="21517"/>
    <cellStyle name="Header2 3 2 4 4 4" xfId="15960"/>
    <cellStyle name="Header2 3 2 4 4 4 2" xfId="27777"/>
    <cellStyle name="Header2 3 2 4 4 4 2 2" xfId="37776"/>
    <cellStyle name="Header2 3 2 4 4 4 3" xfId="23838"/>
    <cellStyle name="Header2 3 2 4 4 4 4" xfId="32928"/>
    <cellStyle name="Header2 3 2 4 4 5" xfId="16601"/>
    <cellStyle name="Header2 3 2 4 4 5 2" xfId="28418"/>
    <cellStyle name="Header2 3 2 4 4 5 2 2" xfId="38417"/>
    <cellStyle name="Header2 3 2 4 4 5 3" xfId="24176"/>
    <cellStyle name="Header2 3 2 4 4 5 4" xfId="33266"/>
    <cellStyle name="Header2 3 2 4 4 6" xfId="16897"/>
    <cellStyle name="Header2 3 2 4 4 6 2" xfId="28714"/>
    <cellStyle name="Header2 3 2 4 4 6 2 2" xfId="38713"/>
    <cellStyle name="Header2 3 2 4 4 6 3" xfId="24472"/>
    <cellStyle name="Header2 3 2 4 4 6 4" xfId="33562"/>
    <cellStyle name="Header2 3 2 4 4 7" xfId="17183"/>
    <cellStyle name="Header2 3 2 4 4 7 2" xfId="29000"/>
    <cellStyle name="Header2 3 2 4 4 7 2 2" xfId="38999"/>
    <cellStyle name="Header2 3 2 4 4 7 3" xfId="24758"/>
    <cellStyle name="Header2 3 2 4 4 7 4" xfId="33848"/>
    <cellStyle name="Header2 3 2 4 4 8" xfId="17486"/>
    <cellStyle name="Header2 3 2 4 4 8 2" xfId="29303"/>
    <cellStyle name="Header2 3 2 4 4 8 2 2" xfId="39302"/>
    <cellStyle name="Header2 3 2 4 4 8 3" xfId="25061"/>
    <cellStyle name="Header2 3 2 4 4 8 4" xfId="34151"/>
    <cellStyle name="Header2 3 2 4 4 9" xfId="18449"/>
    <cellStyle name="Header2 3 2 4 4 9 2" xfId="30266"/>
    <cellStyle name="Header2 3 2 4 4 9 2 2" xfId="40265"/>
    <cellStyle name="Header2 3 2 4 4 9 3" xfId="25924"/>
    <cellStyle name="Header2 3 2 4 4 9 4" xfId="35114"/>
    <cellStyle name="Header2 3 2 4 5" xfId="7862"/>
    <cellStyle name="Header2 3 2 4 5 10" xfId="18744"/>
    <cellStyle name="Header2 3 2 4 5 10 2" xfId="30561"/>
    <cellStyle name="Header2 3 2 4 5 10 2 2" xfId="40560"/>
    <cellStyle name="Header2 3 2 4 5 10 3" xfId="26219"/>
    <cellStyle name="Header2 3 2 4 5 10 4" xfId="35409"/>
    <cellStyle name="Header2 3 2 4 5 11" xfId="20209"/>
    <cellStyle name="Header2 3 2 4 5 11 2" xfId="32026"/>
    <cellStyle name="Header2 3 2 4 5 11 2 2" xfId="42025"/>
    <cellStyle name="Header2 3 2 4 5 11 3" xfId="36874"/>
    <cellStyle name="Header2 3 2 4 5 12" xfId="23240"/>
    <cellStyle name="Header2 3 2 4 5 12 2" xfId="21981"/>
    <cellStyle name="Header2 3 2 4 5 13" xfId="22634"/>
    <cellStyle name="Header2 3 2 4 5 2" xfId="15669"/>
    <cellStyle name="Header2 3 2 4 5 2 2" xfId="19124"/>
    <cellStyle name="Header2 3 2 4 5 2 2 2" xfId="30941"/>
    <cellStyle name="Header2 3 2 4 5 2 2 2 2" xfId="40940"/>
    <cellStyle name="Header2 3 2 4 5 2 2 3" xfId="26599"/>
    <cellStyle name="Header2 3 2 4 5 2 2 4" xfId="35789"/>
    <cellStyle name="Header2 3 2 4 5 2 3" xfId="19730"/>
    <cellStyle name="Header2 3 2 4 5 2 3 2" xfId="31547"/>
    <cellStyle name="Header2 3 2 4 5 2 3 2 2" xfId="41546"/>
    <cellStyle name="Header2 3 2 4 5 2 3 3" xfId="27205"/>
    <cellStyle name="Header2 3 2 4 5 2 3 4" xfId="36395"/>
    <cellStyle name="Header2 3 2 4 5 2 4" xfId="18909"/>
    <cellStyle name="Header2 3 2 4 5 2 4 2" xfId="30726"/>
    <cellStyle name="Header2 3 2 4 5 2 4 2 2" xfId="40725"/>
    <cellStyle name="Header2 3 2 4 5 2 4 3" xfId="26384"/>
    <cellStyle name="Header2 3 2 4 5 2 4 4" xfId="35574"/>
    <cellStyle name="Header2 3 2 4 5 2 5" xfId="20539"/>
    <cellStyle name="Header2 3 2 4 5 2 5 2" xfId="32356"/>
    <cellStyle name="Header2 3 2 4 5 2 5 2 2" xfId="42355"/>
    <cellStyle name="Header2 3 2 4 5 2 5 3" xfId="37204"/>
    <cellStyle name="Header2 3 2 4 5 2 6" xfId="23547"/>
    <cellStyle name="Header2 3 2 4 5 2 6 2" xfId="21847"/>
    <cellStyle name="Header2 3 2 4 5 2 7" xfId="23011"/>
    <cellStyle name="Header2 3 2 4 5 2 7 2" xfId="21313"/>
    <cellStyle name="Header2 3 2 4 5 2 8" xfId="22425"/>
    <cellStyle name="Header2 3 2 4 5 3" xfId="16250"/>
    <cellStyle name="Header2 3 2 4 5 3 2" xfId="19420"/>
    <cellStyle name="Header2 3 2 4 5 3 2 2" xfId="31237"/>
    <cellStyle name="Header2 3 2 4 5 3 2 2 2" xfId="41236"/>
    <cellStyle name="Header2 3 2 4 5 3 2 3" xfId="26895"/>
    <cellStyle name="Header2 3 2 4 5 3 2 4" xfId="36085"/>
    <cellStyle name="Header2 3 2 4 5 3 3" xfId="20026"/>
    <cellStyle name="Header2 3 2 4 5 3 3 2" xfId="31843"/>
    <cellStyle name="Header2 3 2 4 5 3 3 2 2" xfId="41842"/>
    <cellStyle name="Header2 3 2 4 5 3 3 3" xfId="27501"/>
    <cellStyle name="Header2 3 2 4 5 3 3 4" xfId="36691"/>
    <cellStyle name="Header2 3 2 4 5 3 4" xfId="18076"/>
    <cellStyle name="Header2 3 2 4 5 3 4 2" xfId="29893"/>
    <cellStyle name="Header2 3 2 4 5 3 4 2 2" xfId="39892"/>
    <cellStyle name="Header2 3 2 4 5 3 4 3" xfId="25651"/>
    <cellStyle name="Header2 3 2 4 5 3 4 4" xfId="34741"/>
    <cellStyle name="Header2 3 2 4 5 3 5" xfId="20835"/>
    <cellStyle name="Header2 3 2 4 5 3 5 2" xfId="32652"/>
    <cellStyle name="Header2 3 2 4 5 3 5 2 2" xfId="42651"/>
    <cellStyle name="Header2 3 2 4 5 3 5 3" xfId="37500"/>
    <cellStyle name="Header2 3 2 4 5 3 6" xfId="28067"/>
    <cellStyle name="Header2 3 2 4 5 3 6 2" xfId="38066"/>
    <cellStyle name="Header2 3 2 4 5 3 7" xfId="22250"/>
    <cellStyle name="Header2 3 2 4 5 4" xfId="15961"/>
    <cellStyle name="Header2 3 2 4 5 4 2" xfId="27778"/>
    <cellStyle name="Header2 3 2 4 5 4 2 2" xfId="37777"/>
    <cellStyle name="Header2 3 2 4 5 4 3" xfId="23839"/>
    <cellStyle name="Header2 3 2 4 5 4 4" xfId="32929"/>
    <cellStyle name="Header2 3 2 4 5 5" xfId="16600"/>
    <cellStyle name="Header2 3 2 4 5 5 2" xfId="28417"/>
    <cellStyle name="Header2 3 2 4 5 5 2 2" xfId="38416"/>
    <cellStyle name="Header2 3 2 4 5 5 3" xfId="24175"/>
    <cellStyle name="Header2 3 2 4 5 5 4" xfId="33265"/>
    <cellStyle name="Header2 3 2 4 5 6" xfId="16896"/>
    <cellStyle name="Header2 3 2 4 5 6 2" xfId="28713"/>
    <cellStyle name="Header2 3 2 4 5 6 2 2" xfId="38712"/>
    <cellStyle name="Header2 3 2 4 5 6 3" xfId="24471"/>
    <cellStyle name="Header2 3 2 4 5 6 4" xfId="33561"/>
    <cellStyle name="Header2 3 2 4 5 7" xfId="17184"/>
    <cellStyle name="Header2 3 2 4 5 7 2" xfId="29001"/>
    <cellStyle name="Header2 3 2 4 5 7 2 2" xfId="39000"/>
    <cellStyle name="Header2 3 2 4 5 7 3" xfId="24759"/>
    <cellStyle name="Header2 3 2 4 5 7 4" xfId="33849"/>
    <cellStyle name="Header2 3 2 4 5 8" xfId="17487"/>
    <cellStyle name="Header2 3 2 4 5 8 2" xfId="29304"/>
    <cellStyle name="Header2 3 2 4 5 8 2 2" xfId="39303"/>
    <cellStyle name="Header2 3 2 4 5 8 3" xfId="25062"/>
    <cellStyle name="Header2 3 2 4 5 8 4" xfId="34152"/>
    <cellStyle name="Header2 3 2 4 5 9" xfId="18448"/>
    <cellStyle name="Header2 3 2 4 5 9 2" xfId="30265"/>
    <cellStyle name="Header2 3 2 4 5 9 2 2" xfId="40264"/>
    <cellStyle name="Header2 3 2 4 5 9 3" xfId="25923"/>
    <cellStyle name="Header2 3 2 4 5 9 4" xfId="35113"/>
    <cellStyle name="Header2 3 2 4 6" xfId="7863"/>
    <cellStyle name="Header2 3 2 4 6 10" xfId="18743"/>
    <cellStyle name="Header2 3 2 4 6 10 2" xfId="30560"/>
    <cellStyle name="Header2 3 2 4 6 10 2 2" xfId="40559"/>
    <cellStyle name="Header2 3 2 4 6 10 3" xfId="26218"/>
    <cellStyle name="Header2 3 2 4 6 10 4" xfId="35408"/>
    <cellStyle name="Header2 3 2 4 6 11" xfId="20360"/>
    <cellStyle name="Header2 3 2 4 6 11 2" xfId="32177"/>
    <cellStyle name="Header2 3 2 4 6 11 2 2" xfId="42176"/>
    <cellStyle name="Header2 3 2 4 6 11 3" xfId="37025"/>
    <cellStyle name="Header2 3 2 4 6 12" xfId="23239"/>
    <cellStyle name="Header2 3 2 4 6 12 2" xfId="21982"/>
    <cellStyle name="Header2 3 2 4 6 13" xfId="22633"/>
    <cellStyle name="Header2 3 2 4 6 2" xfId="15670"/>
    <cellStyle name="Header2 3 2 4 6 2 2" xfId="19123"/>
    <cellStyle name="Header2 3 2 4 6 2 2 2" xfId="30940"/>
    <cellStyle name="Header2 3 2 4 6 2 2 2 2" xfId="40939"/>
    <cellStyle name="Header2 3 2 4 6 2 2 3" xfId="26598"/>
    <cellStyle name="Header2 3 2 4 6 2 2 4" xfId="35788"/>
    <cellStyle name="Header2 3 2 4 6 2 3" xfId="19729"/>
    <cellStyle name="Header2 3 2 4 6 2 3 2" xfId="31546"/>
    <cellStyle name="Header2 3 2 4 6 2 3 2 2" xfId="41545"/>
    <cellStyle name="Header2 3 2 4 6 2 3 3" xfId="27204"/>
    <cellStyle name="Header2 3 2 4 6 2 3 4" xfId="36394"/>
    <cellStyle name="Header2 3 2 4 6 2 4" xfId="18910"/>
    <cellStyle name="Header2 3 2 4 6 2 4 2" xfId="30727"/>
    <cellStyle name="Header2 3 2 4 6 2 4 2 2" xfId="40726"/>
    <cellStyle name="Header2 3 2 4 6 2 4 3" xfId="26385"/>
    <cellStyle name="Header2 3 2 4 6 2 4 4" xfId="35575"/>
    <cellStyle name="Header2 3 2 4 6 2 5" xfId="20538"/>
    <cellStyle name="Header2 3 2 4 6 2 5 2" xfId="32355"/>
    <cellStyle name="Header2 3 2 4 6 2 5 2 2" xfId="42354"/>
    <cellStyle name="Header2 3 2 4 6 2 5 3" xfId="37203"/>
    <cellStyle name="Header2 3 2 4 6 2 6" xfId="23548"/>
    <cellStyle name="Header2 3 2 4 6 2 6 2" xfId="21027"/>
    <cellStyle name="Header2 3 2 4 6 2 7" xfId="22845"/>
    <cellStyle name="Header2 3 2 4 6 2 7 2" xfId="21387"/>
    <cellStyle name="Header2 3 2 4 6 2 8" xfId="22426"/>
    <cellStyle name="Header2 3 2 4 6 3" xfId="16251"/>
    <cellStyle name="Header2 3 2 4 6 3 2" xfId="19419"/>
    <cellStyle name="Header2 3 2 4 6 3 2 2" xfId="31236"/>
    <cellStyle name="Header2 3 2 4 6 3 2 2 2" xfId="41235"/>
    <cellStyle name="Header2 3 2 4 6 3 2 3" xfId="26894"/>
    <cellStyle name="Header2 3 2 4 6 3 2 4" xfId="36084"/>
    <cellStyle name="Header2 3 2 4 6 3 3" xfId="20025"/>
    <cellStyle name="Header2 3 2 4 6 3 3 2" xfId="31842"/>
    <cellStyle name="Header2 3 2 4 6 3 3 2 2" xfId="41841"/>
    <cellStyle name="Header2 3 2 4 6 3 3 3" xfId="27500"/>
    <cellStyle name="Header2 3 2 4 6 3 3 4" xfId="36690"/>
    <cellStyle name="Header2 3 2 4 6 3 4" xfId="17773"/>
    <cellStyle name="Header2 3 2 4 6 3 4 2" xfId="29590"/>
    <cellStyle name="Header2 3 2 4 6 3 4 2 2" xfId="39589"/>
    <cellStyle name="Header2 3 2 4 6 3 4 3" xfId="25348"/>
    <cellStyle name="Header2 3 2 4 6 3 4 4" xfId="34438"/>
    <cellStyle name="Header2 3 2 4 6 3 5" xfId="20834"/>
    <cellStyle name="Header2 3 2 4 6 3 5 2" xfId="32651"/>
    <cellStyle name="Header2 3 2 4 6 3 5 2 2" xfId="42650"/>
    <cellStyle name="Header2 3 2 4 6 3 5 3" xfId="37499"/>
    <cellStyle name="Header2 3 2 4 6 3 6" xfId="28068"/>
    <cellStyle name="Header2 3 2 4 6 3 6 2" xfId="38067"/>
    <cellStyle name="Header2 3 2 4 6 3 7" xfId="21518"/>
    <cellStyle name="Header2 3 2 4 6 4" xfId="15962"/>
    <cellStyle name="Header2 3 2 4 6 4 2" xfId="27779"/>
    <cellStyle name="Header2 3 2 4 6 4 2 2" xfId="37778"/>
    <cellStyle name="Header2 3 2 4 6 4 3" xfId="23840"/>
    <cellStyle name="Header2 3 2 4 6 4 4" xfId="32930"/>
    <cellStyle name="Header2 3 2 4 6 5" xfId="16599"/>
    <cellStyle name="Header2 3 2 4 6 5 2" xfId="28416"/>
    <cellStyle name="Header2 3 2 4 6 5 2 2" xfId="38415"/>
    <cellStyle name="Header2 3 2 4 6 5 3" xfId="24174"/>
    <cellStyle name="Header2 3 2 4 6 5 4" xfId="33264"/>
    <cellStyle name="Header2 3 2 4 6 6" xfId="16895"/>
    <cellStyle name="Header2 3 2 4 6 6 2" xfId="28712"/>
    <cellStyle name="Header2 3 2 4 6 6 2 2" xfId="38711"/>
    <cellStyle name="Header2 3 2 4 6 6 3" xfId="24470"/>
    <cellStyle name="Header2 3 2 4 6 6 4" xfId="33560"/>
    <cellStyle name="Header2 3 2 4 6 7" xfId="17185"/>
    <cellStyle name="Header2 3 2 4 6 7 2" xfId="29002"/>
    <cellStyle name="Header2 3 2 4 6 7 2 2" xfId="39001"/>
    <cellStyle name="Header2 3 2 4 6 7 3" xfId="24760"/>
    <cellStyle name="Header2 3 2 4 6 7 4" xfId="33850"/>
    <cellStyle name="Header2 3 2 4 6 8" xfId="17488"/>
    <cellStyle name="Header2 3 2 4 6 8 2" xfId="29305"/>
    <cellStyle name="Header2 3 2 4 6 8 2 2" xfId="39304"/>
    <cellStyle name="Header2 3 2 4 6 8 3" xfId="25063"/>
    <cellStyle name="Header2 3 2 4 6 8 4" xfId="34153"/>
    <cellStyle name="Header2 3 2 4 6 9" xfId="18447"/>
    <cellStyle name="Header2 3 2 4 6 9 2" xfId="30264"/>
    <cellStyle name="Header2 3 2 4 6 9 2 2" xfId="40263"/>
    <cellStyle name="Header2 3 2 4 6 9 3" xfId="25922"/>
    <cellStyle name="Header2 3 2 4 6 9 4" xfId="35112"/>
    <cellStyle name="Header2 3 2 4 7" xfId="15659"/>
    <cellStyle name="Header2 3 2 4 7 2" xfId="19134"/>
    <cellStyle name="Header2 3 2 4 7 2 2" xfId="30951"/>
    <cellStyle name="Header2 3 2 4 7 2 2 2" xfId="40950"/>
    <cellStyle name="Header2 3 2 4 7 2 3" xfId="26609"/>
    <cellStyle name="Header2 3 2 4 7 2 4" xfId="35799"/>
    <cellStyle name="Header2 3 2 4 7 3" xfId="19740"/>
    <cellStyle name="Header2 3 2 4 7 3 2" xfId="31557"/>
    <cellStyle name="Header2 3 2 4 7 3 2 2" xfId="41556"/>
    <cellStyle name="Header2 3 2 4 7 3 3" xfId="27215"/>
    <cellStyle name="Header2 3 2 4 7 3 4" xfId="36405"/>
    <cellStyle name="Header2 3 2 4 7 4" xfId="17700"/>
    <cellStyle name="Header2 3 2 4 7 4 2" xfId="29517"/>
    <cellStyle name="Header2 3 2 4 7 4 2 2" xfId="39516"/>
    <cellStyle name="Header2 3 2 4 7 4 3" xfId="25275"/>
    <cellStyle name="Header2 3 2 4 7 4 4" xfId="34365"/>
    <cellStyle name="Header2 3 2 4 7 5" xfId="20549"/>
    <cellStyle name="Header2 3 2 4 7 5 2" xfId="32366"/>
    <cellStyle name="Header2 3 2 4 7 5 2 2" xfId="42365"/>
    <cellStyle name="Header2 3 2 4 7 5 3" xfId="37214"/>
    <cellStyle name="Header2 3 2 4 7 6" xfId="23537"/>
    <cellStyle name="Header2 3 2 4 7 6 2" xfId="21852"/>
    <cellStyle name="Header2 3 2 4 7 7" xfId="23016"/>
    <cellStyle name="Header2 3 2 4 7 7 2" xfId="21310"/>
    <cellStyle name="Header2 3 2 4 7 8" xfId="22416"/>
    <cellStyle name="Header2 3 2 4 8" xfId="16240"/>
    <cellStyle name="Header2 3 2 4 8 2" xfId="19429"/>
    <cellStyle name="Header2 3 2 4 8 2 2" xfId="31246"/>
    <cellStyle name="Header2 3 2 4 8 2 2 2" xfId="41245"/>
    <cellStyle name="Header2 3 2 4 8 2 3" xfId="26904"/>
    <cellStyle name="Header2 3 2 4 8 2 4" xfId="36094"/>
    <cellStyle name="Header2 3 2 4 8 3" xfId="20035"/>
    <cellStyle name="Header2 3 2 4 8 3 2" xfId="31852"/>
    <cellStyle name="Header2 3 2 4 8 3 2 2" xfId="41851"/>
    <cellStyle name="Header2 3 2 4 8 3 3" xfId="27510"/>
    <cellStyle name="Header2 3 2 4 8 3 4" xfId="36700"/>
    <cellStyle name="Header2 3 2 4 8 4" xfId="17905"/>
    <cellStyle name="Header2 3 2 4 8 4 2" xfId="29722"/>
    <cellStyle name="Header2 3 2 4 8 4 2 2" xfId="39721"/>
    <cellStyle name="Header2 3 2 4 8 4 3" xfId="25480"/>
    <cellStyle name="Header2 3 2 4 8 4 4" xfId="34570"/>
    <cellStyle name="Header2 3 2 4 8 5" xfId="20844"/>
    <cellStyle name="Header2 3 2 4 8 5 2" xfId="32661"/>
    <cellStyle name="Header2 3 2 4 8 5 2 2" xfId="42660"/>
    <cellStyle name="Header2 3 2 4 8 5 3" xfId="37509"/>
    <cellStyle name="Header2 3 2 4 8 6" xfId="28057"/>
    <cellStyle name="Header2 3 2 4 8 6 2" xfId="38056"/>
    <cellStyle name="Header2 3 2 4 8 7" xfId="21511"/>
    <cellStyle name="Header2 3 2 4 9" xfId="15952"/>
    <cellStyle name="Header2 3 2 4 9 2" xfId="27769"/>
    <cellStyle name="Header2 3 2 4 9 2 2" xfId="37768"/>
    <cellStyle name="Header2 3 2 4 9 3" xfId="23830"/>
    <cellStyle name="Header2 3 2 4 9 4" xfId="32920"/>
    <cellStyle name="Header2 3 2 5" xfId="7864"/>
    <cellStyle name="Header2 3 2 5 10" xfId="16598"/>
    <cellStyle name="Header2 3 2 5 10 2" xfId="28415"/>
    <cellStyle name="Header2 3 2 5 10 2 2" xfId="38414"/>
    <cellStyle name="Header2 3 2 5 10 3" xfId="24173"/>
    <cellStyle name="Header2 3 2 5 10 4" xfId="33263"/>
    <cellStyle name="Header2 3 2 5 11" xfId="16894"/>
    <cellStyle name="Header2 3 2 5 11 2" xfId="28711"/>
    <cellStyle name="Header2 3 2 5 11 2 2" xfId="38710"/>
    <cellStyle name="Header2 3 2 5 11 3" xfId="24469"/>
    <cellStyle name="Header2 3 2 5 11 4" xfId="33559"/>
    <cellStyle name="Header2 3 2 5 12" xfId="17186"/>
    <cellStyle name="Header2 3 2 5 12 2" xfId="29003"/>
    <cellStyle name="Header2 3 2 5 12 2 2" xfId="39002"/>
    <cellStyle name="Header2 3 2 5 12 3" xfId="24761"/>
    <cellStyle name="Header2 3 2 5 12 4" xfId="33851"/>
    <cellStyle name="Header2 3 2 5 13" xfId="17489"/>
    <cellStyle name="Header2 3 2 5 13 2" xfId="29306"/>
    <cellStyle name="Header2 3 2 5 13 2 2" xfId="39305"/>
    <cellStyle name="Header2 3 2 5 13 3" xfId="25064"/>
    <cellStyle name="Header2 3 2 5 13 4" xfId="34154"/>
    <cellStyle name="Header2 3 2 5 14" xfId="18446"/>
    <cellStyle name="Header2 3 2 5 14 2" xfId="30263"/>
    <cellStyle name="Header2 3 2 5 14 2 2" xfId="40262"/>
    <cellStyle name="Header2 3 2 5 14 3" xfId="25921"/>
    <cellStyle name="Header2 3 2 5 14 4" xfId="35111"/>
    <cellStyle name="Header2 3 2 5 15" xfId="18742"/>
    <cellStyle name="Header2 3 2 5 15 2" xfId="30559"/>
    <cellStyle name="Header2 3 2 5 15 2 2" xfId="40558"/>
    <cellStyle name="Header2 3 2 5 15 3" xfId="26217"/>
    <cellStyle name="Header2 3 2 5 15 4" xfId="35407"/>
    <cellStyle name="Header2 3 2 5 16" xfId="20220"/>
    <cellStyle name="Header2 3 2 5 16 2" xfId="32037"/>
    <cellStyle name="Header2 3 2 5 16 2 2" xfId="42036"/>
    <cellStyle name="Header2 3 2 5 16 3" xfId="36885"/>
    <cellStyle name="Header2 3 2 5 17" xfId="23238"/>
    <cellStyle name="Header2 3 2 5 17 2" xfId="21201"/>
    <cellStyle name="Header2 3 2 5 18" xfId="22632"/>
    <cellStyle name="Header2 3 2 5 2" xfId="7865"/>
    <cellStyle name="Header2 3 2 5 2 10" xfId="17187"/>
    <cellStyle name="Header2 3 2 5 2 10 2" xfId="29004"/>
    <cellStyle name="Header2 3 2 5 2 10 2 2" xfId="39003"/>
    <cellStyle name="Header2 3 2 5 2 10 3" xfId="24762"/>
    <cellStyle name="Header2 3 2 5 2 10 4" xfId="33852"/>
    <cellStyle name="Header2 3 2 5 2 11" xfId="17490"/>
    <cellStyle name="Header2 3 2 5 2 11 2" xfId="29307"/>
    <cellStyle name="Header2 3 2 5 2 11 2 2" xfId="39306"/>
    <cellStyle name="Header2 3 2 5 2 11 3" xfId="25065"/>
    <cellStyle name="Header2 3 2 5 2 11 4" xfId="34155"/>
    <cellStyle name="Header2 3 2 5 2 12" xfId="18445"/>
    <cellStyle name="Header2 3 2 5 2 12 2" xfId="30262"/>
    <cellStyle name="Header2 3 2 5 2 12 2 2" xfId="40261"/>
    <cellStyle name="Header2 3 2 5 2 12 3" xfId="25920"/>
    <cellStyle name="Header2 3 2 5 2 12 4" xfId="35110"/>
    <cellStyle name="Header2 3 2 5 2 13" xfId="18741"/>
    <cellStyle name="Header2 3 2 5 2 13 2" xfId="30558"/>
    <cellStyle name="Header2 3 2 5 2 13 2 2" xfId="40557"/>
    <cellStyle name="Header2 3 2 5 2 13 3" xfId="26216"/>
    <cellStyle name="Header2 3 2 5 2 13 4" xfId="35406"/>
    <cellStyle name="Header2 3 2 5 2 14" xfId="20319"/>
    <cellStyle name="Header2 3 2 5 2 14 2" xfId="32136"/>
    <cellStyle name="Header2 3 2 5 2 14 2 2" xfId="42135"/>
    <cellStyle name="Header2 3 2 5 2 14 3" xfId="36984"/>
    <cellStyle name="Header2 3 2 5 2 15" xfId="23237"/>
    <cellStyle name="Header2 3 2 5 2 15 2" xfId="21202"/>
    <cellStyle name="Header2 3 2 5 2 16" xfId="22631"/>
    <cellStyle name="Header2 3 2 5 2 2" xfId="7866"/>
    <cellStyle name="Header2 3 2 5 2 2 10" xfId="18740"/>
    <cellStyle name="Header2 3 2 5 2 2 10 2" xfId="30557"/>
    <cellStyle name="Header2 3 2 5 2 2 10 2 2" xfId="40556"/>
    <cellStyle name="Header2 3 2 5 2 2 10 3" xfId="26215"/>
    <cellStyle name="Header2 3 2 5 2 2 10 4" xfId="35405"/>
    <cellStyle name="Header2 3 2 5 2 2 11" xfId="18251"/>
    <cellStyle name="Header2 3 2 5 2 2 11 2" xfId="30068"/>
    <cellStyle name="Header2 3 2 5 2 2 11 2 2" xfId="40067"/>
    <cellStyle name="Header2 3 2 5 2 2 11 3" xfId="34916"/>
    <cellStyle name="Header2 3 2 5 2 2 12" xfId="23236"/>
    <cellStyle name="Header2 3 2 5 2 2 12 2" xfId="21203"/>
    <cellStyle name="Header2 3 2 5 2 2 13" xfId="22630"/>
    <cellStyle name="Header2 3 2 5 2 2 2" xfId="15673"/>
    <cellStyle name="Header2 3 2 5 2 2 2 2" xfId="19120"/>
    <cellStyle name="Header2 3 2 5 2 2 2 2 2" xfId="30937"/>
    <cellStyle name="Header2 3 2 5 2 2 2 2 2 2" xfId="40936"/>
    <cellStyle name="Header2 3 2 5 2 2 2 2 3" xfId="26595"/>
    <cellStyle name="Header2 3 2 5 2 2 2 2 4" xfId="35785"/>
    <cellStyle name="Header2 3 2 5 2 2 2 3" xfId="19726"/>
    <cellStyle name="Header2 3 2 5 2 2 2 3 2" xfId="31543"/>
    <cellStyle name="Header2 3 2 5 2 2 2 3 2 2" xfId="41542"/>
    <cellStyle name="Header2 3 2 5 2 2 2 3 3" xfId="27201"/>
    <cellStyle name="Header2 3 2 5 2 2 2 3 4" xfId="36391"/>
    <cellStyle name="Header2 3 2 5 2 2 2 4" xfId="17979"/>
    <cellStyle name="Header2 3 2 5 2 2 2 4 2" xfId="29796"/>
    <cellStyle name="Header2 3 2 5 2 2 2 4 2 2" xfId="39795"/>
    <cellStyle name="Header2 3 2 5 2 2 2 4 3" xfId="25554"/>
    <cellStyle name="Header2 3 2 5 2 2 2 4 4" xfId="34644"/>
    <cellStyle name="Header2 3 2 5 2 2 2 5" xfId="20535"/>
    <cellStyle name="Header2 3 2 5 2 2 2 5 2" xfId="32352"/>
    <cellStyle name="Header2 3 2 5 2 2 2 5 2 2" xfId="42351"/>
    <cellStyle name="Header2 3 2 5 2 2 2 5 3" xfId="37200"/>
    <cellStyle name="Header2 3 2 5 2 2 2 6" xfId="23551"/>
    <cellStyle name="Header2 3 2 5 2 2 2 6 2" xfId="21025"/>
    <cellStyle name="Header2 3 2 5 2 2 2 7" xfId="22843"/>
    <cellStyle name="Header2 3 2 5 2 2 2 7 2" xfId="21389"/>
    <cellStyle name="Header2 3 2 5 2 2 2 8" xfId="22429"/>
    <cellStyle name="Header2 3 2 5 2 2 3" xfId="16254"/>
    <cellStyle name="Header2 3 2 5 2 2 3 2" xfId="19416"/>
    <cellStyle name="Header2 3 2 5 2 2 3 2 2" xfId="31233"/>
    <cellStyle name="Header2 3 2 5 2 2 3 2 2 2" xfId="41232"/>
    <cellStyle name="Header2 3 2 5 2 2 3 2 3" xfId="26891"/>
    <cellStyle name="Header2 3 2 5 2 2 3 2 4" xfId="36081"/>
    <cellStyle name="Header2 3 2 5 2 2 3 3" xfId="20022"/>
    <cellStyle name="Header2 3 2 5 2 2 3 3 2" xfId="31839"/>
    <cellStyle name="Header2 3 2 5 2 2 3 3 2 2" xfId="41838"/>
    <cellStyle name="Header2 3 2 5 2 2 3 3 3" xfId="27497"/>
    <cellStyle name="Header2 3 2 5 2 2 3 3 4" xfId="36687"/>
    <cellStyle name="Header2 3 2 5 2 2 3 4" xfId="18077"/>
    <cellStyle name="Header2 3 2 5 2 2 3 4 2" xfId="29894"/>
    <cellStyle name="Header2 3 2 5 2 2 3 4 2 2" xfId="39893"/>
    <cellStyle name="Header2 3 2 5 2 2 3 4 3" xfId="25652"/>
    <cellStyle name="Header2 3 2 5 2 2 3 4 4" xfId="34742"/>
    <cellStyle name="Header2 3 2 5 2 2 3 5" xfId="20831"/>
    <cellStyle name="Header2 3 2 5 2 2 3 5 2" xfId="32648"/>
    <cellStyle name="Header2 3 2 5 2 2 3 5 2 2" xfId="42647"/>
    <cellStyle name="Header2 3 2 5 2 2 3 5 3" xfId="37496"/>
    <cellStyle name="Header2 3 2 5 2 2 3 6" xfId="28071"/>
    <cellStyle name="Header2 3 2 5 2 2 3 6 2" xfId="38070"/>
    <cellStyle name="Header2 3 2 5 2 2 3 7" xfId="22252"/>
    <cellStyle name="Header2 3 2 5 2 2 4" xfId="15847"/>
    <cellStyle name="Header2 3 2 5 2 2 4 2" xfId="27664"/>
    <cellStyle name="Header2 3 2 5 2 2 4 2 2" xfId="37663"/>
    <cellStyle name="Header2 3 2 5 2 2 4 3" xfId="23725"/>
    <cellStyle name="Header2 3 2 5 2 2 4 4" xfId="32815"/>
    <cellStyle name="Header2 3 2 5 2 2 5" xfId="16596"/>
    <cellStyle name="Header2 3 2 5 2 2 5 2" xfId="28413"/>
    <cellStyle name="Header2 3 2 5 2 2 5 2 2" xfId="38412"/>
    <cellStyle name="Header2 3 2 5 2 2 5 3" xfId="24171"/>
    <cellStyle name="Header2 3 2 5 2 2 5 4" xfId="33261"/>
    <cellStyle name="Header2 3 2 5 2 2 6" xfId="16892"/>
    <cellStyle name="Header2 3 2 5 2 2 6 2" xfId="28709"/>
    <cellStyle name="Header2 3 2 5 2 2 6 2 2" xfId="38708"/>
    <cellStyle name="Header2 3 2 5 2 2 6 3" xfId="24467"/>
    <cellStyle name="Header2 3 2 5 2 2 6 4" xfId="33557"/>
    <cellStyle name="Header2 3 2 5 2 2 7" xfId="17188"/>
    <cellStyle name="Header2 3 2 5 2 2 7 2" xfId="29005"/>
    <cellStyle name="Header2 3 2 5 2 2 7 2 2" xfId="39004"/>
    <cellStyle name="Header2 3 2 5 2 2 7 3" xfId="24763"/>
    <cellStyle name="Header2 3 2 5 2 2 7 4" xfId="33853"/>
    <cellStyle name="Header2 3 2 5 2 2 8" xfId="17491"/>
    <cellStyle name="Header2 3 2 5 2 2 8 2" xfId="29308"/>
    <cellStyle name="Header2 3 2 5 2 2 8 2 2" xfId="39307"/>
    <cellStyle name="Header2 3 2 5 2 2 8 3" xfId="25066"/>
    <cellStyle name="Header2 3 2 5 2 2 8 4" xfId="34156"/>
    <cellStyle name="Header2 3 2 5 2 2 9" xfId="18444"/>
    <cellStyle name="Header2 3 2 5 2 2 9 2" xfId="30261"/>
    <cellStyle name="Header2 3 2 5 2 2 9 2 2" xfId="40260"/>
    <cellStyle name="Header2 3 2 5 2 2 9 3" xfId="25919"/>
    <cellStyle name="Header2 3 2 5 2 2 9 4" xfId="35109"/>
    <cellStyle name="Header2 3 2 5 2 3" xfId="7867"/>
    <cellStyle name="Header2 3 2 5 2 3 10" xfId="18739"/>
    <cellStyle name="Header2 3 2 5 2 3 10 2" xfId="30556"/>
    <cellStyle name="Header2 3 2 5 2 3 10 2 2" xfId="40555"/>
    <cellStyle name="Header2 3 2 5 2 3 10 3" xfId="26214"/>
    <cellStyle name="Header2 3 2 5 2 3 10 4" xfId="35404"/>
    <cellStyle name="Header2 3 2 5 2 3 11" xfId="18252"/>
    <cellStyle name="Header2 3 2 5 2 3 11 2" xfId="30069"/>
    <cellStyle name="Header2 3 2 5 2 3 11 2 2" xfId="40068"/>
    <cellStyle name="Header2 3 2 5 2 3 11 3" xfId="34917"/>
    <cellStyle name="Header2 3 2 5 2 3 12" xfId="23235"/>
    <cellStyle name="Header2 3 2 5 2 3 12 2" xfId="21204"/>
    <cellStyle name="Header2 3 2 5 2 3 13" xfId="22629"/>
    <cellStyle name="Header2 3 2 5 2 3 2" xfId="15674"/>
    <cellStyle name="Header2 3 2 5 2 3 2 2" xfId="19119"/>
    <cellStyle name="Header2 3 2 5 2 3 2 2 2" xfId="30936"/>
    <cellStyle name="Header2 3 2 5 2 3 2 2 2 2" xfId="40935"/>
    <cellStyle name="Header2 3 2 5 2 3 2 2 3" xfId="26594"/>
    <cellStyle name="Header2 3 2 5 2 3 2 2 4" xfId="35784"/>
    <cellStyle name="Header2 3 2 5 2 3 2 3" xfId="19725"/>
    <cellStyle name="Header2 3 2 5 2 3 2 3 2" xfId="31542"/>
    <cellStyle name="Header2 3 2 5 2 3 2 3 2 2" xfId="41541"/>
    <cellStyle name="Header2 3 2 5 2 3 2 3 3" xfId="27200"/>
    <cellStyle name="Header2 3 2 5 2 3 2 3 4" xfId="36390"/>
    <cellStyle name="Header2 3 2 5 2 3 2 4" xfId="17980"/>
    <cellStyle name="Header2 3 2 5 2 3 2 4 2" xfId="29797"/>
    <cellStyle name="Header2 3 2 5 2 3 2 4 2 2" xfId="39796"/>
    <cellStyle name="Header2 3 2 5 2 3 2 4 3" xfId="25555"/>
    <cellStyle name="Header2 3 2 5 2 3 2 4 4" xfId="34645"/>
    <cellStyle name="Header2 3 2 5 2 3 2 5" xfId="20534"/>
    <cellStyle name="Header2 3 2 5 2 3 2 5 2" xfId="32351"/>
    <cellStyle name="Header2 3 2 5 2 3 2 5 2 2" xfId="42350"/>
    <cellStyle name="Header2 3 2 5 2 3 2 5 3" xfId="37199"/>
    <cellStyle name="Header2 3 2 5 2 3 2 6" xfId="23552"/>
    <cellStyle name="Header2 3 2 5 2 3 2 6 2" xfId="21845"/>
    <cellStyle name="Header2 3 2 5 2 3 2 7" xfId="23009"/>
    <cellStyle name="Header2 3 2 5 2 3 2 7 2" xfId="22097"/>
    <cellStyle name="Header2 3 2 5 2 3 2 8" xfId="22430"/>
    <cellStyle name="Header2 3 2 5 2 3 3" xfId="16255"/>
    <cellStyle name="Header2 3 2 5 2 3 3 2" xfId="19415"/>
    <cellStyle name="Header2 3 2 5 2 3 3 2 2" xfId="31232"/>
    <cellStyle name="Header2 3 2 5 2 3 3 2 2 2" xfId="41231"/>
    <cellStyle name="Header2 3 2 5 2 3 3 2 3" xfId="26890"/>
    <cellStyle name="Header2 3 2 5 2 3 3 2 4" xfId="36080"/>
    <cellStyle name="Header2 3 2 5 2 3 3 3" xfId="20021"/>
    <cellStyle name="Header2 3 2 5 2 3 3 3 2" xfId="31838"/>
    <cellStyle name="Header2 3 2 5 2 3 3 3 2 2" xfId="41837"/>
    <cellStyle name="Header2 3 2 5 2 3 3 3 3" xfId="27496"/>
    <cellStyle name="Header2 3 2 5 2 3 3 3 4" xfId="36686"/>
    <cellStyle name="Header2 3 2 5 2 3 3 4" xfId="17909"/>
    <cellStyle name="Header2 3 2 5 2 3 3 4 2" xfId="29726"/>
    <cellStyle name="Header2 3 2 5 2 3 3 4 2 2" xfId="39725"/>
    <cellStyle name="Header2 3 2 5 2 3 3 4 3" xfId="25484"/>
    <cellStyle name="Header2 3 2 5 2 3 3 4 4" xfId="34574"/>
    <cellStyle name="Header2 3 2 5 2 3 3 5" xfId="20830"/>
    <cellStyle name="Header2 3 2 5 2 3 3 5 2" xfId="32647"/>
    <cellStyle name="Header2 3 2 5 2 3 3 5 2 2" xfId="42646"/>
    <cellStyle name="Header2 3 2 5 2 3 3 5 3" xfId="37495"/>
    <cellStyle name="Header2 3 2 5 2 3 3 6" xfId="28072"/>
    <cellStyle name="Header2 3 2 5 2 3 3 6 2" xfId="38071"/>
    <cellStyle name="Header2 3 2 5 2 3 3 7" xfId="22253"/>
    <cellStyle name="Header2 3 2 5 2 3 4" xfId="15965"/>
    <cellStyle name="Header2 3 2 5 2 3 4 2" xfId="27782"/>
    <cellStyle name="Header2 3 2 5 2 3 4 2 2" xfId="37781"/>
    <cellStyle name="Header2 3 2 5 2 3 4 3" xfId="23843"/>
    <cellStyle name="Header2 3 2 5 2 3 4 4" xfId="32933"/>
    <cellStyle name="Header2 3 2 5 2 3 5" xfId="16595"/>
    <cellStyle name="Header2 3 2 5 2 3 5 2" xfId="28412"/>
    <cellStyle name="Header2 3 2 5 2 3 5 2 2" xfId="38411"/>
    <cellStyle name="Header2 3 2 5 2 3 5 3" xfId="24170"/>
    <cellStyle name="Header2 3 2 5 2 3 5 4" xfId="33260"/>
    <cellStyle name="Header2 3 2 5 2 3 6" xfId="16891"/>
    <cellStyle name="Header2 3 2 5 2 3 6 2" xfId="28708"/>
    <cellStyle name="Header2 3 2 5 2 3 6 2 2" xfId="38707"/>
    <cellStyle name="Header2 3 2 5 2 3 6 3" xfId="24466"/>
    <cellStyle name="Header2 3 2 5 2 3 6 4" xfId="33556"/>
    <cellStyle name="Header2 3 2 5 2 3 7" xfId="17189"/>
    <cellStyle name="Header2 3 2 5 2 3 7 2" xfId="29006"/>
    <cellStyle name="Header2 3 2 5 2 3 7 2 2" xfId="39005"/>
    <cellStyle name="Header2 3 2 5 2 3 7 3" xfId="24764"/>
    <cellStyle name="Header2 3 2 5 2 3 7 4" xfId="33854"/>
    <cellStyle name="Header2 3 2 5 2 3 8" xfId="17492"/>
    <cellStyle name="Header2 3 2 5 2 3 8 2" xfId="29309"/>
    <cellStyle name="Header2 3 2 5 2 3 8 2 2" xfId="39308"/>
    <cellStyle name="Header2 3 2 5 2 3 8 3" xfId="25067"/>
    <cellStyle name="Header2 3 2 5 2 3 8 4" xfId="34157"/>
    <cellStyle name="Header2 3 2 5 2 3 9" xfId="18443"/>
    <cellStyle name="Header2 3 2 5 2 3 9 2" xfId="30260"/>
    <cellStyle name="Header2 3 2 5 2 3 9 2 2" xfId="40259"/>
    <cellStyle name="Header2 3 2 5 2 3 9 3" xfId="25918"/>
    <cellStyle name="Header2 3 2 5 2 3 9 4" xfId="35108"/>
    <cellStyle name="Header2 3 2 5 2 4" xfId="7868"/>
    <cellStyle name="Header2 3 2 5 2 4 10" xfId="18738"/>
    <cellStyle name="Header2 3 2 5 2 4 10 2" xfId="30555"/>
    <cellStyle name="Header2 3 2 5 2 4 10 2 2" xfId="40554"/>
    <cellStyle name="Header2 3 2 5 2 4 10 3" xfId="26213"/>
    <cellStyle name="Header2 3 2 5 2 4 10 4" xfId="35403"/>
    <cellStyle name="Header2 3 2 5 2 4 11" xfId="18253"/>
    <cellStyle name="Header2 3 2 5 2 4 11 2" xfId="30070"/>
    <cellStyle name="Header2 3 2 5 2 4 11 2 2" xfId="40069"/>
    <cellStyle name="Header2 3 2 5 2 4 11 3" xfId="34918"/>
    <cellStyle name="Header2 3 2 5 2 4 12" xfId="23234"/>
    <cellStyle name="Header2 3 2 5 2 4 12 2" xfId="21983"/>
    <cellStyle name="Header2 3 2 5 2 4 13" xfId="22628"/>
    <cellStyle name="Header2 3 2 5 2 4 2" xfId="15675"/>
    <cellStyle name="Header2 3 2 5 2 4 2 2" xfId="19118"/>
    <cellStyle name="Header2 3 2 5 2 4 2 2 2" xfId="30935"/>
    <cellStyle name="Header2 3 2 5 2 4 2 2 2 2" xfId="40934"/>
    <cellStyle name="Header2 3 2 5 2 4 2 2 3" xfId="26593"/>
    <cellStyle name="Header2 3 2 5 2 4 2 2 4" xfId="35783"/>
    <cellStyle name="Header2 3 2 5 2 4 2 3" xfId="19724"/>
    <cellStyle name="Header2 3 2 5 2 4 2 3 2" xfId="31541"/>
    <cellStyle name="Header2 3 2 5 2 4 2 3 2 2" xfId="41540"/>
    <cellStyle name="Header2 3 2 5 2 4 2 3 3" xfId="27199"/>
    <cellStyle name="Header2 3 2 5 2 4 2 3 4" xfId="36389"/>
    <cellStyle name="Header2 3 2 5 2 4 2 4" xfId="17701"/>
    <cellStyle name="Header2 3 2 5 2 4 2 4 2" xfId="29518"/>
    <cellStyle name="Header2 3 2 5 2 4 2 4 2 2" xfId="39517"/>
    <cellStyle name="Header2 3 2 5 2 4 2 4 3" xfId="25276"/>
    <cellStyle name="Header2 3 2 5 2 4 2 4 4" xfId="34366"/>
    <cellStyle name="Header2 3 2 5 2 4 2 5" xfId="20533"/>
    <cellStyle name="Header2 3 2 5 2 4 2 5 2" xfId="32350"/>
    <cellStyle name="Header2 3 2 5 2 4 2 5 2 2" xfId="42349"/>
    <cellStyle name="Header2 3 2 5 2 4 2 5 3" xfId="37198"/>
    <cellStyle name="Header2 3 2 5 2 4 2 6" xfId="23553"/>
    <cellStyle name="Header2 3 2 5 2 4 2 6 2" xfId="21844"/>
    <cellStyle name="Header2 3 2 5 2 4 2 7" xfId="23008"/>
    <cellStyle name="Header2 3 2 5 2 4 2 7 2" xfId="21315"/>
    <cellStyle name="Header2 3 2 5 2 4 2 8" xfId="22431"/>
    <cellStyle name="Header2 3 2 5 2 4 3" xfId="16256"/>
    <cellStyle name="Header2 3 2 5 2 4 3 2" xfId="19414"/>
    <cellStyle name="Header2 3 2 5 2 4 3 2 2" xfId="31231"/>
    <cellStyle name="Header2 3 2 5 2 4 3 2 2 2" xfId="41230"/>
    <cellStyle name="Header2 3 2 5 2 4 3 2 3" xfId="26889"/>
    <cellStyle name="Header2 3 2 5 2 4 3 2 4" xfId="36079"/>
    <cellStyle name="Header2 3 2 5 2 4 3 3" xfId="20020"/>
    <cellStyle name="Header2 3 2 5 2 4 3 3 2" xfId="31837"/>
    <cellStyle name="Header2 3 2 5 2 4 3 3 2 2" xfId="41836"/>
    <cellStyle name="Header2 3 2 5 2 4 3 3 3" xfId="27495"/>
    <cellStyle name="Header2 3 2 5 2 4 3 3 4" xfId="36685"/>
    <cellStyle name="Header2 3 2 5 2 4 3 4" xfId="17776"/>
    <cellStyle name="Header2 3 2 5 2 4 3 4 2" xfId="29593"/>
    <cellStyle name="Header2 3 2 5 2 4 3 4 2 2" xfId="39592"/>
    <cellStyle name="Header2 3 2 5 2 4 3 4 3" xfId="25351"/>
    <cellStyle name="Header2 3 2 5 2 4 3 4 4" xfId="34441"/>
    <cellStyle name="Header2 3 2 5 2 4 3 5" xfId="20829"/>
    <cellStyle name="Header2 3 2 5 2 4 3 5 2" xfId="32646"/>
    <cellStyle name="Header2 3 2 5 2 4 3 5 2 2" xfId="42645"/>
    <cellStyle name="Header2 3 2 5 2 4 3 5 3" xfId="37494"/>
    <cellStyle name="Header2 3 2 5 2 4 3 6" xfId="28073"/>
    <cellStyle name="Header2 3 2 5 2 4 3 6 2" xfId="38072"/>
    <cellStyle name="Header2 3 2 5 2 4 3 7" xfId="22254"/>
    <cellStyle name="Header2 3 2 5 2 4 4" xfId="15966"/>
    <cellStyle name="Header2 3 2 5 2 4 4 2" xfId="27783"/>
    <cellStyle name="Header2 3 2 5 2 4 4 2 2" xfId="37782"/>
    <cellStyle name="Header2 3 2 5 2 4 4 3" xfId="23844"/>
    <cellStyle name="Header2 3 2 5 2 4 4 4" xfId="32934"/>
    <cellStyle name="Header2 3 2 5 2 4 5" xfId="16594"/>
    <cellStyle name="Header2 3 2 5 2 4 5 2" xfId="28411"/>
    <cellStyle name="Header2 3 2 5 2 4 5 2 2" xfId="38410"/>
    <cellStyle name="Header2 3 2 5 2 4 5 3" xfId="24169"/>
    <cellStyle name="Header2 3 2 5 2 4 5 4" xfId="33259"/>
    <cellStyle name="Header2 3 2 5 2 4 6" xfId="16890"/>
    <cellStyle name="Header2 3 2 5 2 4 6 2" xfId="28707"/>
    <cellStyle name="Header2 3 2 5 2 4 6 2 2" xfId="38706"/>
    <cellStyle name="Header2 3 2 5 2 4 6 3" xfId="24465"/>
    <cellStyle name="Header2 3 2 5 2 4 6 4" xfId="33555"/>
    <cellStyle name="Header2 3 2 5 2 4 7" xfId="17190"/>
    <cellStyle name="Header2 3 2 5 2 4 7 2" xfId="29007"/>
    <cellStyle name="Header2 3 2 5 2 4 7 2 2" xfId="39006"/>
    <cellStyle name="Header2 3 2 5 2 4 7 3" xfId="24765"/>
    <cellStyle name="Header2 3 2 5 2 4 7 4" xfId="33855"/>
    <cellStyle name="Header2 3 2 5 2 4 8" xfId="17493"/>
    <cellStyle name="Header2 3 2 5 2 4 8 2" xfId="29310"/>
    <cellStyle name="Header2 3 2 5 2 4 8 2 2" xfId="39309"/>
    <cellStyle name="Header2 3 2 5 2 4 8 3" xfId="25068"/>
    <cellStyle name="Header2 3 2 5 2 4 8 4" xfId="34158"/>
    <cellStyle name="Header2 3 2 5 2 4 9" xfId="18442"/>
    <cellStyle name="Header2 3 2 5 2 4 9 2" xfId="30259"/>
    <cellStyle name="Header2 3 2 5 2 4 9 2 2" xfId="40258"/>
    <cellStyle name="Header2 3 2 5 2 4 9 3" xfId="25917"/>
    <cellStyle name="Header2 3 2 5 2 4 9 4" xfId="35107"/>
    <cellStyle name="Header2 3 2 5 2 5" xfId="15672"/>
    <cellStyle name="Header2 3 2 5 2 5 2" xfId="19121"/>
    <cellStyle name="Header2 3 2 5 2 5 2 2" xfId="30938"/>
    <cellStyle name="Header2 3 2 5 2 5 2 2 2" xfId="40937"/>
    <cellStyle name="Header2 3 2 5 2 5 2 3" xfId="26596"/>
    <cellStyle name="Header2 3 2 5 2 5 2 4" xfId="35786"/>
    <cellStyle name="Header2 3 2 5 2 5 3" xfId="19727"/>
    <cellStyle name="Header2 3 2 5 2 5 3 2" xfId="31544"/>
    <cellStyle name="Header2 3 2 5 2 5 3 2 2" xfId="41543"/>
    <cellStyle name="Header2 3 2 5 2 5 3 3" xfId="27202"/>
    <cellStyle name="Header2 3 2 5 2 5 3 4" xfId="36392"/>
    <cellStyle name="Header2 3 2 5 2 5 4" xfId="17978"/>
    <cellStyle name="Header2 3 2 5 2 5 4 2" xfId="29795"/>
    <cellStyle name="Header2 3 2 5 2 5 4 2 2" xfId="39794"/>
    <cellStyle name="Header2 3 2 5 2 5 4 3" xfId="25553"/>
    <cellStyle name="Header2 3 2 5 2 5 4 4" xfId="34643"/>
    <cellStyle name="Header2 3 2 5 2 5 5" xfId="20536"/>
    <cellStyle name="Header2 3 2 5 2 5 5 2" xfId="32353"/>
    <cellStyle name="Header2 3 2 5 2 5 5 2 2" xfId="42352"/>
    <cellStyle name="Header2 3 2 5 2 5 5 3" xfId="37201"/>
    <cellStyle name="Header2 3 2 5 2 5 6" xfId="23550"/>
    <cellStyle name="Header2 3 2 5 2 5 6 2" xfId="21026"/>
    <cellStyle name="Header2 3 2 5 2 5 7" xfId="22844"/>
    <cellStyle name="Header2 3 2 5 2 5 7 2" xfId="21388"/>
    <cellStyle name="Header2 3 2 5 2 5 8" xfId="22428"/>
    <cellStyle name="Header2 3 2 5 2 6" xfId="16253"/>
    <cellStyle name="Header2 3 2 5 2 6 2" xfId="19417"/>
    <cellStyle name="Header2 3 2 5 2 6 2 2" xfId="31234"/>
    <cellStyle name="Header2 3 2 5 2 6 2 2 2" xfId="41233"/>
    <cellStyle name="Header2 3 2 5 2 6 2 3" xfId="26892"/>
    <cellStyle name="Header2 3 2 5 2 6 2 4" xfId="36082"/>
    <cellStyle name="Header2 3 2 5 2 6 3" xfId="20023"/>
    <cellStyle name="Header2 3 2 5 2 6 3 2" xfId="31840"/>
    <cellStyle name="Header2 3 2 5 2 6 3 2 2" xfId="41839"/>
    <cellStyle name="Header2 3 2 5 2 6 3 3" xfId="27498"/>
    <cellStyle name="Header2 3 2 5 2 6 3 4" xfId="36688"/>
    <cellStyle name="Header2 3 2 5 2 6 4" xfId="17775"/>
    <cellStyle name="Header2 3 2 5 2 6 4 2" xfId="29592"/>
    <cellStyle name="Header2 3 2 5 2 6 4 2 2" xfId="39591"/>
    <cellStyle name="Header2 3 2 5 2 6 4 3" xfId="25350"/>
    <cellStyle name="Header2 3 2 5 2 6 4 4" xfId="34440"/>
    <cellStyle name="Header2 3 2 5 2 6 5" xfId="20832"/>
    <cellStyle name="Header2 3 2 5 2 6 5 2" xfId="32649"/>
    <cellStyle name="Header2 3 2 5 2 6 5 2 2" xfId="42648"/>
    <cellStyle name="Header2 3 2 5 2 6 5 3" xfId="37497"/>
    <cellStyle name="Header2 3 2 5 2 6 6" xfId="28070"/>
    <cellStyle name="Header2 3 2 5 2 6 6 2" xfId="38069"/>
    <cellStyle name="Header2 3 2 5 2 6 7" xfId="21519"/>
    <cellStyle name="Header2 3 2 5 2 7" xfId="15964"/>
    <cellStyle name="Header2 3 2 5 2 7 2" xfId="27781"/>
    <cellStyle name="Header2 3 2 5 2 7 2 2" xfId="37780"/>
    <cellStyle name="Header2 3 2 5 2 7 3" xfId="23842"/>
    <cellStyle name="Header2 3 2 5 2 7 4" xfId="32932"/>
    <cellStyle name="Header2 3 2 5 2 8" xfId="16597"/>
    <cellStyle name="Header2 3 2 5 2 8 2" xfId="28414"/>
    <cellStyle name="Header2 3 2 5 2 8 2 2" xfId="38413"/>
    <cellStyle name="Header2 3 2 5 2 8 3" xfId="24172"/>
    <cellStyle name="Header2 3 2 5 2 8 4" xfId="33262"/>
    <cellStyle name="Header2 3 2 5 2 9" xfId="16893"/>
    <cellStyle name="Header2 3 2 5 2 9 2" xfId="28710"/>
    <cellStyle name="Header2 3 2 5 2 9 2 2" xfId="38709"/>
    <cellStyle name="Header2 3 2 5 2 9 3" xfId="24468"/>
    <cellStyle name="Header2 3 2 5 2 9 4" xfId="33558"/>
    <cellStyle name="Header2 3 2 5 3" xfId="7869"/>
    <cellStyle name="Header2 3 2 5 3 10" xfId="17191"/>
    <cellStyle name="Header2 3 2 5 3 10 2" xfId="29008"/>
    <cellStyle name="Header2 3 2 5 3 10 2 2" xfId="39007"/>
    <cellStyle name="Header2 3 2 5 3 10 3" xfId="24766"/>
    <cellStyle name="Header2 3 2 5 3 10 4" xfId="33856"/>
    <cellStyle name="Header2 3 2 5 3 11" xfId="17494"/>
    <cellStyle name="Header2 3 2 5 3 11 2" xfId="29311"/>
    <cellStyle name="Header2 3 2 5 3 11 2 2" xfId="39310"/>
    <cellStyle name="Header2 3 2 5 3 11 3" xfId="25069"/>
    <cellStyle name="Header2 3 2 5 3 11 4" xfId="34159"/>
    <cellStyle name="Header2 3 2 5 3 12" xfId="18441"/>
    <cellStyle name="Header2 3 2 5 3 12 2" xfId="30258"/>
    <cellStyle name="Header2 3 2 5 3 12 2 2" xfId="40257"/>
    <cellStyle name="Header2 3 2 5 3 12 3" xfId="25916"/>
    <cellStyle name="Header2 3 2 5 3 12 4" xfId="35106"/>
    <cellStyle name="Header2 3 2 5 3 13" xfId="18737"/>
    <cellStyle name="Header2 3 2 5 3 13 2" xfId="30554"/>
    <cellStyle name="Header2 3 2 5 3 13 2 2" xfId="40553"/>
    <cellStyle name="Header2 3 2 5 3 13 3" xfId="26212"/>
    <cellStyle name="Header2 3 2 5 3 13 4" xfId="35402"/>
    <cellStyle name="Header2 3 2 5 3 14" xfId="20206"/>
    <cellStyle name="Header2 3 2 5 3 14 2" xfId="32023"/>
    <cellStyle name="Header2 3 2 5 3 14 2 2" xfId="42022"/>
    <cellStyle name="Header2 3 2 5 3 14 3" xfId="36871"/>
    <cellStyle name="Header2 3 2 5 3 15" xfId="23233"/>
    <cellStyle name="Header2 3 2 5 3 15 2" xfId="21205"/>
    <cellStyle name="Header2 3 2 5 3 16" xfId="22627"/>
    <cellStyle name="Header2 3 2 5 3 2" xfId="7870"/>
    <cellStyle name="Header2 3 2 5 3 2 10" xfId="18736"/>
    <cellStyle name="Header2 3 2 5 3 2 10 2" xfId="30553"/>
    <cellStyle name="Header2 3 2 5 3 2 10 2 2" xfId="40552"/>
    <cellStyle name="Header2 3 2 5 3 2 10 3" xfId="26211"/>
    <cellStyle name="Header2 3 2 5 3 2 10 4" xfId="35401"/>
    <cellStyle name="Header2 3 2 5 3 2 11" xfId="20306"/>
    <cellStyle name="Header2 3 2 5 3 2 11 2" xfId="32123"/>
    <cellStyle name="Header2 3 2 5 3 2 11 2 2" xfId="42122"/>
    <cellStyle name="Header2 3 2 5 3 2 11 3" xfId="36971"/>
    <cellStyle name="Header2 3 2 5 3 2 12" xfId="23232"/>
    <cellStyle name="Header2 3 2 5 3 2 12 2" xfId="21206"/>
    <cellStyle name="Header2 3 2 5 3 2 13" xfId="22626"/>
    <cellStyle name="Header2 3 2 5 3 2 2" xfId="15677"/>
    <cellStyle name="Header2 3 2 5 3 2 2 2" xfId="19116"/>
    <cellStyle name="Header2 3 2 5 3 2 2 2 2" xfId="30933"/>
    <cellStyle name="Header2 3 2 5 3 2 2 2 2 2" xfId="40932"/>
    <cellStyle name="Header2 3 2 5 3 2 2 2 3" xfId="26591"/>
    <cellStyle name="Header2 3 2 5 3 2 2 2 4" xfId="35781"/>
    <cellStyle name="Header2 3 2 5 3 2 2 3" xfId="19722"/>
    <cellStyle name="Header2 3 2 5 3 2 2 3 2" xfId="31539"/>
    <cellStyle name="Header2 3 2 5 3 2 2 3 2 2" xfId="41538"/>
    <cellStyle name="Header2 3 2 5 3 2 2 3 3" xfId="27197"/>
    <cellStyle name="Header2 3 2 5 3 2 2 3 4" xfId="36387"/>
    <cellStyle name="Header2 3 2 5 3 2 2 4" xfId="17981"/>
    <cellStyle name="Header2 3 2 5 3 2 2 4 2" xfId="29798"/>
    <cellStyle name="Header2 3 2 5 3 2 2 4 2 2" xfId="39797"/>
    <cellStyle name="Header2 3 2 5 3 2 2 4 3" xfId="25556"/>
    <cellStyle name="Header2 3 2 5 3 2 2 4 4" xfId="34646"/>
    <cellStyle name="Header2 3 2 5 3 2 2 5" xfId="20531"/>
    <cellStyle name="Header2 3 2 5 3 2 2 5 2" xfId="32348"/>
    <cellStyle name="Header2 3 2 5 3 2 2 5 2 2" xfId="42347"/>
    <cellStyle name="Header2 3 2 5 3 2 2 5 3" xfId="37196"/>
    <cellStyle name="Header2 3 2 5 3 2 2 6" xfId="23555"/>
    <cellStyle name="Header2 3 2 5 3 2 2 6 2" xfId="21842"/>
    <cellStyle name="Header2 3 2 5 3 2 2 7" xfId="23006"/>
    <cellStyle name="Header2 3 2 5 3 2 2 7 2" xfId="21316"/>
    <cellStyle name="Header2 3 2 5 3 2 2 8" xfId="22433"/>
    <cellStyle name="Header2 3 2 5 3 2 3" xfId="16258"/>
    <cellStyle name="Header2 3 2 5 3 2 3 2" xfId="19412"/>
    <cellStyle name="Header2 3 2 5 3 2 3 2 2" xfId="31229"/>
    <cellStyle name="Header2 3 2 5 3 2 3 2 2 2" xfId="41228"/>
    <cellStyle name="Header2 3 2 5 3 2 3 2 3" xfId="26887"/>
    <cellStyle name="Header2 3 2 5 3 2 3 2 4" xfId="36077"/>
    <cellStyle name="Header2 3 2 5 3 2 3 3" xfId="20018"/>
    <cellStyle name="Header2 3 2 5 3 2 3 3 2" xfId="31835"/>
    <cellStyle name="Header2 3 2 5 3 2 3 3 2 2" xfId="41834"/>
    <cellStyle name="Header2 3 2 5 3 2 3 3 3" xfId="27493"/>
    <cellStyle name="Header2 3 2 5 3 2 3 3 4" xfId="36683"/>
    <cellStyle name="Header2 3 2 5 3 2 3 4" xfId="17777"/>
    <cellStyle name="Header2 3 2 5 3 2 3 4 2" xfId="29594"/>
    <cellStyle name="Header2 3 2 5 3 2 3 4 2 2" xfId="39593"/>
    <cellStyle name="Header2 3 2 5 3 2 3 4 3" xfId="25352"/>
    <cellStyle name="Header2 3 2 5 3 2 3 4 4" xfId="34442"/>
    <cellStyle name="Header2 3 2 5 3 2 3 5" xfId="20827"/>
    <cellStyle name="Header2 3 2 5 3 2 3 5 2" xfId="32644"/>
    <cellStyle name="Header2 3 2 5 3 2 3 5 2 2" xfId="42643"/>
    <cellStyle name="Header2 3 2 5 3 2 3 5 3" xfId="37492"/>
    <cellStyle name="Header2 3 2 5 3 2 3 6" xfId="28075"/>
    <cellStyle name="Header2 3 2 5 3 2 3 6 2" xfId="38074"/>
    <cellStyle name="Header2 3 2 5 3 2 3 7" xfId="22255"/>
    <cellStyle name="Header2 3 2 5 3 2 4" xfId="15968"/>
    <cellStyle name="Header2 3 2 5 3 2 4 2" xfId="27785"/>
    <cellStyle name="Header2 3 2 5 3 2 4 2 2" xfId="37784"/>
    <cellStyle name="Header2 3 2 5 3 2 4 3" xfId="23846"/>
    <cellStyle name="Header2 3 2 5 3 2 4 4" xfId="32936"/>
    <cellStyle name="Header2 3 2 5 3 2 5" xfId="16592"/>
    <cellStyle name="Header2 3 2 5 3 2 5 2" xfId="28409"/>
    <cellStyle name="Header2 3 2 5 3 2 5 2 2" xfId="38408"/>
    <cellStyle name="Header2 3 2 5 3 2 5 3" xfId="24167"/>
    <cellStyle name="Header2 3 2 5 3 2 5 4" xfId="33257"/>
    <cellStyle name="Header2 3 2 5 3 2 6" xfId="16888"/>
    <cellStyle name="Header2 3 2 5 3 2 6 2" xfId="28705"/>
    <cellStyle name="Header2 3 2 5 3 2 6 2 2" xfId="38704"/>
    <cellStyle name="Header2 3 2 5 3 2 6 3" xfId="24463"/>
    <cellStyle name="Header2 3 2 5 3 2 6 4" xfId="33553"/>
    <cellStyle name="Header2 3 2 5 3 2 7" xfId="17192"/>
    <cellStyle name="Header2 3 2 5 3 2 7 2" xfId="29009"/>
    <cellStyle name="Header2 3 2 5 3 2 7 2 2" xfId="39008"/>
    <cellStyle name="Header2 3 2 5 3 2 7 3" xfId="24767"/>
    <cellStyle name="Header2 3 2 5 3 2 7 4" xfId="33857"/>
    <cellStyle name="Header2 3 2 5 3 2 8" xfId="17495"/>
    <cellStyle name="Header2 3 2 5 3 2 8 2" xfId="29312"/>
    <cellStyle name="Header2 3 2 5 3 2 8 2 2" xfId="39311"/>
    <cellStyle name="Header2 3 2 5 3 2 8 3" xfId="25070"/>
    <cellStyle name="Header2 3 2 5 3 2 8 4" xfId="34160"/>
    <cellStyle name="Header2 3 2 5 3 2 9" xfId="18440"/>
    <cellStyle name="Header2 3 2 5 3 2 9 2" xfId="30257"/>
    <cellStyle name="Header2 3 2 5 3 2 9 2 2" xfId="40256"/>
    <cellStyle name="Header2 3 2 5 3 2 9 3" xfId="25915"/>
    <cellStyle name="Header2 3 2 5 3 2 9 4" xfId="35105"/>
    <cellStyle name="Header2 3 2 5 3 3" xfId="7871"/>
    <cellStyle name="Header2 3 2 5 3 3 10" xfId="18735"/>
    <cellStyle name="Header2 3 2 5 3 3 10 2" xfId="30552"/>
    <cellStyle name="Header2 3 2 5 3 3 10 2 2" xfId="40551"/>
    <cellStyle name="Header2 3 2 5 3 3 10 3" xfId="26210"/>
    <cellStyle name="Header2 3 2 5 3 3 10 4" xfId="35400"/>
    <cellStyle name="Header2 3 2 5 3 3 11" xfId="18254"/>
    <cellStyle name="Header2 3 2 5 3 3 11 2" xfId="30071"/>
    <cellStyle name="Header2 3 2 5 3 3 11 2 2" xfId="40070"/>
    <cellStyle name="Header2 3 2 5 3 3 11 3" xfId="34919"/>
    <cellStyle name="Header2 3 2 5 3 3 12" xfId="23231"/>
    <cellStyle name="Header2 3 2 5 3 3 12 2" xfId="21207"/>
    <cellStyle name="Header2 3 2 5 3 3 13" xfId="22625"/>
    <cellStyle name="Header2 3 2 5 3 3 2" xfId="15678"/>
    <cellStyle name="Header2 3 2 5 3 3 2 2" xfId="19115"/>
    <cellStyle name="Header2 3 2 5 3 3 2 2 2" xfId="30932"/>
    <cellStyle name="Header2 3 2 5 3 3 2 2 2 2" xfId="40931"/>
    <cellStyle name="Header2 3 2 5 3 3 2 2 3" xfId="26590"/>
    <cellStyle name="Header2 3 2 5 3 3 2 2 4" xfId="35780"/>
    <cellStyle name="Header2 3 2 5 3 3 2 3" xfId="19721"/>
    <cellStyle name="Header2 3 2 5 3 3 2 3 2" xfId="31538"/>
    <cellStyle name="Header2 3 2 5 3 3 2 3 2 2" xfId="41537"/>
    <cellStyle name="Header2 3 2 5 3 3 2 3 3" xfId="27196"/>
    <cellStyle name="Header2 3 2 5 3 3 2 3 4" xfId="36386"/>
    <cellStyle name="Header2 3 2 5 3 3 2 4" xfId="17982"/>
    <cellStyle name="Header2 3 2 5 3 3 2 4 2" xfId="29799"/>
    <cellStyle name="Header2 3 2 5 3 3 2 4 2 2" xfId="39798"/>
    <cellStyle name="Header2 3 2 5 3 3 2 4 3" xfId="25557"/>
    <cellStyle name="Header2 3 2 5 3 3 2 4 4" xfId="34647"/>
    <cellStyle name="Header2 3 2 5 3 3 2 5" xfId="20530"/>
    <cellStyle name="Header2 3 2 5 3 3 2 5 2" xfId="32347"/>
    <cellStyle name="Header2 3 2 5 3 3 2 5 2 2" xfId="42346"/>
    <cellStyle name="Header2 3 2 5 3 3 2 5 3" xfId="37195"/>
    <cellStyle name="Header2 3 2 5 3 3 2 6" xfId="23556"/>
    <cellStyle name="Header2 3 2 5 3 3 2 6 2" xfId="21841"/>
    <cellStyle name="Header2 3 2 5 3 3 2 7" xfId="23005"/>
    <cellStyle name="Header2 3 2 5 3 3 2 7 2" xfId="22099"/>
    <cellStyle name="Header2 3 2 5 3 3 2 8" xfId="22434"/>
    <cellStyle name="Header2 3 2 5 3 3 3" xfId="16259"/>
    <cellStyle name="Header2 3 2 5 3 3 3 2" xfId="19411"/>
    <cellStyle name="Header2 3 2 5 3 3 3 2 2" xfId="31228"/>
    <cellStyle name="Header2 3 2 5 3 3 3 2 2 2" xfId="41227"/>
    <cellStyle name="Header2 3 2 5 3 3 3 2 3" xfId="26886"/>
    <cellStyle name="Header2 3 2 5 3 3 3 2 4" xfId="36076"/>
    <cellStyle name="Header2 3 2 5 3 3 3 3" xfId="20017"/>
    <cellStyle name="Header2 3 2 5 3 3 3 3 2" xfId="31834"/>
    <cellStyle name="Header2 3 2 5 3 3 3 3 2 2" xfId="41833"/>
    <cellStyle name="Header2 3 2 5 3 3 3 3 3" xfId="27492"/>
    <cellStyle name="Header2 3 2 5 3 3 3 3 4" xfId="36682"/>
    <cellStyle name="Header2 3 2 5 3 3 3 4" xfId="18079"/>
    <cellStyle name="Header2 3 2 5 3 3 3 4 2" xfId="29896"/>
    <cellStyle name="Header2 3 2 5 3 3 3 4 2 2" xfId="39895"/>
    <cellStyle name="Header2 3 2 5 3 3 3 4 3" xfId="25654"/>
    <cellStyle name="Header2 3 2 5 3 3 3 4 4" xfId="34744"/>
    <cellStyle name="Header2 3 2 5 3 3 3 5" xfId="20826"/>
    <cellStyle name="Header2 3 2 5 3 3 3 5 2" xfId="32643"/>
    <cellStyle name="Header2 3 2 5 3 3 3 5 2 2" xfId="42642"/>
    <cellStyle name="Header2 3 2 5 3 3 3 5 3" xfId="37491"/>
    <cellStyle name="Header2 3 2 5 3 3 3 6" xfId="28076"/>
    <cellStyle name="Header2 3 2 5 3 3 3 6 2" xfId="38075"/>
    <cellStyle name="Header2 3 2 5 3 3 3 7" xfId="22256"/>
    <cellStyle name="Header2 3 2 5 3 3 4" xfId="15969"/>
    <cellStyle name="Header2 3 2 5 3 3 4 2" xfId="27786"/>
    <cellStyle name="Header2 3 2 5 3 3 4 2 2" xfId="37785"/>
    <cellStyle name="Header2 3 2 5 3 3 4 3" xfId="23847"/>
    <cellStyle name="Header2 3 2 5 3 3 4 4" xfId="32937"/>
    <cellStyle name="Header2 3 2 5 3 3 5" xfId="16591"/>
    <cellStyle name="Header2 3 2 5 3 3 5 2" xfId="28408"/>
    <cellStyle name="Header2 3 2 5 3 3 5 2 2" xfId="38407"/>
    <cellStyle name="Header2 3 2 5 3 3 5 3" xfId="24166"/>
    <cellStyle name="Header2 3 2 5 3 3 5 4" xfId="33256"/>
    <cellStyle name="Header2 3 2 5 3 3 6" xfId="16887"/>
    <cellStyle name="Header2 3 2 5 3 3 6 2" xfId="28704"/>
    <cellStyle name="Header2 3 2 5 3 3 6 2 2" xfId="38703"/>
    <cellStyle name="Header2 3 2 5 3 3 6 3" xfId="24462"/>
    <cellStyle name="Header2 3 2 5 3 3 6 4" xfId="33552"/>
    <cellStyle name="Header2 3 2 5 3 3 7" xfId="17193"/>
    <cellStyle name="Header2 3 2 5 3 3 7 2" xfId="29010"/>
    <cellStyle name="Header2 3 2 5 3 3 7 2 2" xfId="39009"/>
    <cellStyle name="Header2 3 2 5 3 3 7 3" xfId="24768"/>
    <cellStyle name="Header2 3 2 5 3 3 7 4" xfId="33858"/>
    <cellStyle name="Header2 3 2 5 3 3 8" xfId="17496"/>
    <cellStyle name="Header2 3 2 5 3 3 8 2" xfId="29313"/>
    <cellStyle name="Header2 3 2 5 3 3 8 2 2" xfId="39312"/>
    <cellStyle name="Header2 3 2 5 3 3 8 3" xfId="25071"/>
    <cellStyle name="Header2 3 2 5 3 3 8 4" xfId="34161"/>
    <cellStyle name="Header2 3 2 5 3 3 9" xfId="18439"/>
    <cellStyle name="Header2 3 2 5 3 3 9 2" xfId="30256"/>
    <cellStyle name="Header2 3 2 5 3 3 9 2 2" xfId="40255"/>
    <cellStyle name="Header2 3 2 5 3 3 9 3" xfId="25914"/>
    <cellStyle name="Header2 3 2 5 3 3 9 4" xfId="35104"/>
    <cellStyle name="Header2 3 2 5 3 4" xfId="7872"/>
    <cellStyle name="Header2 3 2 5 3 4 10" xfId="18734"/>
    <cellStyle name="Header2 3 2 5 3 4 10 2" xfId="30551"/>
    <cellStyle name="Header2 3 2 5 3 4 10 2 2" xfId="40550"/>
    <cellStyle name="Header2 3 2 5 3 4 10 3" xfId="26209"/>
    <cellStyle name="Header2 3 2 5 3 4 10 4" xfId="35399"/>
    <cellStyle name="Header2 3 2 5 3 4 11" xfId="20205"/>
    <cellStyle name="Header2 3 2 5 3 4 11 2" xfId="32022"/>
    <cellStyle name="Header2 3 2 5 3 4 11 2 2" xfId="42021"/>
    <cellStyle name="Header2 3 2 5 3 4 11 3" xfId="36870"/>
    <cellStyle name="Header2 3 2 5 3 4 12" xfId="23230"/>
    <cellStyle name="Header2 3 2 5 3 4 12 2" xfId="21208"/>
    <cellStyle name="Header2 3 2 5 3 4 13" xfId="22624"/>
    <cellStyle name="Header2 3 2 5 3 4 2" xfId="15679"/>
    <cellStyle name="Header2 3 2 5 3 4 2 2" xfId="19114"/>
    <cellStyle name="Header2 3 2 5 3 4 2 2 2" xfId="30931"/>
    <cellStyle name="Header2 3 2 5 3 4 2 2 2 2" xfId="40930"/>
    <cellStyle name="Header2 3 2 5 3 4 2 2 3" xfId="26589"/>
    <cellStyle name="Header2 3 2 5 3 4 2 2 4" xfId="35779"/>
    <cellStyle name="Header2 3 2 5 3 4 2 3" xfId="19720"/>
    <cellStyle name="Header2 3 2 5 3 4 2 3 2" xfId="31537"/>
    <cellStyle name="Header2 3 2 5 3 4 2 3 2 2" xfId="41536"/>
    <cellStyle name="Header2 3 2 5 3 4 2 3 3" xfId="27195"/>
    <cellStyle name="Header2 3 2 5 3 4 2 3 4" xfId="36385"/>
    <cellStyle name="Header2 3 2 5 3 4 2 4" xfId="17983"/>
    <cellStyle name="Header2 3 2 5 3 4 2 4 2" xfId="29800"/>
    <cellStyle name="Header2 3 2 5 3 4 2 4 2 2" xfId="39799"/>
    <cellStyle name="Header2 3 2 5 3 4 2 4 3" xfId="25558"/>
    <cellStyle name="Header2 3 2 5 3 4 2 4 4" xfId="34648"/>
    <cellStyle name="Header2 3 2 5 3 4 2 5" xfId="20529"/>
    <cellStyle name="Header2 3 2 5 3 4 2 5 2" xfId="32346"/>
    <cellStyle name="Header2 3 2 5 3 4 2 5 2 2" xfId="42345"/>
    <cellStyle name="Header2 3 2 5 3 4 2 5 3" xfId="37194"/>
    <cellStyle name="Header2 3 2 5 3 4 2 6" xfId="23557"/>
    <cellStyle name="Header2 3 2 5 3 4 2 6 2" xfId="21024"/>
    <cellStyle name="Header2 3 2 5 3 4 2 7" xfId="22842"/>
    <cellStyle name="Header2 3 2 5 3 4 2 7 2" xfId="21390"/>
    <cellStyle name="Header2 3 2 5 3 4 2 8" xfId="21638"/>
    <cellStyle name="Header2 3 2 5 3 4 3" xfId="16260"/>
    <cellStyle name="Header2 3 2 5 3 4 3 2" xfId="19410"/>
    <cellStyle name="Header2 3 2 5 3 4 3 2 2" xfId="31227"/>
    <cellStyle name="Header2 3 2 5 3 4 3 2 2 2" xfId="41226"/>
    <cellStyle name="Header2 3 2 5 3 4 3 2 3" xfId="26885"/>
    <cellStyle name="Header2 3 2 5 3 4 3 2 4" xfId="36075"/>
    <cellStyle name="Header2 3 2 5 3 4 3 3" xfId="20016"/>
    <cellStyle name="Header2 3 2 5 3 4 3 3 2" xfId="31833"/>
    <cellStyle name="Header2 3 2 5 3 4 3 3 2 2" xfId="41832"/>
    <cellStyle name="Header2 3 2 5 3 4 3 3 3" xfId="27491"/>
    <cellStyle name="Header2 3 2 5 3 4 3 3 4" xfId="36681"/>
    <cellStyle name="Header2 3 2 5 3 4 3 4" xfId="18080"/>
    <cellStyle name="Header2 3 2 5 3 4 3 4 2" xfId="29897"/>
    <cellStyle name="Header2 3 2 5 3 4 3 4 2 2" xfId="39896"/>
    <cellStyle name="Header2 3 2 5 3 4 3 4 3" xfId="25655"/>
    <cellStyle name="Header2 3 2 5 3 4 3 4 4" xfId="34745"/>
    <cellStyle name="Header2 3 2 5 3 4 3 5" xfId="20825"/>
    <cellStyle name="Header2 3 2 5 3 4 3 5 2" xfId="32642"/>
    <cellStyle name="Header2 3 2 5 3 4 3 5 2 2" xfId="42641"/>
    <cellStyle name="Header2 3 2 5 3 4 3 5 3" xfId="37490"/>
    <cellStyle name="Header2 3 2 5 3 4 3 6" xfId="28077"/>
    <cellStyle name="Header2 3 2 5 3 4 3 6 2" xfId="38076"/>
    <cellStyle name="Header2 3 2 5 3 4 3 7" xfId="22257"/>
    <cellStyle name="Header2 3 2 5 3 4 4" xfId="15970"/>
    <cellStyle name="Header2 3 2 5 3 4 4 2" xfId="27787"/>
    <cellStyle name="Header2 3 2 5 3 4 4 2 2" xfId="37786"/>
    <cellStyle name="Header2 3 2 5 3 4 4 3" xfId="23848"/>
    <cellStyle name="Header2 3 2 5 3 4 4 4" xfId="32938"/>
    <cellStyle name="Header2 3 2 5 3 4 5" xfId="16590"/>
    <cellStyle name="Header2 3 2 5 3 4 5 2" xfId="28407"/>
    <cellStyle name="Header2 3 2 5 3 4 5 2 2" xfId="38406"/>
    <cellStyle name="Header2 3 2 5 3 4 5 3" xfId="24165"/>
    <cellStyle name="Header2 3 2 5 3 4 5 4" xfId="33255"/>
    <cellStyle name="Header2 3 2 5 3 4 6" xfId="16886"/>
    <cellStyle name="Header2 3 2 5 3 4 6 2" xfId="28703"/>
    <cellStyle name="Header2 3 2 5 3 4 6 2 2" xfId="38702"/>
    <cellStyle name="Header2 3 2 5 3 4 6 3" xfId="24461"/>
    <cellStyle name="Header2 3 2 5 3 4 6 4" xfId="33551"/>
    <cellStyle name="Header2 3 2 5 3 4 7" xfId="17194"/>
    <cellStyle name="Header2 3 2 5 3 4 7 2" xfId="29011"/>
    <cellStyle name="Header2 3 2 5 3 4 7 2 2" xfId="39010"/>
    <cellStyle name="Header2 3 2 5 3 4 7 3" xfId="24769"/>
    <cellStyle name="Header2 3 2 5 3 4 7 4" xfId="33859"/>
    <cellStyle name="Header2 3 2 5 3 4 8" xfId="17497"/>
    <cellStyle name="Header2 3 2 5 3 4 8 2" xfId="29314"/>
    <cellStyle name="Header2 3 2 5 3 4 8 2 2" xfId="39313"/>
    <cellStyle name="Header2 3 2 5 3 4 8 3" xfId="25072"/>
    <cellStyle name="Header2 3 2 5 3 4 8 4" xfId="34162"/>
    <cellStyle name="Header2 3 2 5 3 4 9" xfId="18438"/>
    <cellStyle name="Header2 3 2 5 3 4 9 2" xfId="30255"/>
    <cellStyle name="Header2 3 2 5 3 4 9 2 2" xfId="40254"/>
    <cellStyle name="Header2 3 2 5 3 4 9 3" xfId="25913"/>
    <cellStyle name="Header2 3 2 5 3 4 9 4" xfId="35103"/>
    <cellStyle name="Header2 3 2 5 3 5" xfId="15676"/>
    <cellStyle name="Header2 3 2 5 3 5 2" xfId="19117"/>
    <cellStyle name="Header2 3 2 5 3 5 2 2" xfId="30934"/>
    <cellStyle name="Header2 3 2 5 3 5 2 2 2" xfId="40933"/>
    <cellStyle name="Header2 3 2 5 3 5 2 3" xfId="26592"/>
    <cellStyle name="Header2 3 2 5 3 5 2 4" xfId="35782"/>
    <cellStyle name="Header2 3 2 5 3 5 3" xfId="19723"/>
    <cellStyle name="Header2 3 2 5 3 5 3 2" xfId="31540"/>
    <cellStyle name="Header2 3 2 5 3 5 3 2 2" xfId="41539"/>
    <cellStyle name="Header2 3 2 5 3 5 3 3" xfId="27198"/>
    <cellStyle name="Header2 3 2 5 3 5 3 4" xfId="36388"/>
    <cellStyle name="Header2 3 2 5 3 5 4" xfId="18154"/>
    <cellStyle name="Header2 3 2 5 3 5 4 2" xfId="29971"/>
    <cellStyle name="Header2 3 2 5 3 5 4 2 2" xfId="39970"/>
    <cellStyle name="Header2 3 2 5 3 5 4 3" xfId="25729"/>
    <cellStyle name="Header2 3 2 5 3 5 4 4" xfId="34819"/>
    <cellStyle name="Header2 3 2 5 3 5 5" xfId="20532"/>
    <cellStyle name="Header2 3 2 5 3 5 5 2" xfId="32349"/>
    <cellStyle name="Header2 3 2 5 3 5 5 2 2" xfId="42348"/>
    <cellStyle name="Header2 3 2 5 3 5 5 3" xfId="37197"/>
    <cellStyle name="Header2 3 2 5 3 5 6" xfId="23554"/>
    <cellStyle name="Header2 3 2 5 3 5 6 2" xfId="21843"/>
    <cellStyle name="Header2 3 2 5 3 5 7" xfId="23007"/>
    <cellStyle name="Header2 3 2 5 3 5 7 2" xfId="22098"/>
    <cellStyle name="Header2 3 2 5 3 5 8" xfId="22432"/>
    <cellStyle name="Header2 3 2 5 3 6" xfId="16257"/>
    <cellStyle name="Header2 3 2 5 3 6 2" xfId="19413"/>
    <cellStyle name="Header2 3 2 5 3 6 2 2" xfId="31230"/>
    <cellStyle name="Header2 3 2 5 3 6 2 2 2" xfId="41229"/>
    <cellStyle name="Header2 3 2 5 3 6 2 3" xfId="26888"/>
    <cellStyle name="Header2 3 2 5 3 6 2 4" xfId="36078"/>
    <cellStyle name="Header2 3 2 5 3 6 3" xfId="20019"/>
    <cellStyle name="Header2 3 2 5 3 6 3 2" xfId="31836"/>
    <cellStyle name="Header2 3 2 5 3 6 3 2 2" xfId="41835"/>
    <cellStyle name="Header2 3 2 5 3 6 3 3" xfId="27494"/>
    <cellStyle name="Header2 3 2 5 3 6 3 4" xfId="36684"/>
    <cellStyle name="Header2 3 2 5 3 6 4" xfId="18078"/>
    <cellStyle name="Header2 3 2 5 3 6 4 2" xfId="29895"/>
    <cellStyle name="Header2 3 2 5 3 6 4 2 2" xfId="39894"/>
    <cellStyle name="Header2 3 2 5 3 6 4 3" xfId="25653"/>
    <cellStyle name="Header2 3 2 5 3 6 4 4" xfId="34743"/>
    <cellStyle name="Header2 3 2 5 3 6 5" xfId="20828"/>
    <cellStyle name="Header2 3 2 5 3 6 5 2" xfId="32645"/>
    <cellStyle name="Header2 3 2 5 3 6 5 2 2" xfId="42644"/>
    <cellStyle name="Header2 3 2 5 3 6 5 3" xfId="37493"/>
    <cellStyle name="Header2 3 2 5 3 6 6" xfId="28074"/>
    <cellStyle name="Header2 3 2 5 3 6 6 2" xfId="38073"/>
    <cellStyle name="Header2 3 2 5 3 6 7" xfId="21520"/>
    <cellStyle name="Header2 3 2 5 3 7" xfId="15967"/>
    <cellStyle name="Header2 3 2 5 3 7 2" xfId="27784"/>
    <cellStyle name="Header2 3 2 5 3 7 2 2" xfId="37783"/>
    <cellStyle name="Header2 3 2 5 3 7 3" xfId="23845"/>
    <cellStyle name="Header2 3 2 5 3 7 4" xfId="32935"/>
    <cellStyle name="Header2 3 2 5 3 8" xfId="16593"/>
    <cellStyle name="Header2 3 2 5 3 8 2" xfId="28410"/>
    <cellStyle name="Header2 3 2 5 3 8 2 2" xfId="38409"/>
    <cellStyle name="Header2 3 2 5 3 8 3" xfId="24168"/>
    <cellStyle name="Header2 3 2 5 3 8 4" xfId="33258"/>
    <cellStyle name="Header2 3 2 5 3 9" xfId="16889"/>
    <cellStyle name="Header2 3 2 5 3 9 2" xfId="28706"/>
    <cellStyle name="Header2 3 2 5 3 9 2 2" xfId="38705"/>
    <cellStyle name="Header2 3 2 5 3 9 3" xfId="24464"/>
    <cellStyle name="Header2 3 2 5 3 9 4" xfId="33554"/>
    <cellStyle name="Header2 3 2 5 4" xfId="7873"/>
    <cellStyle name="Header2 3 2 5 4 10" xfId="17851"/>
    <cellStyle name="Header2 3 2 5 4 10 2" xfId="29668"/>
    <cellStyle name="Header2 3 2 5 4 10 2 2" xfId="39667"/>
    <cellStyle name="Header2 3 2 5 4 10 3" xfId="25426"/>
    <cellStyle name="Header2 3 2 5 4 10 4" xfId="34516"/>
    <cellStyle name="Header2 3 2 5 4 11" xfId="20305"/>
    <cellStyle name="Header2 3 2 5 4 11 2" xfId="32122"/>
    <cellStyle name="Header2 3 2 5 4 11 2 2" xfId="42121"/>
    <cellStyle name="Header2 3 2 5 4 11 3" xfId="36970"/>
    <cellStyle name="Header2 3 2 5 4 12" xfId="23229"/>
    <cellStyle name="Header2 3 2 5 4 12 2" xfId="21209"/>
    <cellStyle name="Header2 3 2 5 4 13" xfId="22623"/>
    <cellStyle name="Header2 3 2 5 4 2" xfId="15680"/>
    <cellStyle name="Header2 3 2 5 4 2 2" xfId="19113"/>
    <cellStyle name="Header2 3 2 5 4 2 2 2" xfId="30930"/>
    <cellStyle name="Header2 3 2 5 4 2 2 2 2" xfId="40929"/>
    <cellStyle name="Header2 3 2 5 4 2 2 3" xfId="26588"/>
    <cellStyle name="Header2 3 2 5 4 2 2 4" xfId="35778"/>
    <cellStyle name="Header2 3 2 5 4 2 3" xfId="19719"/>
    <cellStyle name="Header2 3 2 5 4 2 3 2" xfId="31536"/>
    <cellStyle name="Header2 3 2 5 4 2 3 2 2" xfId="41535"/>
    <cellStyle name="Header2 3 2 5 4 2 3 3" xfId="27194"/>
    <cellStyle name="Header2 3 2 5 4 2 3 4" xfId="36384"/>
    <cellStyle name="Header2 3 2 5 4 2 4" xfId="18155"/>
    <cellStyle name="Header2 3 2 5 4 2 4 2" xfId="29972"/>
    <cellStyle name="Header2 3 2 5 4 2 4 2 2" xfId="39971"/>
    <cellStyle name="Header2 3 2 5 4 2 4 3" xfId="25730"/>
    <cellStyle name="Header2 3 2 5 4 2 4 4" xfId="34820"/>
    <cellStyle name="Header2 3 2 5 4 2 5" xfId="20528"/>
    <cellStyle name="Header2 3 2 5 4 2 5 2" xfId="32345"/>
    <cellStyle name="Header2 3 2 5 4 2 5 2 2" xfId="42344"/>
    <cellStyle name="Header2 3 2 5 4 2 5 3" xfId="37193"/>
    <cellStyle name="Header2 3 2 5 4 2 6" xfId="23558"/>
    <cellStyle name="Header2 3 2 5 4 2 6 2" xfId="21840"/>
    <cellStyle name="Header2 3 2 5 4 2 7" xfId="23004"/>
    <cellStyle name="Header2 3 2 5 4 2 7 2" xfId="22100"/>
    <cellStyle name="Header2 3 2 5 4 2 8" xfId="21639"/>
    <cellStyle name="Header2 3 2 5 4 3" xfId="16261"/>
    <cellStyle name="Header2 3 2 5 4 3 2" xfId="18950"/>
    <cellStyle name="Header2 3 2 5 4 3 2 2" xfId="30767"/>
    <cellStyle name="Header2 3 2 5 4 3 2 2 2" xfId="40766"/>
    <cellStyle name="Header2 3 2 5 4 3 2 3" xfId="26425"/>
    <cellStyle name="Header2 3 2 5 4 3 2 4" xfId="35615"/>
    <cellStyle name="Header2 3 2 5 4 3 3" xfId="19556"/>
    <cellStyle name="Header2 3 2 5 4 3 3 2" xfId="31373"/>
    <cellStyle name="Header2 3 2 5 4 3 3 2 2" xfId="41372"/>
    <cellStyle name="Header2 3 2 5 4 3 3 3" xfId="27031"/>
    <cellStyle name="Header2 3 2 5 4 3 3 4" xfId="36221"/>
    <cellStyle name="Header2 3 2 5 4 3 4" xfId="18030"/>
    <cellStyle name="Header2 3 2 5 4 3 4 2" xfId="29847"/>
    <cellStyle name="Header2 3 2 5 4 3 4 2 2" xfId="39846"/>
    <cellStyle name="Header2 3 2 5 4 3 4 3" xfId="25605"/>
    <cellStyle name="Header2 3 2 5 4 3 4 4" xfId="34695"/>
    <cellStyle name="Header2 3 2 5 4 3 5" xfId="20365"/>
    <cellStyle name="Header2 3 2 5 4 3 5 2" xfId="32182"/>
    <cellStyle name="Header2 3 2 5 4 3 5 2 2" xfId="42181"/>
    <cellStyle name="Header2 3 2 5 4 3 5 3" xfId="37030"/>
    <cellStyle name="Header2 3 2 5 4 3 6" xfId="28078"/>
    <cellStyle name="Header2 3 2 5 4 3 6 2" xfId="38077"/>
    <cellStyle name="Header2 3 2 5 4 3 7" xfId="21753"/>
    <cellStyle name="Header2 3 2 5 4 4" xfId="16423"/>
    <cellStyle name="Header2 3 2 5 4 4 2" xfId="28240"/>
    <cellStyle name="Header2 3 2 5 4 4 2 2" xfId="38239"/>
    <cellStyle name="Header2 3 2 5 4 4 3" xfId="23998"/>
    <cellStyle name="Header2 3 2 5 4 4 4" xfId="33088"/>
    <cellStyle name="Header2 3 2 5 4 5" xfId="16589"/>
    <cellStyle name="Header2 3 2 5 4 5 2" xfId="28406"/>
    <cellStyle name="Header2 3 2 5 4 5 2 2" xfId="38405"/>
    <cellStyle name="Header2 3 2 5 4 5 3" xfId="24164"/>
    <cellStyle name="Header2 3 2 5 4 5 4" xfId="33254"/>
    <cellStyle name="Header2 3 2 5 4 6" xfId="17010"/>
    <cellStyle name="Header2 3 2 5 4 6 2" xfId="28827"/>
    <cellStyle name="Header2 3 2 5 4 6 2 2" xfId="38826"/>
    <cellStyle name="Header2 3 2 5 4 6 3" xfId="24585"/>
    <cellStyle name="Header2 3 2 5 4 6 4" xfId="33675"/>
    <cellStyle name="Header2 3 2 5 4 7" xfId="17195"/>
    <cellStyle name="Header2 3 2 5 4 7 2" xfId="29012"/>
    <cellStyle name="Header2 3 2 5 4 7 2 2" xfId="39011"/>
    <cellStyle name="Header2 3 2 5 4 7 3" xfId="24770"/>
    <cellStyle name="Header2 3 2 5 4 7 4" xfId="33860"/>
    <cellStyle name="Header2 3 2 5 4 8" xfId="17498"/>
    <cellStyle name="Header2 3 2 5 4 8 2" xfId="29315"/>
    <cellStyle name="Header2 3 2 5 4 8 2 2" xfId="39314"/>
    <cellStyle name="Header2 3 2 5 4 8 3" xfId="25073"/>
    <cellStyle name="Header2 3 2 5 4 8 4" xfId="34163"/>
    <cellStyle name="Header2 3 2 5 4 9" xfId="18437"/>
    <cellStyle name="Header2 3 2 5 4 9 2" xfId="30254"/>
    <cellStyle name="Header2 3 2 5 4 9 2 2" xfId="40253"/>
    <cellStyle name="Header2 3 2 5 4 9 3" xfId="25912"/>
    <cellStyle name="Header2 3 2 5 4 9 4" xfId="35102"/>
    <cellStyle name="Header2 3 2 5 5" xfId="7874"/>
    <cellStyle name="Header2 3 2 5 5 10" xfId="18733"/>
    <cellStyle name="Header2 3 2 5 5 10 2" xfId="30550"/>
    <cellStyle name="Header2 3 2 5 5 10 2 2" xfId="40549"/>
    <cellStyle name="Header2 3 2 5 5 10 3" xfId="26208"/>
    <cellStyle name="Header2 3 2 5 5 10 4" xfId="35398"/>
    <cellStyle name="Header2 3 2 5 5 11" xfId="18255"/>
    <cellStyle name="Header2 3 2 5 5 11 2" xfId="30072"/>
    <cellStyle name="Header2 3 2 5 5 11 2 2" xfId="40071"/>
    <cellStyle name="Header2 3 2 5 5 11 3" xfId="34920"/>
    <cellStyle name="Header2 3 2 5 5 12" xfId="23228"/>
    <cellStyle name="Header2 3 2 5 5 12 2" xfId="21984"/>
    <cellStyle name="Header2 3 2 5 5 13" xfId="22622"/>
    <cellStyle name="Header2 3 2 5 5 2" xfId="15681"/>
    <cellStyle name="Header2 3 2 5 5 2 2" xfId="19112"/>
    <cellStyle name="Header2 3 2 5 5 2 2 2" xfId="30929"/>
    <cellStyle name="Header2 3 2 5 5 2 2 2 2" xfId="40928"/>
    <cellStyle name="Header2 3 2 5 5 2 2 3" xfId="26587"/>
    <cellStyle name="Header2 3 2 5 5 2 2 4" xfId="35777"/>
    <cellStyle name="Header2 3 2 5 5 2 3" xfId="19718"/>
    <cellStyle name="Header2 3 2 5 5 2 3 2" xfId="31535"/>
    <cellStyle name="Header2 3 2 5 5 2 3 2 2" xfId="41534"/>
    <cellStyle name="Header2 3 2 5 5 2 3 3" xfId="27193"/>
    <cellStyle name="Header2 3 2 5 5 2 3 4" xfId="36383"/>
    <cellStyle name="Header2 3 2 5 5 2 4" xfId="18911"/>
    <cellStyle name="Header2 3 2 5 5 2 4 2" xfId="30728"/>
    <cellStyle name="Header2 3 2 5 5 2 4 2 2" xfId="40727"/>
    <cellStyle name="Header2 3 2 5 5 2 4 3" xfId="26386"/>
    <cellStyle name="Header2 3 2 5 5 2 4 4" xfId="35576"/>
    <cellStyle name="Header2 3 2 5 5 2 5" xfId="20527"/>
    <cellStyle name="Header2 3 2 5 5 2 5 2" xfId="32344"/>
    <cellStyle name="Header2 3 2 5 5 2 5 2 2" xfId="42343"/>
    <cellStyle name="Header2 3 2 5 5 2 5 3" xfId="37192"/>
    <cellStyle name="Header2 3 2 5 5 2 6" xfId="23559"/>
    <cellStyle name="Header2 3 2 5 5 2 6 2" xfId="21839"/>
    <cellStyle name="Header2 3 2 5 5 2 7" xfId="23003"/>
    <cellStyle name="Header2 3 2 5 5 2 7 2" xfId="22101"/>
    <cellStyle name="Header2 3 2 5 5 2 8" xfId="21640"/>
    <cellStyle name="Header2 3 2 5 5 3" xfId="16262"/>
    <cellStyle name="Header2 3 2 5 5 3 2" xfId="19409"/>
    <cellStyle name="Header2 3 2 5 5 3 2 2" xfId="31226"/>
    <cellStyle name="Header2 3 2 5 5 3 2 2 2" xfId="41225"/>
    <cellStyle name="Header2 3 2 5 5 3 2 3" xfId="26884"/>
    <cellStyle name="Header2 3 2 5 5 3 2 4" xfId="36074"/>
    <cellStyle name="Header2 3 2 5 5 3 3" xfId="20015"/>
    <cellStyle name="Header2 3 2 5 5 3 3 2" xfId="31832"/>
    <cellStyle name="Header2 3 2 5 5 3 3 2 2" xfId="41831"/>
    <cellStyle name="Header2 3 2 5 5 3 3 3" xfId="27490"/>
    <cellStyle name="Header2 3 2 5 5 3 3 4" xfId="36680"/>
    <cellStyle name="Header2 3 2 5 5 3 4" xfId="17910"/>
    <cellStyle name="Header2 3 2 5 5 3 4 2" xfId="29727"/>
    <cellStyle name="Header2 3 2 5 5 3 4 2 2" xfId="39726"/>
    <cellStyle name="Header2 3 2 5 5 3 4 3" xfId="25485"/>
    <cellStyle name="Header2 3 2 5 5 3 4 4" xfId="34575"/>
    <cellStyle name="Header2 3 2 5 5 3 5" xfId="20824"/>
    <cellStyle name="Header2 3 2 5 5 3 5 2" xfId="32641"/>
    <cellStyle name="Header2 3 2 5 5 3 5 2 2" xfId="42640"/>
    <cellStyle name="Header2 3 2 5 5 3 5 3" xfId="37489"/>
    <cellStyle name="Header2 3 2 5 5 3 6" xfId="28079"/>
    <cellStyle name="Header2 3 2 5 5 3 6 2" xfId="38078"/>
    <cellStyle name="Header2 3 2 5 5 3 7" xfId="22258"/>
    <cellStyle name="Header2 3 2 5 5 4" xfId="15971"/>
    <cellStyle name="Header2 3 2 5 5 4 2" xfId="27788"/>
    <cellStyle name="Header2 3 2 5 5 4 2 2" xfId="37787"/>
    <cellStyle name="Header2 3 2 5 5 4 3" xfId="23849"/>
    <cellStyle name="Header2 3 2 5 5 4 4" xfId="32939"/>
    <cellStyle name="Header2 3 2 5 5 5" xfId="16588"/>
    <cellStyle name="Header2 3 2 5 5 5 2" xfId="28405"/>
    <cellStyle name="Header2 3 2 5 5 5 2 2" xfId="38404"/>
    <cellStyle name="Header2 3 2 5 5 5 3" xfId="24163"/>
    <cellStyle name="Header2 3 2 5 5 5 4" xfId="33253"/>
    <cellStyle name="Header2 3 2 5 5 6" xfId="16885"/>
    <cellStyle name="Header2 3 2 5 5 6 2" xfId="28702"/>
    <cellStyle name="Header2 3 2 5 5 6 2 2" xfId="38701"/>
    <cellStyle name="Header2 3 2 5 5 6 3" xfId="24460"/>
    <cellStyle name="Header2 3 2 5 5 6 4" xfId="33550"/>
    <cellStyle name="Header2 3 2 5 5 7" xfId="17196"/>
    <cellStyle name="Header2 3 2 5 5 7 2" xfId="29013"/>
    <cellStyle name="Header2 3 2 5 5 7 2 2" xfId="39012"/>
    <cellStyle name="Header2 3 2 5 5 7 3" xfId="24771"/>
    <cellStyle name="Header2 3 2 5 5 7 4" xfId="33861"/>
    <cellStyle name="Header2 3 2 5 5 8" xfId="17499"/>
    <cellStyle name="Header2 3 2 5 5 8 2" xfId="29316"/>
    <cellStyle name="Header2 3 2 5 5 8 2 2" xfId="39315"/>
    <cellStyle name="Header2 3 2 5 5 8 3" xfId="25074"/>
    <cellStyle name="Header2 3 2 5 5 8 4" xfId="34164"/>
    <cellStyle name="Header2 3 2 5 5 9" xfId="18436"/>
    <cellStyle name="Header2 3 2 5 5 9 2" xfId="30253"/>
    <cellStyle name="Header2 3 2 5 5 9 2 2" xfId="40252"/>
    <cellStyle name="Header2 3 2 5 5 9 3" xfId="25911"/>
    <cellStyle name="Header2 3 2 5 5 9 4" xfId="35101"/>
    <cellStyle name="Header2 3 2 5 6" xfId="7875"/>
    <cellStyle name="Header2 3 2 5 6 10" xfId="18732"/>
    <cellStyle name="Header2 3 2 5 6 10 2" xfId="30549"/>
    <cellStyle name="Header2 3 2 5 6 10 2 2" xfId="40548"/>
    <cellStyle name="Header2 3 2 5 6 10 3" xfId="26207"/>
    <cellStyle name="Header2 3 2 5 6 10 4" xfId="35397"/>
    <cellStyle name="Header2 3 2 5 6 11" xfId="20204"/>
    <cellStyle name="Header2 3 2 5 6 11 2" xfId="32021"/>
    <cellStyle name="Header2 3 2 5 6 11 2 2" xfId="42020"/>
    <cellStyle name="Header2 3 2 5 6 11 3" xfId="36869"/>
    <cellStyle name="Header2 3 2 5 6 12" xfId="23227"/>
    <cellStyle name="Header2 3 2 5 6 12 2" xfId="21210"/>
    <cellStyle name="Header2 3 2 5 6 13" xfId="22621"/>
    <cellStyle name="Header2 3 2 5 6 2" xfId="15682"/>
    <cellStyle name="Header2 3 2 5 6 2 2" xfId="19111"/>
    <cellStyle name="Header2 3 2 5 6 2 2 2" xfId="30928"/>
    <cellStyle name="Header2 3 2 5 6 2 2 2 2" xfId="40927"/>
    <cellStyle name="Header2 3 2 5 6 2 2 3" xfId="26586"/>
    <cellStyle name="Header2 3 2 5 6 2 2 4" xfId="35776"/>
    <cellStyle name="Header2 3 2 5 6 2 3" xfId="19717"/>
    <cellStyle name="Header2 3 2 5 6 2 3 2" xfId="31534"/>
    <cellStyle name="Header2 3 2 5 6 2 3 2 2" xfId="41533"/>
    <cellStyle name="Header2 3 2 5 6 2 3 3" xfId="27192"/>
    <cellStyle name="Header2 3 2 5 6 2 3 4" xfId="36382"/>
    <cellStyle name="Header2 3 2 5 6 2 4" xfId="17984"/>
    <cellStyle name="Header2 3 2 5 6 2 4 2" xfId="29801"/>
    <cellStyle name="Header2 3 2 5 6 2 4 2 2" xfId="39800"/>
    <cellStyle name="Header2 3 2 5 6 2 4 3" xfId="25559"/>
    <cellStyle name="Header2 3 2 5 6 2 4 4" xfId="34649"/>
    <cellStyle name="Header2 3 2 5 6 2 5" xfId="20526"/>
    <cellStyle name="Header2 3 2 5 6 2 5 2" xfId="32343"/>
    <cellStyle name="Header2 3 2 5 6 2 5 2 2" xfId="42342"/>
    <cellStyle name="Header2 3 2 5 6 2 5 3" xfId="37191"/>
    <cellStyle name="Header2 3 2 5 6 2 6" xfId="23560"/>
    <cellStyle name="Header2 3 2 5 6 2 6 2" xfId="21838"/>
    <cellStyle name="Header2 3 2 5 6 2 7" xfId="23002"/>
    <cellStyle name="Header2 3 2 5 6 2 7 2" xfId="22102"/>
    <cellStyle name="Header2 3 2 5 6 2 8" xfId="22435"/>
    <cellStyle name="Header2 3 2 5 6 3" xfId="16263"/>
    <cellStyle name="Header2 3 2 5 6 3 2" xfId="19408"/>
    <cellStyle name="Header2 3 2 5 6 3 2 2" xfId="31225"/>
    <cellStyle name="Header2 3 2 5 6 3 2 2 2" xfId="41224"/>
    <cellStyle name="Header2 3 2 5 6 3 2 3" xfId="26883"/>
    <cellStyle name="Header2 3 2 5 6 3 2 4" xfId="36073"/>
    <cellStyle name="Header2 3 2 5 6 3 3" xfId="20014"/>
    <cellStyle name="Header2 3 2 5 6 3 3 2" xfId="31831"/>
    <cellStyle name="Header2 3 2 5 6 3 3 2 2" xfId="41830"/>
    <cellStyle name="Header2 3 2 5 6 3 3 3" xfId="27489"/>
    <cellStyle name="Header2 3 2 5 6 3 3 4" xfId="36679"/>
    <cellStyle name="Header2 3 2 5 6 3 4" xfId="17911"/>
    <cellStyle name="Header2 3 2 5 6 3 4 2" xfId="29728"/>
    <cellStyle name="Header2 3 2 5 6 3 4 2 2" xfId="39727"/>
    <cellStyle name="Header2 3 2 5 6 3 4 3" xfId="25486"/>
    <cellStyle name="Header2 3 2 5 6 3 4 4" xfId="34576"/>
    <cellStyle name="Header2 3 2 5 6 3 5" xfId="20823"/>
    <cellStyle name="Header2 3 2 5 6 3 5 2" xfId="32640"/>
    <cellStyle name="Header2 3 2 5 6 3 5 2 2" xfId="42639"/>
    <cellStyle name="Header2 3 2 5 6 3 5 3" xfId="37488"/>
    <cellStyle name="Header2 3 2 5 6 3 6" xfId="28080"/>
    <cellStyle name="Header2 3 2 5 6 3 6 2" xfId="38079"/>
    <cellStyle name="Header2 3 2 5 6 3 7" xfId="22259"/>
    <cellStyle name="Header2 3 2 5 6 4" xfId="15972"/>
    <cellStyle name="Header2 3 2 5 6 4 2" xfId="27789"/>
    <cellStyle name="Header2 3 2 5 6 4 2 2" xfId="37788"/>
    <cellStyle name="Header2 3 2 5 6 4 3" xfId="23850"/>
    <cellStyle name="Header2 3 2 5 6 4 4" xfId="32940"/>
    <cellStyle name="Header2 3 2 5 6 5" xfId="16587"/>
    <cellStyle name="Header2 3 2 5 6 5 2" xfId="28404"/>
    <cellStyle name="Header2 3 2 5 6 5 2 2" xfId="38403"/>
    <cellStyle name="Header2 3 2 5 6 5 3" xfId="24162"/>
    <cellStyle name="Header2 3 2 5 6 5 4" xfId="33252"/>
    <cellStyle name="Header2 3 2 5 6 6" xfId="16884"/>
    <cellStyle name="Header2 3 2 5 6 6 2" xfId="28701"/>
    <cellStyle name="Header2 3 2 5 6 6 2 2" xfId="38700"/>
    <cellStyle name="Header2 3 2 5 6 6 3" xfId="24459"/>
    <cellStyle name="Header2 3 2 5 6 6 4" xfId="33549"/>
    <cellStyle name="Header2 3 2 5 6 7" xfId="17197"/>
    <cellStyle name="Header2 3 2 5 6 7 2" xfId="29014"/>
    <cellStyle name="Header2 3 2 5 6 7 2 2" xfId="39013"/>
    <cellStyle name="Header2 3 2 5 6 7 3" xfId="24772"/>
    <cellStyle name="Header2 3 2 5 6 7 4" xfId="33862"/>
    <cellStyle name="Header2 3 2 5 6 8" xfId="17500"/>
    <cellStyle name="Header2 3 2 5 6 8 2" xfId="29317"/>
    <cellStyle name="Header2 3 2 5 6 8 2 2" xfId="39316"/>
    <cellStyle name="Header2 3 2 5 6 8 3" xfId="25075"/>
    <cellStyle name="Header2 3 2 5 6 8 4" xfId="34165"/>
    <cellStyle name="Header2 3 2 5 6 9" xfId="18435"/>
    <cellStyle name="Header2 3 2 5 6 9 2" xfId="30252"/>
    <cellStyle name="Header2 3 2 5 6 9 2 2" xfId="40251"/>
    <cellStyle name="Header2 3 2 5 6 9 3" xfId="25910"/>
    <cellStyle name="Header2 3 2 5 6 9 4" xfId="35100"/>
    <cellStyle name="Header2 3 2 5 7" xfId="15671"/>
    <cellStyle name="Header2 3 2 5 7 2" xfId="19122"/>
    <cellStyle name="Header2 3 2 5 7 2 2" xfId="30939"/>
    <cellStyle name="Header2 3 2 5 7 2 2 2" xfId="40938"/>
    <cellStyle name="Header2 3 2 5 7 2 3" xfId="26597"/>
    <cellStyle name="Header2 3 2 5 7 2 4" xfId="35787"/>
    <cellStyle name="Header2 3 2 5 7 3" xfId="19728"/>
    <cellStyle name="Header2 3 2 5 7 3 2" xfId="31545"/>
    <cellStyle name="Header2 3 2 5 7 3 2 2" xfId="41544"/>
    <cellStyle name="Header2 3 2 5 7 3 3" xfId="27203"/>
    <cellStyle name="Header2 3 2 5 7 3 4" xfId="36393"/>
    <cellStyle name="Header2 3 2 5 7 4" xfId="17977"/>
    <cellStyle name="Header2 3 2 5 7 4 2" xfId="29794"/>
    <cellStyle name="Header2 3 2 5 7 4 2 2" xfId="39793"/>
    <cellStyle name="Header2 3 2 5 7 4 3" xfId="25552"/>
    <cellStyle name="Header2 3 2 5 7 4 4" xfId="34642"/>
    <cellStyle name="Header2 3 2 5 7 5" xfId="20537"/>
    <cellStyle name="Header2 3 2 5 7 5 2" xfId="32354"/>
    <cellStyle name="Header2 3 2 5 7 5 2 2" xfId="42353"/>
    <cellStyle name="Header2 3 2 5 7 5 3" xfId="37202"/>
    <cellStyle name="Header2 3 2 5 7 6" xfId="23549"/>
    <cellStyle name="Header2 3 2 5 7 6 2" xfId="21846"/>
    <cellStyle name="Header2 3 2 5 7 7" xfId="23010"/>
    <cellStyle name="Header2 3 2 5 7 7 2" xfId="21314"/>
    <cellStyle name="Header2 3 2 5 7 8" xfId="22427"/>
    <cellStyle name="Header2 3 2 5 8" xfId="16252"/>
    <cellStyle name="Header2 3 2 5 8 2" xfId="19418"/>
    <cellStyle name="Header2 3 2 5 8 2 2" xfId="31235"/>
    <cellStyle name="Header2 3 2 5 8 2 2 2" xfId="41234"/>
    <cellStyle name="Header2 3 2 5 8 2 3" xfId="26893"/>
    <cellStyle name="Header2 3 2 5 8 2 4" xfId="36083"/>
    <cellStyle name="Header2 3 2 5 8 3" xfId="20024"/>
    <cellStyle name="Header2 3 2 5 8 3 2" xfId="31841"/>
    <cellStyle name="Header2 3 2 5 8 3 2 2" xfId="41840"/>
    <cellStyle name="Header2 3 2 5 8 3 3" xfId="27499"/>
    <cellStyle name="Header2 3 2 5 8 3 4" xfId="36689"/>
    <cellStyle name="Header2 3 2 5 8 4" xfId="17774"/>
    <cellStyle name="Header2 3 2 5 8 4 2" xfId="29591"/>
    <cellStyle name="Header2 3 2 5 8 4 2 2" xfId="39590"/>
    <cellStyle name="Header2 3 2 5 8 4 3" xfId="25349"/>
    <cellStyle name="Header2 3 2 5 8 4 4" xfId="34439"/>
    <cellStyle name="Header2 3 2 5 8 5" xfId="20833"/>
    <cellStyle name="Header2 3 2 5 8 5 2" xfId="32650"/>
    <cellStyle name="Header2 3 2 5 8 5 2 2" xfId="42649"/>
    <cellStyle name="Header2 3 2 5 8 5 3" xfId="37498"/>
    <cellStyle name="Header2 3 2 5 8 6" xfId="28069"/>
    <cellStyle name="Header2 3 2 5 8 6 2" xfId="38068"/>
    <cellStyle name="Header2 3 2 5 8 7" xfId="22251"/>
    <cellStyle name="Header2 3 2 5 9" xfId="15963"/>
    <cellStyle name="Header2 3 2 5 9 2" xfId="27780"/>
    <cellStyle name="Header2 3 2 5 9 2 2" xfId="37779"/>
    <cellStyle name="Header2 3 2 5 9 3" xfId="23841"/>
    <cellStyle name="Header2 3 2 5 9 4" xfId="32931"/>
    <cellStyle name="Header2 3 2 6" xfId="7876"/>
    <cellStyle name="Header2 3 2 6 10" xfId="17198"/>
    <cellStyle name="Header2 3 2 6 10 2" xfId="29015"/>
    <cellStyle name="Header2 3 2 6 10 2 2" xfId="39014"/>
    <cellStyle name="Header2 3 2 6 10 3" xfId="24773"/>
    <cellStyle name="Header2 3 2 6 10 4" xfId="33863"/>
    <cellStyle name="Header2 3 2 6 11" xfId="17501"/>
    <cellStyle name="Header2 3 2 6 11 2" xfId="29318"/>
    <cellStyle name="Header2 3 2 6 11 2 2" xfId="39317"/>
    <cellStyle name="Header2 3 2 6 11 3" xfId="25076"/>
    <cellStyle name="Header2 3 2 6 11 4" xfId="34166"/>
    <cellStyle name="Header2 3 2 6 12" xfId="18434"/>
    <cellStyle name="Header2 3 2 6 12 2" xfId="30251"/>
    <cellStyle name="Header2 3 2 6 12 2 2" xfId="40250"/>
    <cellStyle name="Header2 3 2 6 12 3" xfId="25909"/>
    <cellStyle name="Header2 3 2 6 12 4" xfId="35099"/>
    <cellStyle name="Header2 3 2 6 13" xfId="18731"/>
    <cellStyle name="Header2 3 2 6 13 2" xfId="30548"/>
    <cellStyle name="Header2 3 2 6 13 2 2" xfId="40547"/>
    <cellStyle name="Header2 3 2 6 13 3" xfId="26206"/>
    <cellStyle name="Header2 3 2 6 13 4" xfId="35396"/>
    <cellStyle name="Header2 3 2 6 14" xfId="20304"/>
    <cellStyle name="Header2 3 2 6 14 2" xfId="32121"/>
    <cellStyle name="Header2 3 2 6 14 2 2" xfId="42120"/>
    <cellStyle name="Header2 3 2 6 14 3" xfId="36969"/>
    <cellStyle name="Header2 3 2 6 15" xfId="23226"/>
    <cellStyle name="Header2 3 2 6 15 2" xfId="21211"/>
    <cellStyle name="Header2 3 2 6 16" xfId="22620"/>
    <cellStyle name="Header2 3 2 6 2" xfId="7877"/>
    <cellStyle name="Header2 3 2 6 2 10" xfId="18730"/>
    <cellStyle name="Header2 3 2 6 2 10 2" xfId="30547"/>
    <cellStyle name="Header2 3 2 6 2 10 2 2" xfId="40546"/>
    <cellStyle name="Header2 3 2 6 2 10 3" xfId="26205"/>
    <cellStyle name="Header2 3 2 6 2 10 4" xfId="35395"/>
    <cellStyle name="Header2 3 2 6 2 11" xfId="20207"/>
    <cellStyle name="Header2 3 2 6 2 11 2" xfId="32024"/>
    <cellStyle name="Header2 3 2 6 2 11 2 2" xfId="42023"/>
    <cellStyle name="Header2 3 2 6 2 11 3" xfId="36872"/>
    <cellStyle name="Header2 3 2 6 2 12" xfId="23225"/>
    <cellStyle name="Header2 3 2 6 2 12 2" xfId="21212"/>
    <cellStyle name="Header2 3 2 6 2 13" xfId="22619"/>
    <cellStyle name="Header2 3 2 6 2 2" xfId="15684"/>
    <cellStyle name="Header2 3 2 6 2 2 2" xfId="19109"/>
    <cellStyle name="Header2 3 2 6 2 2 2 2" xfId="30926"/>
    <cellStyle name="Header2 3 2 6 2 2 2 2 2" xfId="40925"/>
    <cellStyle name="Header2 3 2 6 2 2 2 3" xfId="26584"/>
    <cellStyle name="Header2 3 2 6 2 2 2 4" xfId="35774"/>
    <cellStyle name="Header2 3 2 6 2 2 3" xfId="19715"/>
    <cellStyle name="Header2 3 2 6 2 2 3 2" xfId="31532"/>
    <cellStyle name="Header2 3 2 6 2 2 3 2 2" xfId="41531"/>
    <cellStyle name="Header2 3 2 6 2 2 3 3" xfId="27190"/>
    <cellStyle name="Header2 3 2 6 2 2 3 4" xfId="36380"/>
    <cellStyle name="Header2 3 2 6 2 2 4" xfId="18156"/>
    <cellStyle name="Header2 3 2 6 2 2 4 2" xfId="29973"/>
    <cellStyle name="Header2 3 2 6 2 2 4 2 2" xfId="39972"/>
    <cellStyle name="Header2 3 2 6 2 2 4 3" xfId="25731"/>
    <cellStyle name="Header2 3 2 6 2 2 4 4" xfId="34821"/>
    <cellStyle name="Header2 3 2 6 2 2 5" xfId="20524"/>
    <cellStyle name="Header2 3 2 6 2 2 5 2" xfId="32341"/>
    <cellStyle name="Header2 3 2 6 2 2 5 2 2" xfId="42340"/>
    <cellStyle name="Header2 3 2 6 2 2 5 3" xfId="37189"/>
    <cellStyle name="Header2 3 2 6 2 2 6" xfId="23562"/>
    <cellStyle name="Header2 3 2 6 2 2 6 2" xfId="21836"/>
    <cellStyle name="Header2 3 2 6 2 2 7" xfId="23000"/>
    <cellStyle name="Header2 3 2 6 2 2 7 2" xfId="21317"/>
    <cellStyle name="Header2 3 2 6 2 2 8" xfId="21642"/>
    <cellStyle name="Header2 3 2 6 2 3" xfId="16265"/>
    <cellStyle name="Header2 3 2 6 2 3 2" xfId="19406"/>
    <cellStyle name="Header2 3 2 6 2 3 2 2" xfId="31223"/>
    <cellStyle name="Header2 3 2 6 2 3 2 2 2" xfId="41222"/>
    <cellStyle name="Header2 3 2 6 2 3 2 3" xfId="26881"/>
    <cellStyle name="Header2 3 2 6 2 3 2 4" xfId="36071"/>
    <cellStyle name="Header2 3 2 6 2 3 3" xfId="20012"/>
    <cellStyle name="Header2 3 2 6 2 3 3 2" xfId="31829"/>
    <cellStyle name="Header2 3 2 6 2 3 3 2 2" xfId="41828"/>
    <cellStyle name="Header2 3 2 6 2 3 3 3" xfId="27487"/>
    <cellStyle name="Header2 3 2 6 2 3 3 4" xfId="36677"/>
    <cellStyle name="Header2 3 2 6 2 3 4" xfId="18859"/>
    <cellStyle name="Header2 3 2 6 2 3 4 2" xfId="30676"/>
    <cellStyle name="Header2 3 2 6 2 3 4 2 2" xfId="40675"/>
    <cellStyle name="Header2 3 2 6 2 3 4 3" xfId="26334"/>
    <cellStyle name="Header2 3 2 6 2 3 4 4" xfId="35524"/>
    <cellStyle name="Header2 3 2 6 2 3 5" xfId="20821"/>
    <cellStyle name="Header2 3 2 6 2 3 5 2" xfId="32638"/>
    <cellStyle name="Header2 3 2 6 2 3 5 2 2" xfId="42637"/>
    <cellStyle name="Header2 3 2 6 2 3 5 3" xfId="37486"/>
    <cellStyle name="Header2 3 2 6 2 3 6" xfId="28082"/>
    <cellStyle name="Header2 3 2 6 2 3 6 2" xfId="38081"/>
    <cellStyle name="Header2 3 2 6 2 3 7" xfId="21522"/>
    <cellStyle name="Header2 3 2 6 2 4" xfId="15974"/>
    <cellStyle name="Header2 3 2 6 2 4 2" xfId="27791"/>
    <cellStyle name="Header2 3 2 6 2 4 2 2" xfId="37790"/>
    <cellStyle name="Header2 3 2 6 2 4 3" xfId="23852"/>
    <cellStyle name="Header2 3 2 6 2 4 4" xfId="32942"/>
    <cellStyle name="Header2 3 2 6 2 5" xfId="16585"/>
    <cellStyle name="Header2 3 2 6 2 5 2" xfId="28402"/>
    <cellStyle name="Header2 3 2 6 2 5 2 2" xfId="38401"/>
    <cellStyle name="Header2 3 2 6 2 5 3" xfId="24160"/>
    <cellStyle name="Header2 3 2 6 2 5 4" xfId="33250"/>
    <cellStyle name="Header2 3 2 6 2 6" xfId="16882"/>
    <cellStyle name="Header2 3 2 6 2 6 2" xfId="28699"/>
    <cellStyle name="Header2 3 2 6 2 6 2 2" xfId="38698"/>
    <cellStyle name="Header2 3 2 6 2 6 3" xfId="24457"/>
    <cellStyle name="Header2 3 2 6 2 6 4" xfId="33547"/>
    <cellStyle name="Header2 3 2 6 2 7" xfId="17199"/>
    <cellStyle name="Header2 3 2 6 2 7 2" xfId="29016"/>
    <cellStyle name="Header2 3 2 6 2 7 2 2" xfId="39015"/>
    <cellStyle name="Header2 3 2 6 2 7 3" xfId="24774"/>
    <cellStyle name="Header2 3 2 6 2 7 4" xfId="33864"/>
    <cellStyle name="Header2 3 2 6 2 8" xfId="17502"/>
    <cellStyle name="Header2 3 2 6 2 8 2" xfId="29319"/>
    <cellStyle name="Header2 3 2 6 2 8 2 2" xfId="39318"/>
    <cellStyle name="Header2 3 2 6 2 8 3" xfId="25077"/>
    <cellStyle name="Header2 3 2 6 2 8 4" xfId="34167"/>
    <cellStyle name="Header2 3 2 6 2 9" xfId="18433"/>
    <cellStyle name="Header2 3 2 6 2 9 2" xfId="30250"/>
    <cellStyle name="Header2 3 2 6 2 9 2 2" xfId="40249"/>
    <cellStyle name="Header2 3 2 6 2 9 3" xfId="25908"/>
    <cellStyle name="Header2 3 2 6 2 9 4" xfId="35098"/>
    <cellStyle name="Header2 3 2 6 3" xfId="7878"/>
    <cellStyle name="Header2 3 2 6 3 10" xfId="18729"/>
    <cellStyle name="Header2 3 2 6 3 10 2" xfId="30546"/>
    <cellStyle name="Header2 3 2 6 3 10 2 2" xfId="40545"/>
    <cellStyle name="Header2 3 2 6 3 10 3" xfId="26204"/>
    <cellStyle name="Header2 3 2 6 3 10 4" xfId="35394"/>
    <cellStyle name="Header2 3 2 6 3 11" xfId="20307"/>
    <cellStyle name="Header2 3 2 6 3 11 2" xfId="32124"/>
    <cellStyle name="Header2 3 2 6 3 11 2 2" xfId="42123"/>
    <cellStyle name="Header2 3 2 6 3 11 3" xfId="36972"/>
    <cellStyle name="Header2 3 2 6 3 12" xfId="23224"/>
    <cellStyle name="Header2 3 2 6 3 12 2" xfId="21213"/>
    <cellStyle name="Header2 3 2 6 3 13" xfId="22618"/>
    <cellStyle name="Header2 3 2 6 3 2" xfId="15685"/>
    <cellStyle name="Header2 3 2 6 3 2 2" xfId="19108"/>
    <cellStyle name="Header2 3 2 6 3 2 2 2" xfId="30925"/>
    <cellStyle name="Header2 3 2 6 3 2 2 2 2" xfId="40924"/>
    <cellStyle name="Header2 3 2 6 3 2 2 3" xfId="26583"/>
    <cellStyle name="Header2 3 2 6 3 2 2 4" xfId="35773"/>
    <cellStyle name="Header2 3 2 6 3 2 3" xfId="19714"/>
    <cellStyle name="Header2 3 2 6 3 2 3 2" xfId="31531"/>
    <cellStyle name="Header2 3 2 6 3 2 3 2 2" xfId="41530"/>
    <cellStyle name="Header2 3 2 6 3 2 3 3" xfId="27189"/>
    <cellStyle name="Header2 3 2 6 3 2 3 4" xfId="36379"/>
    <cellStyle name="Header2 3 2 6 3 2 4" xfId="17702"/>
    <cellStyle name="Header2 3 2 6 3 2 4 2" xfId="29519"/>
    <cellStyle name="Header2 3 2 6 3 2 4 2 2" xfId="39518"/>
    <cellStyle name="Header2 3 2 6 3 2 4 3" xfId="25277"/>
    <cellStyle name="Header2 3 2 6 3 2 4 4" xfId="34367"/>
    <cellStyle name="Header2 3 2 6 3 2 5" xfId="20523"/>
    <cellStyle name="Header2 3 2 6 3 2 5 2" xfId="32340"/>
    <cellStyle name="Header2 3 2 6 3 2 5 2 2" xfId="42339"/>
    <cellStyle name="Header2 3 2 6 3 2 5 3" xfId="37188"/>
    <cellStyle name="Header2 3 2 6 3 2 6" xfId="23563"/>
    <cellStyle name="Header2 3 2 6 3 2 6 2" xfId="21023"/>
    <cellStyle name="Header2 3 2 6 3 2 7" xfId="22841"/>
    <cellStyle name="Header2 3 2 6 3 2 7 2" xfId="21391"/>
    <cellStyle name="Header2 3 2 6 3 2 8" xfId="21643"/>
    <cellStyle name="Header2 3 2 6 3 3" xfId="16266"/>
    <cellStyle name="Header2 3 2 6 3 3 2" xfId="19405"/>
    <cellStyle name="Header2 3 2 6 3 3 2 2" xfId="31222"/>
    <cellStyle name="Header2 3 2 6 3 3 2 2 2" xfId="41221"/>
    <cellStyle name="Header2 3 2 6 3 3 2 3" xfId="26880"/>
    <cellStyle name="Header2 3 2 6 3 3 2 4" xfId="36070"/>
    <cellStyle name="Header2 3 2 6 3 3 3" xfId="20011"/>
    <cellStyle name="Header2 3 2 6 3 3 3 2" xfId="31828"/>
    <cellStyle name="Header2 3 2 6 3 3 3 2 2" xfId="41827"/>
    <cellStyle name="Header2 3 2 6 3 3 3 3" xfId="27486"/>
    <cellStyle name="Header2 3 2 6 3 3 3 4" xfId="36676"/>
    <cellStyle name="Header2 3 2 6 3 3 4" xfId="18082"/>
    <cellStyle name="Header2 3 2 6 3 3 4 2" xfId="29899"/>
    <cellStyle name="Header2 3 2 6 3 3 4 2 2" xfId="39898"/>
    <cellStyle name="Header2 3 2 6 3 3 4 3" xfId="25657"/>
    <cellStyle name="Header2 3 2 6 3 3 4 4" xfId="34747"/>
    <cellStyle name="Header2 3 2 6 3 3 5" xfId="20820"/>
    <cellStyle name="Header2 3 2 6 3 3 5 2" xfId="32637"/>
    <cellStyle name="Header2 3 2 6 3 3 5 2 2" xfId="42636"/>
    <cellStyle name="Header2 3 2 6 3 3 5 3" xfId="37485"/>
    <cellStyle name="Header2 3 2 6 3 3 6" xfId="28083"/>
    <cellStyle name="Header2 3 2 6 3 3 6 2" xfId="38082"/>
    <cellStyle name="Header2 3 2 6 3 3 7" xfId="21523"/>
    <cellStyle name="Header2 3 2 6 3 4" xfId="15975"/>
    <cellStyle name="Header2 3 2 6 3 4 2" xfId="27792"/>
    <cellStyle name="Header2 3 2 6 3 4 2 2" xfId="37791"/>
    <cellStyle name="Header2 3 2 6 3 4 3" xfId="23853"/>
    <cellStyle name="Header2 3 2 6 3 4 4" xfId="32943"/>
    <cellStyle name="Header2 3 2 6 3 5" xfId="16584"/>
    <cellStyle name="Header2 3 2 6 3 5 2" xfId="28401"/>
    <cellStyle name="Header2 3 2 6 3 5 2 2" xfId="38400"/>
    <cellStyle name="Header2 3 2 6 3 5 3" xfId="24159"/>
    <cellStyle name="Header2 3 2 6 3 5 4" xfId="33249"/>
    <cellStyle name="Header2 3 2 6 3 6" xfId="16881"/>
    <cellStyle name="Header2 3 2 6 3 6 2" xfId="28698"/>
    <cellStyle name="Header2 3 2 6 3 6 2 2" xfId="38697"/>
    <cellStyle name="Header2 3 2 6 3 6 3" xfId="24456"/>
    <cellStyle name="Header2 3 2 6 3 6 4" xfId="33546"/>
    <cellStyle name="Header2 3 2 6 3 7" xfId="17200"/>
    <cellStyle name="Header2 3 2 6 3 7 2" xfId="29017"/>
    <cellStyle name="Header2 3 2 6 3 7 2 2" xfId="39016"/>
    <cellStyle name="Header2 3 2 6 3 7 3" xfId="24775"/>
    <cellStyle name="Header2 3 2 6 3 7 4" xfId="33865"/>
    <cellStyle name="Header2 3 2 6 3 8" xfId="17503"/>
    <cellStyle name="Header2 3 2 6 3 8 2" xfId="29320"/>
    <cellStyle name="Header2 3 2 6 3 8 2 2" xfId="39319"/>
    <cellStyle name="Header2 3 2 6 3 8 3" xfId="25078"/>
    <cellStyle name="Header2 3 2 6 3 8 4" xfId="34168"/>
    <cellStyle name="Header2 3 2 6 3 9" xfId="18432"/>
    <cellStyle name="Header2 3 2 6 3 9 2" xfId="30249"/>
    <cellStyle name="Header2 3 2 6 3 9 2 2" xfId="40248"/>
    <cellStyle name="Header2 3 2 6 3 9 3" xfId="25907"/>
    <cellStyle name="Header2 3 2 6 3 9 4" xfId="35097"/>
    <cellStyle name="Header2 3 2 6 4" xfId="7879"/>
    <cellStyle name="Header2 3 2 6 4 10" xfId="18728"/>
    <cellStyle name="Header2 3 2 6 4 10 2" xfId="30545"/>
    <cellStyle name="Header2 3 2 6 4 10 2 2" xfId="40544"/>
    <cellStyle name="Header2 3 2 6 4 10 3" xfId="26203"/>
    <cellStyle name="Header2 3 2 6 4 10 4" xfId="35393"/>
    <cellStyle name="Header2 3 2 6 4 11" xfId="18256"/>
    <cellStyle name="Header2 3 2 6 4 11 2" xfId="30073"/>
    <cellStyle name="Header2 3 2 6 4 11 2 2" xfId="40072"/>
    <cellStyle name="Header2 3 2 6 4 11 3" xfId="34921"/>
    <cellStyle name="Header2 3 2 6 4 12" xfId="23223"/>
    <cellStyle name="Header2 3 2 6 4 12 2" xfId="21214"/>
    <cellStyle name="Header2 3 2 6 4 13" xfId="22617"/>
    <cellStyle name="Header2 3 2 6 4 2" xfId="15686"/>
    <cellStyle name="Header2 3 2 6 4 2 2" xfId="19107"/>
    <cellStyle name="Header2 3 2 6 4 2 2 2" xfId="30924"/>
    <cellStyle name="Header2 3 2 6 4 2 2 2 2" xfId="40923"/>
    <cellStyle name="Header2 3 2 6 4 2 2 3" xfId="26582"/>
    <cellStyle name="Header2 3 2 6 4 2 2 4" xfId="35772"/>
    <cellStyle name="Header2 3 2 6 4 2 3" xfId="19713"/>
    <cellStyle name="Header2 3 2 6 4 2 3 2" xfId="31530"/>
    <cellStyle name="Header2 3 2 6 4 2 3 2 2" xfId="41529"/>
    <cellStyle name="Header2 3 2 6 4 2 3 3" xfId="27188"/>
    <cellStyle name="Header2 3 2 6 4 2 3 4" xfId="36378"/>
    <cellStyle name="Header2 3 2 6 4 2 4" xfId="18918"/>
    <cellStyle name="Header2 3 2 6 4 2 4 2" xfId="30735"/>
    <cellStyle name="Header2 3 2 6 4 2 4 2 2" xfId="40734"/>
    <cellStyle name="Header2 3 2 6 4 2 4 3" xfId="26393"/>
    <cellStyle name="Header2 3 2 6 4 2 4 4" xfId="35583"/>
    <cellStyle name="Header2 3 2 6 4 2 5" xfId="20522"/>
    <cellStyle name="Header2 3 2 6 4 2 5 2" xfId="32339"/>
    <cellStyle name="Header2 3 2 6 4 2 5 2 2" xfId="42338"/>
    <cellStyle name="Header2 3 2 6 4 2 5 3" xfId="37187"/>
    <cellStyle name="Header2 3 2 6 4 2 6" xfId="23564"/>
    <cellStyle name="Header2 3 2 6 4 2 6 2" xfId="21835"/>
    <cellStyle name="Header2 3 2 6 4 2 7" xfId="22999"/>
    <cellStyle name="Header2 3 2 6 4 2 7 2" xfId="22104"/>
    <cellStyle name="Header2 3 2 6 4 2 8" xfId="22436"/>
    <cellStyle name="Header2 3 2 6 4 3" xfId="16267"/>
    <cellStyle name="Header2 3 2 6 4 3 2" xfId="19404"/>
    <cellStyle name="Header2 3 2 6 4 3 2 2" xfId="31221"/>
    <cellStyle name="Header2 3 2 6 4 3 2 2 2" xfId="41220"/>
    <cellStyle name="Header2 3 2 6 4 3 2 3" xfId="26879"/>
    <cellStyle name="Header2 3 2 6 4 3 2 4" xfId="36069"/>
    <cellStyle name="Header2 3 2 6 4 3 3" xfId="20010"/>
    <cellStyle name="Header2 3 2 6 4 3 3 2" xfId="31827"/>
    <cellStyle name="Header2 3 2 6 4 3 3 2 2" xfId="41826"/>
    <cellStyle name="Header2 3 2 6 4 3 3 3" xfId="27485"/>
    <cellStyle name="Header2 3 2 6 4 3 3 4" xfId="36675"/>
    <cellStyle name="Header2 3 2 6 4 3 4" xfId="17659"/>
    <cellStyle name="Header2 3 2 6 4 3 4 2" xfId="29476"/>
    <cellStyle name="Header2 3 2 6 4 3 4 2 2" xfId="39475"/>
    <cellStyle name="Header2 3 2 6 4 3 4 3" xfId="25234"/>
    <cellStyle name="Header2 3 2 6 4 3 4 4" xfId="34324"/>
    <cellStyle name="Header2 3 2 6 4 3 5" xfId="20819"/>
    <cellStyle name="Header2 3 2 6 4 3 5 2" xfId="32636"/>
    <cellStyle name="Header2 3 2 6 4 3 5 2 2" xfId="42635"/>
    <cellStyle name="Header2 3 2 6 4 3 5 3" xfId="37484"/>
    <cellStyle name="Header2 3 2 6 4 3 6" xfId="28084"/>
    <cellStyle name="Header2 3 2 6 4 3 6 2" xfId="38083"/>
    <cellStyle name="Header2 3 2 6 4 3 7" xfId="21524"/>
    <cellStyle name="Header2 3 2 6 4 4" xfId="15976"/>
    <cellStyle name="Header2 3 2 6 4 4 2" xfId="27793"/>
    <cellStyle name="Header2 3 2 6 4 4 2 2" xfId="37792"/>
    <cellStyle name="Header2 3 2 6 4 4 3" xfId="23854"/>
    <cellStyle name="Header2 3 2 6 4 4 4" xfId="32944"/>
    <cellStyle name="Header2 3 2 6 4 5" xfId="16583"/>
    <cellStyle name="Header2 3 2 6 4 5 2" xfId="28400"/>
    <cellStyle name="Header2 3 2 6 4 5 2 2" xfId="38399"/>
    <cellStyle name="Header2 3 2 6 4 5 3" xfId="24158"/>
    <cellStyle name="Header2 3 2 6 4 5 4" xfId="33248"/>
    <cellStyle name="Header2 3 2 6 4 6" xfId="16880"/>
    <cellStyle name="Header2 3 2 6 4 6 2" xfId="28697"/>
    <cellStyle name="Header2 3 2 6 4 6 2 2" xfId="38696"/>
    <cellStyle name="Header2 3 2 6 4 6 3" xfId="24455"/>
    <cellStyle name="Header2 3 2 6 4 6 4" xfId="33545"/>
    <cellStyle name="Header2 3 2 6 4 7" xfId="17201"/>
    <cellStyle name="Header2 3 2 6 4 7 2" xfId="29018"/>
    <cellStyle name="Header2 3 2 6 4 7 2 2" xfId="39017"/>
    <cellStyle name="Header2 3 2 6 4 7 3" xfId="24776"/>
    <cellStyle name="Header2 3 2 6 4 7 4" xfId="33866"/>
    <cellStyle name="Header2 3 2 6 4 8" xfId="17504"/>
    <cellStyle name="Header2 3 2 6 4 8 2" xfId="29321"/>
    <cellStyle name="Header2 3 2 6 4 8 2 2" xfId="39320"/>
    <cellStyle name="Header2 3 2 6 4 8 3" xfId="25079"/>
    <cellStyle name="Header2 3 2 6 4 8 4" xfId="34169"/>
    <cellStyle name="Header2 3 2 6 4 9" xfId="18431"/>
    <cellStyle name="Header2 3 2 6 4 9 2" xfId="30248"/>
    <cellStyle name="Header2 3 2 6 4 9 2 2" xfId="40247"/>
    <cellStyle name="Header2 3 2 6 4 9 3" xfId="25906"/>
    <cellStyle name="Header2 3 2 6 4 9 4" xfId="35096"/>
    <cellStyle name="Header2 3 2 6 5" xfId="15683"/>
    <cellStyle name="Header2 3 2 6 5 2" xfId="19110"/>
    <cellStyle name="Header2 3 2 6 5 2 2" xfId="30927"/>
    <cellStyle name="Header2 3 2 6 5 2 2 2" xfId="40926"/>
    <cellStyle name="Header2 3 2 6 5 2 3" xfId="26585"/>
    <cellStyle name="Header2 3 2 6 5 2 4" xfId="35775"/>
    <cellStyle name="Header2 3 2 6 5 3" xfId="19716"/>
    <cellStyle name="Header2 3 2 6 5 3 2" xfId="31533"/>
    <cellStyle name="Header2 3 2 6 5 3 2 2" xfId="41532"/>
    <cellStyle name="Header2 3 2 6 5 3 3" xfId="27191"/>
    <cellStyle name="Header2 3 2 6 5 3 4" xfId="36381"/>
    <cellStyle name="Header2 3 2 6 5 4" xfId="17985"/>
    <cellStyle name="Header2 3 2 6 5 4 2" xfId="29802"/>
    <cellStyle name="Header2 3 2 6 5 4 2 2" xfId="39801"/>
    <cellStyle name="Header2 3 2 6 5 4 3" xfId="25560"/>
    <cellStyle name="Header2 3 2 6 5 4 4" xfId="34650"/>
    <cellStyle name="Header2 3 2 6 5 5" xfId="20525"/>
    <cellStyle name="Header2 3 2 6 5 5 2" xfId="32342"/>
    <cellStyle name="Header2 3 2 6 5 5 2 2" xfId="42341"/>
    <cellStyle name="Header2 3 2 6 5 5 3" xfId="37190"/>
    <cellStyle name="Header2 3 2 6 5 6" xfId="23561"/>
    <cellStyle name="Header2 3 2 6 5 6 2" xfId="21837"/>
    <cellStyle name="Header2 3 2 6 5 7" xfId="23001"/>
    <cellStyle name="Header2 3 2 6 5 7 2" xfId="22103"/>
    <cellStyle name="Header2 3 2 6 5 8" xfId="21641"/>
    <cellStyle name="Header2 3 2 6 6" xfId="16264"/>
    <cellStyle name="Header2 3 2 6 6 2" xfId="19407"/>
    <cellStyle name="Header2 3 2 6 6 2 2" xfId="31224"/>
    <cellStyle name="Header2 3 2 6 6 2 2 2" xfId="41223"/>
    <cellStyle name="Header2 3 2 6 6 2 3" xfId="26882"/>
    <cellStyle name="Header2 3 2 6 6 2 4" xfId="36072"/>
    <cellStyle name="Header2 3 2 6 6 3" xfId="20013"/>
    <cellStyle name="Header2 3 2 6 6 3 2" xfId="31830"/>
    <cellStyle name="Header2 3 2 6 6 3 2 2" xfId="41829"/>
    <cellStyle name="Header2 3 2 6 6 3 3" xfId="27488"/>
    <cellStyle name="Header2 3 2 6 6 3 4" xfId="36678"/>
    <cellStyle name="Header2 3 2 6 6 4" xfId="18081"/>
    <cellStyle name="Header2 3 2 6 6 4 2" xfId="29898"/>
    <cellStyle name="Header2 3 2 6 6 4 2 2" xfId="39897"/>
    <cellStyle name="Header2 3 2 6 6 4 3" xfId="25656"/>
    <cellStyle name="Header2 3 2 6 6 4 4" xfId="34746"/>
    <cellStyle name="Header2 3 2 6 6 5" xfId="20822"/>
    <cellStyle name="Header2 3 2 6 6 5 2" xfId="32639"/>
    <cellStyle name="Header2 3 2 6 6 5 2 2" xfId="42638"/>
    <cellStyle name="Header2 3 2 6 6 5 3" xfId="37487"/>
    <cellStyle name="Header2 3 2 6 6 6" xfId="28081"/>
    <cellStyle name="Header2 3 2 6 6 6 2" xfId="38080"/>
    <cellStyle name="Header2 3 2 6 6 7" xfId="21521"/>
    <cellStyle name="Header2 3 2 6 7" xfId="15973"/>
    <cellStyle name="Header2 3 2 6 7 2" xfId="27790"/>
    <cellStyle name="Header2 3 2 6 7 2 2" xfId="37789"/>
    <cellStyle name="Header2 3 2 6 7 3" xfId="23851"/>
    <cellStyle name="Header2 3 2 6 7 4" xfId="32941"/>
    <cellStyle name="Header2 3 2 6 8" xfId="16586"/>
    <cellStyle name="Header2 3 2 6 8 2" xfId="28403"/>
    <cellStyle name="Header2 3 2 6 8 2 2" xfId="38402"/>
    <cellStyle name="Header2 3 2 6 8 3" xfId="24161"/>
    <cellStyle name="Header2 3 2 6 8 4" xfId="33251"/>
    <cellStyle name="Header2 3 2 6 9" xfId="16883"/>
    <cellStyle name="Header2 3 2 6 9 2" xfId="28700"/>
    <cellStyle name="Header2 3 2 6 9 2 2" xfId="38699"/>
    <cellStyle name="Header2 3 2 6 9 3" xfId="24458"/>
    <cellStyle name="Header2 3 2 6 9 4" xfId="33548"/>
    <cellStyle name="Header2 3 2 7" xfId="7880"/>
    <cellStyle name="Header2 3 2 7 10" xfId="17202"/>
    <cellStyle name="Header2 3 2 7 10 2" xfId="29019"/>
    <cellStyle name="Header2 3 2 7 10 2 2" xfId="39018"/>
    <cellStyle name="Header2 3 2 7 10 3" xfId="24777"/>
    <cellStyle name="Header2 3 2 7 10 4" xfId="33867"/>
    <cellStyle name="Header2 3 2 7 11" xfId="17505"/>
    <cellStyle name="Header2 3 2 7 11 2" xfId="29322"/>
    <cellStyle name="Header2 3 2 7 11 2 2" xfId="39321"/>
    <cellStyle name="Header2 3 2 7 11 3" xfId="25080"/>
    <cellStyle name="Header2 3 2 7 11 4" xfId="34170"/>
    <cellStyle name="Header2 3 2 7 12" xfId="18430"/>
    <cellStyle name="Header2 3 2 7 12 2" xfId="30247"/>
    <cellStyle name="Header2 3 2 7 12 2 2" xfId="40246"/>
    <cellStyle name="Header2 3 2 7 12 3" xfId="25905"/>
    <cellStyle name="Header2 3 2 7 12 4" xfId="35095"/>
    <cellStyle name="Header2 3 2 7 13" xfId="18727"/>
    <cellStyle name="Header2 3 2 7 13 2" xfId="30544"/>
    <cellStyle name="Header2 3 2 7 13 2 2" xfId="40543"/>
    <cellStyle name="Header2 3 2 7 13 3" xfId="26202"/>
    <cellStyle name="Header2 3 2 7 13 4" xfId="35392"/>
    <cellStyle name="Header2 3 2 7 14" xfId="18257"/>
    <cellStyle name="Header2 3 2 7 14 2" xfId="30074"/>
    <cellStyle name="Header2 3 2 7 14 2 2" xfId="40073"/>
    <cellStyle name="Header2 3 2 7 14 3" xfId="34922"/>
    <cellStyle name="Header2 3 2 7 15" xfId="23222"/>
    <cellStyle name="Header2 3 2 7 15 2" xfId="21215"/>
    <cellStyle name="Header2 3 2 7 16" xfId="22616"/>
    <cellStyle name="Header2 3 2 7 2" xfId="7881"/>
    <cellStyle name="Header2 3 2 7 2 10" xfId="18726"/>
    <cellStyle name="Header2 3 2 7 2 10 2" xfId="30543"/>
    <cellStyle name="Header2 3 2 7 2 10 2 2" xfId="40542"/>
    <cellStyle name="Header2 3 2 7 2 10 3" xfId="26201"/>
    <cellStyle name="Header2 3 2 7 2 10 4" xfId="35391"/>
    <cellStyle name="Header2 3 2 7 2 11" xfId="20202"/>
    <cellStyle name="Header2 3 2 7 2 11 2" xfId="32019"/>
    <cellStyle name="Header2 3 2 7 2 11 2 2" xfId="42018"/>
    <cellStyle name="Header2 3 2 7 2 11 3" xfId="36867"/>
    <cellStyle name="Header2 3 2 7 2 12" xfId="23221"/>
    <cellStyle name="Header2 3 2 7 2 12 2" xfId="21216"/>
    <cellStyle name="Header2 3 2 7 2 13" xfId="22615"/>
    <cellStyle name="Header2 3 2 7 2 2" xfId="15688"/>
    <cellStyle name="Header2 3 2 7 2 2 2" xfId="19105"/>
    <cellStyle name="Header2 3 2 7 2 2 2 2" xfId="30922"/>
    <cellStyle name="Header2 3 2 7 2 2 2 2 2" xfId="40921"/>
    <cellStyle name="Header2 3 2 7 2 2 2 3" xfId="26580"/>
    <cellStyle name="Header2 3 2 7 2 2 2 4" xfId="35770"/>
    <cellStyle name="Header2 3 2 7 2 2 3" xfId="19711"/>
    <cellStyle name="Header2 3 2 7 2 2 3 2" xfId="31528"/>
    <cellStyle name="Header2 3 2 7 2 2 3 2 2" xfId="41527"/>
    <cellStyle name="Header2 3 2 7 2 2 3 3" xfId="27186"/>
    <cellStyle name="Header2 3 2 7 2 2 3 4" xfId="36376"/>
    <cellStyle name="Header2 3 2 7 2 2 4" xfId="18157"/>
    <cellStyle name="Header2 3 2 7 2 2 4 2" xfId="29974"/>
    <cellStyle name="Header2 3 2 7 2 2 4 2 2" xfId="39973"/>
    <cellStyle name="Header2 3 2 7 2 2 4 3" xfId="25732"/>
    <cellStyle name="Header2 3 2 7 2 2 4 4" xfId="34822"/>
    <cellStyle name="Header2 3 2 7 2 2 5" xfId="20520"/>
    <cellStyle name="Header2 3 2 7 2 2 5 2" xfId="32337"/>
    <cellStyle name="Header2 3 2 7 2 2 5 2 2" xfId="42336"/>
    <cellStyle name="Header2 3 2 7 2 2 5 3" xfId="37185"/>
    <cellStyle name="Header2 3 2 7 2 2 6" xfId="23566"/>
    <cellStyle name="Header2 3 2 7 2 2 6 2" xfId="21834"/>
    <cellStyle name="Header2 3 2 7 2 2 7" xfId="22998"/>
    <cellStyle name="Header2 3 2 7 2 2 7 2" xfId="22105"/>
    <cellStyle name="Header2 3 2 7 2 2 8" xfId="21645"/>
    <cellStyle name="Header2 3 2 7 2 3" xfId="16269"/>
    <cellStyle name="Header2 3 2 7 2 3 2" xfId="19402"/>
    <cellStyle name="Header2 3 2 7 2 3 2 2" xfId="31219"/>
    <cellStyle name="Header2 3 2 7 2 3 2 2 2" xfId="41218"/>
    <cellStyle name="Header2 3 2 7 2 3 2 3" xfId="26877"/>
    <cellStyle name="Header2 3 2 7 2 3 2 4" xfId="36067"/>
    <cellStyle name="Header2 3 2 7 2 3 3" xfId="20008"/>
    <cellStyle name="Header2 3 2 7 2 3 3 2" xfId="31825"/>
    <cellStyle name="Header2 3 2 7 2 3 3 2 2" xfId="41824"/>
    <cellStyle name="Header2 3 2 7 2 3 3 3" xfId="27483"/>
    <cellStyle name="Header2 3 2 7 2 3 3 4" xfId="36673"/>
    <cellStyle name="Header2 3 2 7 2 3 4" xfId="17912"/>
    <cellStyle name="Header2 3 2 7 2 3 4 2" xfId="29729"/>
    <cellStyle name="Header2 3 2 7 2 3 4 2 2" xfId="39728"/>
    <cellStyle name="Header2 3 2 7 2 3 4 3" xfId="25487"/>
    <cellStyle name="Header2 3 2 7 2 3 4 4" xfId="34577"/>
    <cellStyle name="Header2 3 2 7 2 3 5" xfId="20817"/>
    <cellStyle name="Header2 3 2 7 2 3 5 2" xfId="32634"/>
    <cellStyle name="Header2 3 2 7 2 3 5 2 2" xfId="42633"/>
    <cellStyle name="Header2 3 2 7 2 3 5 3" xfId="37482"/>
    <cellStyle name="Header2 3 2 7 2 3 6" xfId="28086"/>
    <cellStyle name="Header2 3 2 7 2 3 6 2" xfId="38085"/>
    <cellStyle name="Header2 3 2 7 2 3 7" xfId="21525"/>
    <cellStyle name="Header2 3 2 7 2 4" xfId="15978"/>
    <cellStyle name="Header2 3 2 7 2 4 2" xfId="27795"/>
    <cellStyle name="Header2 3 2 7 2 4 2 2" xfId="37794"/>
    <cellStyle name="Header2 3 2 7 2 4 3" xfId="23856"/>
    <cellStyle name="Header2 3 2 7 2 4 4" xfId="32946"/>
    <cellStyle name="Header2 3 2 7 2 5" xfId="16581"/>
    <cellStyle name="Header2 3 2 7 2 5 2" xfId="28398"/>
    <cellStyle name="Header2 3 2 7 2 5 2 2" xfId="38397"/>
    <cellStyle name="Header2 3 2 7 2 5 3" xfId="24156"/>
    <cellStyle name="Header2 3 2 7 2 5 4" xfId="33246"/>
    <cellStyle name="Header2 3 2 7 2 6" xfId="16878"/>
    <cellStyle name="Header2 3 2 7 2 6 2" xfId="28695"/>
    <cellStyle name="Header2 3 2 7 2 6 2 2" xfId="38694"/>
    <cellStyle name="Header2 3 2 7 2 6 3" xfId="24453"/>
    <cellStyle name="Header2 3 2 7 2 6 4" xfId="33543"/>
    <cellStyle name="Header2 3 2 7 2 7" xfId="17203"/>
    <cellStyle name="Header2 3 2 7 2 7 2" xfId="29020"/>
    <cellStyle name="Header2 3 2 7 2 7 2 2" xfId="39019"/>
    <cellStyle name="Header2 3 2 7 2 7 3" xfId="24778"/>
    <cellStyle name="Header2 3 2 7 2 7 4" xfId="33868"/>
    <cellStyle name="Header2 3 2 7 2 8" xfId="17506"/>
    <cellStyle name="Header2 3 2 7 2 8 2" xfId="29323"/>
    <cellStyle name="Header2 3 2 7 2 8 2 2" xfId="39322"/>
    <cellStyle name="Header2 3 2 7 2 8 3" xfId="25081"/>
    <cellStyle name="Header2 3 2 7 2 8 4" xfId="34171"/>
    <cellStyle name="Header2 3 2 7 2 9" xfId="18429"/>
    <cellStyle name="Header2 3 2 7 2 9 2" xfId="30246"/>
    <cellStyle name="Header2 3 2 7 2 9 2 2" xfId="40245"/>
    <cellStyle name="Header2 3 2 7 2 9 3" xfId="25904"/>
    <cellStyle name="Header2 3 2 7 2 9 4" xfId="35094"/>
    <cellStyle name="Header2 3 2 7 3" xfId="7882"/>
    <cellStyle name="Header2 3 2 7 3 10" xfId="18725"/>
    <cellStyle name="Header2 3 2 7 3 10 2" xfId="30542"/>
    <cellStyle name="Header2 3 2 7 3 10 2 2" xfId="40541"/>
    <cellStyle name="Header2 3 2 7 3 10 3" xfId="26200"/>
    <cellStyle name="Header2 3 2 7 3 10 4" xfId="35390"/>
    <cellStyle name="Header2 3 2 7 3 11" xfId="20302"/>
    <cellStyle name="Header2 3 2 7 3 11 2" xfId="32119"/>
    <cellStyle name="Header2 3 2 7 3 11 2 2" xfId="42118"/>
    <cellStyle name="Header2 3 2 7 3 11 3" xfId="36967"/>
    <cellStyle name="Header2 3 2 7 3 12" xfId="23220"/>
    <cellStyle name="Header2 3 2 7 3 12 2" xfId="21217"/>
    <cellStyle name="Header2 3 2 7 3 13" xfId="22614"/>
    <cellStyle name="Header2 3 2 7 3 2" xfId="15689"/>
    <cellStyle name="Header2 3 2 7 3 2 2" xfId="19104"/>
    <cellStyle name="Header2 3 2 7 3 2 2 2" xfId="30921"/>
    <cellStyle name="Header2 3 2 7 3 2 2 2 2" xfId="40920"/>
    <cellStyle name="Header2 3 2 7 3 2 2 3" xfId="26579"/>
    <cellStyle name="Header2 3 2 7 3 2 2 4" xfId="35769"/>
    <cellStyle name="Header2 3 2 7 3 2 3" xfId="19710"/>
    <cellStyle name="Header2 3 2 7 3 2 3 2" xfId="31527"/>
    <cellStyle name="Header2 3 2 7 3 2 3 2 2" xfId="41526"/>
    <cellStyle name="Header2 3 2 7 3 2 3 3" xfId="27185"/>
    <cellStyle name="Header2 3 2 7 3 2 3 4" xfId="36375"/>
    <cellStyle name="Header2 3 2 7 3 2 4" xfId="17821"/>
    <cellStyle name="Header2 3 2 7 3 2 4 2" xfId="29638"/>
    <cellStyle name="Header2 3 2 7 3 2 4 2 2" xfId="39637"/>
    <cellStyle name="Header2 3 2 7 3 2 4 3" xfId="25396"/>
    <cellStyle name="Header2 3 2 7 3 2 4 4" xfId="34486"/>
    <cellStyle name="Header2 3 2 7 3 2 5" xfId="20519"/>
    <cellStyle name="Header2 3 2 7 3 2 5 2" xfId="32336"/>
    <cellStyle name="Header2 3 2 7 3 2 5 2 2" xfId="42335"/>
    <cellStyle name="Header2 3 2 7 3 2 5 3" xfId="37184"/>
    <cellStyle name="Header2 3 2 7 3 2 6" xfId="23567"/>
    <cellStyle name="Header2 3 2 7 3 2 6 2" xfId="21021"/>
    <cellStyle name="Header2 3 2 7 3 2 7" xfId="22839"/>
    <cellStyle name="Header2 3 2 7 3 2 7 2" xfId="21393"/>
    <cellStyle name="Header2 3 2 7 3 2 8" xfId="21646"/>
    <cellStyle name="Header2 3 2 7 3 3" xfId="16270"/>
    <cellStyle name="Header2 3 2 7 3 3 2" xfId="19401"/>
    <cellStyle name="Header2 3 2 7 3 3 2 2" xfId="31218"/>
    <cellStyle name="Header2 3 2 7 3 3 2 2 2" xfId="41217"/>
    <cellStyle name="Header2 3 2 7 3 3 2 3" xfId="26876"/>
    <cellStyle name="Header2 3 2 7 3 3 2 4" xfId="36066"/>
    <cellStyle name="Header2 3 2 7 3 3 3" xfId="20007"/>
    <cellStyle name="Header2 3 2 7 3 3 3 2" xfId="31824"/>
    <cellStyle name="Header2 3 2 7 3 3 3 2 2" xfId="41823"/>
    <cellStyle name="Header2 3 2 7 3 3 3 3" xfId="27482"/>
    <cellStyle name="Header2 3 2 7 3 3 3 4" xfId="36672"/>
    <cellStyle name="Header2 3 2 7 3 3 4" xfId="18083"/>
    <cellStyle name="Header2 3 2 7 3 3 4 2" xfId="29900"/>
    <cellStyle name="Header2 3 2 7 3 3 4 2 2" xfId="39899"/>
    <cellStyle name="Header2 3 2 7 3 3 4 3" xfId="25658"/>
    <cellStyle name="Header2 3 2 7 3 3 4 4" xfId="34748"/>
    <cellStyle name="Header2 3 2 7 3 3 5" xfId="20816"/>
    <cellStyle name="Header2 3 2 7 3 3 5 2" xfId="32633"/>
    <cellStyle name="Header2 3 2 7 3 3 5 2 2" xfId="42632"/>
    <cellStyle name="Header2 3 2 7 3 3 5 3" xfId="37481"/>
    <cellStyle name="Header2 3 2 7 3 3 6" xfId="28087"/>
    <cellStyle name="Header2 3 2 7 3 3 6 2" xfId="38086"/>
    <cellStyle name="Header2 3 2 7 3 3 7" xfId="21526"/>
    <cellStyle name="Header2 3 2 7 3 4" xfId="15979"/>
    <cellStyle name="Header2 3 2 7 3 4 2" xfId="27796"/>
    <cellStyle name="Header2 3 2 7 3 4 2 2" xfId="37795"/>
    <cellStyle name="Header2 3 2 7 3 4 3" xfId="23857"/>
    <cellStyle name="Header2 3 2 7 3 4 4" xfId="32947"/>
    <cellStyle name="Header2 3 2 7 3 5" xfId="16580"/>
    <cellStyle name="Header2 3 2 7 3 5 2" xfId="28397"/>
    <cellStyle name="Header2 3 2 7 3 5 2 2" xfId="38396"/>
    <cellStyle name="Header2 3 2 7 3 5 3" xfId="24155"/>
    <cellStyle name="Header2 3 2 7 3 5 4" xfId="33245"/>
    <cellStyle name="Header2 3 2 7 3 6" xfId="16877"/>
    <cellStyle name="Header2 3 2 7 3 6 2" xfId="28694"/>
    <cellStyle name="Header2 3 2 7 3 6 2 2" xfId="38693"/>
    <cellStyle name="Header2 3 2 7 3 6 3" xfId="24452"/>
    <cellStyle name="Header2 3 2 7 3 6 4" xfId="33542"/>
    <cellStyle name="Header2 3 2 7 3 7" xfId="17204"/>
    <cellStyle name="Header2 3 2 7 3 7 2" xfId="29021"/>
    <cellStyle name="Header2 3 2 7 3 7 2 2" xfId="39020"/>
    <cellStyle name="Header2 3 2 7 3 7 3" xfId="24779"/>
    <cellStyle name="Header2 3 2 7 3 7 4" xfId="33869"/>
    <cellStyle name="Header2 3 2 7 3 8" xfId="17507"/>
    <cellStyle name="Header2 3 2 7 3 8 2" xfId="29324"/>
    <cellStyle name="Header2 3 2 7 3 8 2 2" xfId="39323"/>
    <cellStyle name="Header2 3 2 7 3 8 3" xfId="25082"/>
    <cellStyle name="Header2 3 2 7 3 8 4" xfId="34172"/>
    <cellStyle name="Header2 3 2 7 3 9" xfId="18428"/>
    <cellStyle name="Header2 3 2 7 3 9 2" xfId="30245"/>
    <cellStyle name="Header2 3 2 7 3 9 2 2" xfId="40244"/>
    <cellStyle name="Header2 3 2 7 3 9 3" xfId="25903"/>
    <cellStyle name="Header2 3 2 7 3 9 4" xfId="35093"/>
    <cellStyle name="Header2 3 2 7 4" xfId="7883"/>
    <cellStyle name="Header2 3 2 7 4 10" xfId="18724"/>
    <cellStyle name="Header2 3 2 7 4 10 2" xfId="30541"/>
    <cellStyle name="Header2 3 2 7 4 10 2 2" xfId="40540"/>
    <cellStyle name="Header2 3 2 7 4 10 3" xfId="26199"/>
    <cellStyle name="Header2 3 2 7 4 10 4" xfId="35389"/>
    <cellStyle name="Header2 3 2 7 4 11" xfId="18258"/>
    <cellStyle name="Header2 3 2 7 4 11 2" xfId="30075"/>
    <cellStyle name="Header2 3 2 7 4 11 2 2" xfId="40074"/>
    <cellStyle name="Header2 3 2 7 4 11 3" xfId="34923"/>
    <cellStyle name="Header2 3 2 7 4 12" xfId="23219"/>
    <cellStyle name="Header2 3 2 7 4 12 2" xfId="21218"/>
    <cellStyle name="Header2 3 2 7 4 13" xfId="22613"/>
    <cellStyle name="Header2 3 2 7 4 2" xfId="15690"/>
    <cellStyle name="Header2 3 2 7 4 2 2" xfId="19103"/>
    <cellStyle name="Header2 3 2 7 4 2 2 2" xfId="30920"/>
    <cellStyle name="Header2 3 2 7 4 2 2 2 2" xfId="40919"/>
    <cellStyle name="Header2 3 2 7 4 2 2 3" xfId="26578"/>
    <cellStyle name="Header2 3 2 7 4 2 2 4" xfId="35768"/>
    <cellStyle name="Header2 3 2 7 4 2 3" xfId="19709"/>
    <cellStyle name="Header2 3 2 7 4 2 3 2" xfId="31526"/>
    <cellStyle name="Header2 3 2 7 4 2 3 2 2" xfId="41525"/>
    <cellStyle name="Header2 3 2 7 4 2 3 3" xfId="27184"/>
    <cellStyle name="Header2 3 2 7 4 2 3 4" xfId="36374"/>
    <cellStyle name="Header2 3 2 7 4 2 4" xfId="17822"/>
    <cellStyle name="Header2 3 2 7 4 2 4 2" xfId="29639"/>
    <cellStyle name="Header2 3 2 7 4 2 4 2 2" xfId="39638"/>
    <cellStyle name="Header2 3 2 7 4 2 4 3" xfId="25397"/>
    <cellStyle name="Header2 3 2 7 4 2 4 4" xfId="34487"/>
    <cellStyle name="Header2 3 2 7 4 2 5" xfId="20518"/>
    <cellStyle name="Header2 3 2 7 4 2 5 2" xfId="32335"/>
    <cellStyle name="Header2 3 2 7 4 2 5 2 2" xfId="42334"/>
    <cellStyle name="Header2 3 2 7 4 2 5 3" xfId="37183"/>
    <cellStyle name="Header2 3 2 7 4 2 6" xfId="23568"/>
    <cellStyle name="Header2 3 2 7 4 2 6 2" xfId="21020"/>
    <cellStyle name="Header2 3 2 7 4 2 7" xfId="22838"/>
    <cellStyle name="Header2 3 2 7 4 2 7 2" xfId="22189"/>
    <cellStyle name="Header2 3 2 7 4 2 8" xfId="22437"/>
    <cellStyle name="Header2 3 2 7 4 3" xfId="16271"/>
    <cellStyle name="Header2 3 2 7 4 3 2" xfId="19400"/>
    <cellStyle name="Header2 3 2 7 4 3 2 2" xfId="31217"/>
    <cellStyle name="Header2 3 2 7 4 3 2 2 2" xfId="41216"/>
    <cellStyle name="Header2 3 2 7 4 3 2 3" xfId="26875"/>
    <cellStyle name="Header2 3 2 7 4 3 2 4" xfId="36065"/>
    <cellStyle name="Header2 3 2 7 4 3 3" xfId="20006"/>
    <cellStyle name="Header2 3 2 7 4 3 3 2" xfId="31823"/>
    <cellStyle name="Header2 3 2 7 4 3 3 2 2" xfId="41822"/>
    <cellStyle name="Header2 3 2 7 4 3 3 3" xfId="27481"/>
    <cellStyle name="Header2 3 2 7 4 3 3 4" xfId="36671"/>
    <cellStyle name="Header2 3 2 7 4 3 4" xfId="18861"/>
    <cellStyle name="Header2 3 2 7 4 3 4 2" xfId="30678"/>
    <cellStyle name="Header2 3 2 7 4 3 4 2 2" xfId="40677"/>
    <cellStyle name="Header2 3 2 7 4 3 4 3" xfId="26336"/>
    <cellStyle name="Header2 3 2 7 4 3 4 4" xfId="35526"/>
    <cellStyle name="Header2 3 2 7 4 3 5" xfId="20815"/>
    <cellStyle name="Header2 3 2 7 4 3 5 2" xfId="32632"/>
    <cellStyle name="Header2 3 2 7 4 3 5 2 2" xfId="42631"/>
    <cellStyle name="Header2 3 2 7 4 3 5 3" xfId="37480"/>
    <cellStyle name="Header2 3 2 7 4 3 6" xfId="28088"/>
    <cellStyle name="Header2 3 2 7 4 3 6 2" xfId="38087"/>
    <cellStyle name="Header2 3 2 7 4 3 7" xfId="21527"/>
    <cellStyle name="Header2 3 2 7 4 4" xfId="15980"/>
    <cellStyle name="Header2 3 2 7 4 4 2" xfId="27797"/>
    <cellStyle name="Header2 3 2 7 4 4 2 2" xfId="37796"/>
    <cellStyle name="Header2 3 2 7 4 4 3" xfId="23858"/>
    <cellStyle name="Header2 3 2 7 4 4 4" xfId="32948"/>
    <cellStyle name="Header2 3 2 7 4 5" xfId="16579"/>
    <cellStyle name="Header2 3 2 7 4 5 2" xfId="28396"/>
    <cellStyle name="Header2 3 2 7 4 5 2 2" xfId="38395"/>
    <cellStyle name="Header2 3 2 7 4 5 3" xfId="24154"/>
    <cellStyle name="Header2 3 2 7 4 5 4" xfId="33244"/>
    <cellStyle name="Header2 3 2 7 4 6" xfId="16876"/>
    <cellStyle name="Header2 3 2 7 4 6 2" xfId="28693"/>
    <cellStyle name="Header2 3 2 7 4 6 2 2" xfId="38692"/>
    <cellStyle name="Header2 3 2 7 4 6 3" xfId="24451"/>
    <cellStyle name="Header2 3 2 7 4 6 4" xfId="33541"/>
    <cellStyle name="Header2 3 2 7 4 7" xfId="17205"/>
    <cellStyle name="Header2 3 2 7 4 7 2" xfId="29022"/>
    <cellStyle name="Header2 3 2 7 4 7 2 2" xfId="39021"/>
    <cellStyle name="Header2 3 2 7 4 7 3" xfId="24780"/>
    <cellStyle name="Header2 3 2 7 4 7 4" xfId="33870"/>
    <cellStyle name="Header2 3 2 7 4 8" xfId="17508"/>
    <cellStyle name="Header2 3 2 7 4 8 2" xfId="29325"/>
    <cellStyle name="Header2 3 2 7 4 8 2 2" xfId="39324"/>
    <cellStyle name="Header2 3 2 7 4 8 3" xfId="25083"/>
    <cellStyle name="Header2 3 2 7 4 8 4" xfId="34173"/>
    <cellStyle name="Header2 3 2 7 4 9" xfId="18427"/>
    <cellStyle name="Header2 3 2 7 4 9 2" xfId="30244"/>
    <cellStyle name="Header2 3 2 7 4 9 2 2" xfId="40243"/>
    <cellStyle name="Header2 3 2 7 4 9 3" xfId="25902"/>
    <cellStyle name="Header2 3 2 7 4 9 4" xfId="35092"/>
    <cellStyle name="Header2 3 2 7 5" xfId="15687"/>
    <cellStyle name="Header2 3 2 7 5 2" xfId="19106"/>
    <cellStyle name="Header2 3 2 7 5 2 2" xfId="30923"/>
    <cellStyle name="Header2 3 2 7 5 2 2 2" xfId="40922"/>
    <cellStyle name="Header2 3 2 7 5 2 3" xfId="26581"/>
    <cellStyle name="Header2 3 2 7 5 2 4" xfId="35771"/>
    <cellStyle name="Header2 3 2 7 5 3" xfId="19712"/>
    <cellStyle name="Header2 3 2 7 5 3 2" xfId="31529"/>
    <cellStyle name="Header2 3 2 7 5 3 2 2" xfId="41528"/>
    <cellStyle name="Header2 3 2 7 5 3 3" xfId="27187"/>
    <cellStyle name="Header2 3 2 7 5 3 4" xfId="36377"/>
    <cellStyle name="Header2 3 2 7 5 4" xfId="17703"/>
    <cellStyle name="Header2 3 2 7 5 4 2" xfId="29520"/>
    <cellStyle name="Header2 3 2 7 5 4 2 2" xfId="39519"/>
    <cellStyle name="Header2 3 2 7 5 4 3" xfId="25278"/>
    <cellStyle name="Header2 3 2 7 5 4 4" xfId="34368"/>
    <cellStyle name="Header2 3 2 7 5 5" xfId="20521"/>
    <cellStyle name="Header2 3 2 7 5 5 2" xfId="32338"/>
    <cellStyle name="Header2 3 2 7 5 5 2 2" xfId="42337"/>
    <cellStyle name="Header2 3 2 7 5 5 3" xfId="37186"/>
    <cellStyle name="Header2 3 2 7 5 6" xfId="23565"/>
    <cellStyle name="Header2 3 2 7 5 6 2" xfId="21022"/>
    <cellStyle name="Header2 3 2 7 5 7" xfId="22840"/>
    <cellStyle name="Header2 3 2 7 5 7 2" xfId="21392"/>
    <cellStyle name="Header2 3 2 7 5 8" xfId="21644"/>
    <cellStyle name="Header2 3 2 7 6" xfId="16268"/>
    <cellStyle name="Header2 3 2 7 6 2" xfId="19403"/>
    <cellStyle name="Header2 3 2 7 6 2 2" xfId="31220"/>
    <cellStyle name="Header2 3 2 7 6 2 2 2" xfId="41219"/>
    <cellStyle name="Header2 3 2 7 6 2 3" xfId="26878"/>
    <cellStyle name="Header2 3 2 7 6 2 4" xfId="36068"/>
    <cellStyle name="Header2 3 2 7 6 3" xfId="20009"/>
    <cellStyle name="Header2 3 2 7 6 3 2" xfId="31826"/>
    <cellStyle name="Header2 3 2 7 6 3 2 2" xfId="41825"/>
    <cellStyle name="Header2 3 2 7 6 3 3" xfId="27484"/>
    <cellStyle name="Header2 3 2 7 6 3 4" xfId="36674"/>
    <cellStyle name="Header2 3 2 7 6 4" xfId="18860"/>
    <cellStyle name="Header2 3 2 7 6 4 2" xfId="30677"/>
    <cellStyle name="Header2 3 2 7 6 4 2 2" xfId="40676"/>
    <cellStyle name="Header2 3 2 7 6 4 3" xfId="26335"/>
    <cellStyle name="Header2 3 2 7 6 4 4" xfId="35525"/>
    <cellStyle name="Header2 3 2 7 6 5" xfId="20818"/>
    <cellStyle name="Header2 3 2 7 6 5 2" xfId="32635"/>
    <cellStyle name="Header2 3 2 7 6 5 2 2" xfId="42634"/>
    <cellStyle name="Header2 3 2 7 6 5 3" xfId="37483"/>
    <cellStyle name="Header2 3 2 7 6 6" xfId="28085"/>
    <cellStyle name="Header2 3 2 7 6 6 2" xfId="38084"/>
    <cellStyle name="Header2 3 2 7 6 7" xfId="22260"/>
    <cellStyle name="Header2 3 2 7 7" xfId="15977"/>
    <cellStyle name="Header2 3 2 7 7 2" xfId="27794"/>
    <cellStyle name="Header2 3 2 7 7 2 2" xfId="37793"/>
    <cellStyle name="Header2 3 2 7 7 3" xfId="23855"/>
    <cellStyle name="Header2 3 2 7 7 4" xfId="32945"/>
    <cellStyle name="Header2 3 2 7 8" xfId="16582"/>
    <cellStyle name="Header2 3 2 7 8 2" xfId="28399"/>
    <cellStyle name="Header2 3 2 7 8 2 2" xfId="38398"/>
    <cellStyle name="Header2 3 2 7 8 3" xfId="24157"/>
    <cellStyle name="Header2 3 2 7 8 4" xfId="33247"/>
    <cellStyle name="Header2 3 2 7 9" xfId="16879"/>
    <cellStyle name="Header2 3 2 7 9 2" xfId="28696"/>
    <cellStyle name="Header2 3 2 7 9 2 2" xfId="38695"/>
    <cellStyle name="Header2 3 2 7 9 3" xfId="24454"/>
    <cellStyle name="Header2 3 2 7 9 4" xfId="33544"/>
    <cellStyle name="Header2 3 2 8" xfId="7884"/>
    <cellStyle name="Header2 3 2 8 10" xfId="17206"/>
    <cellStyle name="Header2 3 2 8 10 2" xfId="29023"/>
    <cellStyle name="Header2 3 2 8 10 2 2" xfId="39022"/>
    <cellStyle name="Header2 3 2 8 10 3" xfId="24781"/>
    <cellStyle name="Header2 3 2 8 10 4" xfId="33871"/>
    <cellStyle name="Header2 3 2 8 11" xfId="17509"/>
    <cellStyle name="Header2 3 2 8 11 2" xfId="29326"/>
    <cellStyle name="Header2 3 2 8 11 2 2" xfId="39325"/>
    <cellStyle name="Header2 3 2 8 11 3" xfId="25084"/>
    <cellStyle name="Header2 3 2 8 11 4" xfId="34174"/>
    <cellStyle name="Header2 3 2 8 12" xfId="18426"/>
    <cellStyle name="Header2 3 2 8 12 2" xfId="30243"/>
    <cellStyle name="Header2 3 2 8 12 2 2" xfId="40242"/>
    <cellStyle name="Header2 3 2 8 12 3" xfId="25901"/>
    <cellStyle name="Header2 3 2 8 12 4" xfId="35091"/>
    <cellStyle name="Header2 3 2 8 13" xfId="18723"/>
    <cellStyle name="Header2 3 2 8 13 2" xfId="30540"/>
    <cellStyle name="Header2 3 2 8 13 2 2" xfId="40539"/>
    <cellStyle name="Header2 3 2 8 13 3" xfId="26198"/>
    <cellStyle name="Header2 3 2 8 13 4" xfId="35388"/>
    <cellStyle name="Header2 3 2 8 14" xfId="20201"/>
    <cellStyle name="Header2 3 2 8 14 2" xfId="32018"/>
    <cellStyle name="Header2 3 2 8 14 2 2" xfId="42017"/>
    <cellStyle name="Header2 3 2 8 14 3" xfId="36866"/>
    <cellStyle name="Header2 3 2 8 15" xfId="23218"/>
    <cellStyle name="Header2 3 2 8 15 2" xfId="21985"/>
    <cellStyle name="Header2 3 2 8 16" xfId="22612"/>
    <cellStyle name="Header2 3 2 8 2" xfId="7885"/>
    <cellStyle name="Header2 3 2 8 2 10" xfId="18722"/>
    <cellStyle name="Header2 3 2 8 2 10 2" xfId="30539"/>
    <cellStyle name="Header2 3 2 8 2 10 2 2" xfId="40538"/>
    <cellStyle name="Header2 3 2 8 2 10 3" xfId="26197"/>
    <cellStyle name="Header2 3 2 8 2 10 4" xfId="35387"/>
    <cellStyle name="Header2 3 2 8 2 11" xfId="20301"/>
    <cellStyle name="Header2 3 2 8 2 11 2" xfId="32118"/>
    <cellStyle name="Header2 3 2 8 2 11 2 2" xfId="42117"/>
    <cellStyle name="Header2 3 2 8 2 11 3" xfId="36966"/>
    <cellStyle name="Header2 3 2 8 2 12" xfId="23217"/>
    <cellStyle name="Header2 3 2 8 2 12 2" xfId="21219"/>
    <cellStyle name="Header2 3 2 8 2 13" xfId="22611"/>
    <cellStyle name="Header2 3 2 8 2 2" xfId="15692"/>
    <cellStyle name="Header2 3 2 8 2 2 2" xfId="19101"/>
    <cellStyle name="Header2 3 2 8 2 2 2 2" xfId="30918"/>
    <cellStyle name="Header2 3 2 8 2 2 2 2 2" xfId="40917"/>
    <cellStyle name="Header2 3 2 8 2 2 2 3" xfId="26576"/>
    <cellStyle name="Header2 3 2 8 2 2 2 4" xfId="35766"/>
    <cellStyle name="Header2 3 2 8 2 2 3" xfId="19707"/>
    <cellStyle name="Header2 3 2 8 2 2 3 2" xfId="31524"/>
    <cellStyle name="Header2 3 2 8 2 2 3 2 2" xfId="41523"/>
    <cellStyle name="Header2 3 2 8 2 2 3 3" xfId="27182"/>
    <cellStyle name="Header2 3 2 8 2 2 3 4" xfId="36372"/>
    <cellStyle name="Header2 3 2 8 2 2 4" xfId="18919"/>
    <cellStyle name="Header2 3 2 8 2 2 4 2" xfId="30736"/>
    <cellStyle name="Header2 3 2 8 2 2 4 2 2" xfId="40735"/>
    <cellStyle name="Header2 3 2 8 2 2 4 3" xfId="26394"/>
    <cellStyle name="Header2 3 2 8 2 2 4 4" xfId="35584"/>
    <cellStyle name="Header2 3 2 8 2 2 5" xfId="20516"/>
    <cellStyle name="Header2 3 2 8 2 2 5 2" xfId="32333"/>
    <cellStyle name="Header2 3 2 8 2 2 5 2 2" xfId="42332"/>
    <cellStyle name="Header2 3 2 8 2 2 5 3" xfId="37181"/>
    <cellStyle name="Header2 3 2 8 2 2 6" xfId="23570"/>
    <cellStyle name="Header2 3 2 8 2 2 6 2" xfId="21833"/>
    <cellStyle name="Header2 3 2 8 2 2 7" xfId="22997"/>
    <cellStyle name="Header2 3 2 8 2 2 7 2" xfId="22106"/>
    <cellStyle name="Header2 3 2 8 2 2 8" xfId="21648"/>
    <cellStyle name="Header2 3 2 8 2 3" xfId="16273"/>
    <cellStyle name="Header2 3 2 8 2 3 2" xfId="19398"/>
    <cellStyle name="Header2 3 2 8 2 3 2 2" xfId="31215"/>
    <cellStyle name="Header2 3 2 8 2 3 2 2 2" xfId="41214"/>
    <cellStyle name="Header2 3 2 8 2 3 2 3" xfId="26873"/>
    <cellStyle name="Header2 3 2 8 2 3 2 4" xfId="36063"/>
    <cellStyle name="Header2 3 2 8 2 3 3" xfId="20004"/>
    <cellStyle name="Header2 3 2 8 2 3 3 2" xfId="31821"/>
    <cellStyle name="Header2 3 2 8 2 3 3 2 2" xfId="41820"/>
    <cellStyle name="Header2 3 2 8 2 3 3 3" xfId="27479"/>
    <cellStyle name="Header2 3 2 8 2 3 3 4" xfId="36669"/>
    <cellStyle name="Header2 3 2 8 2 3 4" xfId="17913"/>
    <cellStyle name="Header2 3 2 8 2 3 4 2" xfId="29730"/>
    <cellStyle name="Header2 3 2 8 2 3 4 2 2" xfId="39729"/>
    <cellStyle name="Header2 3 2 8 2 3 4 3" xfId="25488"/>
    <cellStyle name="Header2 3 2 8 2 3 4 4" xfId="34578"/>
    <cellStyle name="Header2 3 2 8 2 3 5" xfId="20813"/>
    <cellStyle name="Header2 3 2 8 2 3 5 2" xfId="32630"/>
    <cellStyle name="Header2 3 2 8 2 3 5 2 2" xfId="42629"/>
    <cellStyle name="Header2 3 2 8 2 3 5 3" xfId="37478"/>
    <cellStyle name="Header2 3 2 8 2 3 6" xfId="28090"/>
    <cellStyle name="Header2 3 2 8 2 3 6 2" xfId="38089"/>
    <cellStyle name="Header2 3 2 8 2 3 7" xfId="21529"/>
    <cellStyle name="Header2 3 2 8 2 4" xfId="15982"/>
    <cellStyle name="Header2 3 2 8 2 4 2" xfId="27799"/>
    <cellStyle name="Header2 3 2 8 2 4 2 2" xfId="37798"/>
    <cellStyle name="Header2 3 2 8 2 4 3" xfId="23860"/>
    <cellStyle name="Header2 3 2 8 2 4 4" xfId="32950"/>
    <cellStyle name="Header2 3 2 8 2 5" xfId="16577"/>
    <cellStyle name="Header2 3 2 8 2 5 2" xfId="28394"/>
    <cellStyle name="Header2 3 2 8 2 5 2 2" xfId="38393"/>
    <cellStyle name="Header2 3 2 8 2 5 3" xfId="24152"/>
    <cellStyle name="Header2 3 2 8 2 5 4" xfId="33242"/>
    <cellStyle name="Header2 3 2 8 2 6" xfId="16874"/>
    <cellStyle name="Header2 3 2 8 2 6 2" xfId="28691"/>
    <cellStyle name="Header2 3 2 8 2 6 2 2" xfId="38690"/>
    <cellStyle name="Header2 3 2 8 2 6 3" xfId="24449"/>
    <cellStyle name="Header2 3 2 8 2 6 4" xfId="33539"/>
    <cellStyle name="Header2 3 2 8 2 7" xfId="17207"/>
    <cellStyle name="Header2 3 2 8 2 7 2" xfId="29024"/>
    <cellStyle name="Header2 3 2 8 2 7 2 2" xfId="39023"/>
    <cellStyle name="Header2 3 2 8 2 7 3" xfId="24782"/>
    <cellStyle name="Header2 3 2 8 2 7 4" xfId="33872"/>
    <cellStyle name="Header2 3 2 8 2 8" xfId="17510"/>
    <cellStyle name="Header2 3 2 8 2 8 2" xfId="29327"/>
    <cellStyle name="Header2 3 2 8 2 8 2 2" xfId="39326"/>
    <cellStyle name="Header2 3 2 8 2 8 3" xfId="25085"/>
    <cellStyle name="Header2 3 2 8 2 8 4" xfId="34175"/>
    <cellStyle name="Header2 3 2 8 2 9" xfId="18425"/>
    <cellStyle name="Header2 3 2 8 2 9 2" xfId="30242"/>
    <cellStyle name="Header2 3 2 8 2 9 2 2" xfId="40241"/>
    <cellStyle name="Header2 3 2 8 2 9 3" xfId="25900"/>
    <cellStyle name="Header2 3 2 8 2 9 4" xfId="35090"/>
    <cellStyle name="Header2 3 2 8 3" xfId="7886"/>
    <cellStyle name="Header2 3 2 8 3 10" xfId="18721"/>
    <cellStyle name="Header2 3 2 8 3 10 2" xfId="30538"/>
    <cellStyle name="Header2 3 2 8 3 10 2 2" xfId="40537"/>
    <cellStyle name="Header2 3 2 8 3 10 3" xfId="26196"/>
    <cellStyle name="Header2 3 2 8 3 10 4" xfId="35386"/>
    <cellStyle name="Header2 3 2 8 3 11" xfId="18259"/>
    <cellStyle name="Header2 3 2 8 3 11 2" xfId="30076"/>
    <cellStyle name="Header2 3 2 8 3 11 2 2" xfId="40075"/>
    <cellStyle name="Header2 3 2 8 3 11 3" xfId="34924"/>
    <cellStyle name="Header2 3 2 8 3 12" xfId="23216"/>
    <cellStyle name="Header2 3 2 8 3 12 2" xfId="21220"/>
    <cellStyle name="Header2 3 2 8 3 13" xfId="22610"/>
    <cellStyle name="Header2 3 2 8 3 2" xfId="15693"/>
    <cellStyle name="Header2 3 2 8 3 2 2" xfId="19100"/>
    <cellStyle name="Header2 3 2 8 3 2 2 2" xfId="30917"/>
    <cellStyle name="Header2 3 2 8 3 2 2 2 2" xfId="40916"/>
    <cellStyle name="Header2 3 2 8 3 2 2 3" xfId="26575"/>
    <cellStyle name="Header2 3 2 8 3 2 2 4" xfId="35765"/>
    <cellStyle name="Header2 3 2 8 3 2 3" xfId="19706"/>
    <cellStyle name="Header2 3 2 8 3 2 3 2" xfId="31523"/>
    <cellStyle name="Header2 3 2 8 3 2 3 2 2" xfId="41522"/>
    <cellStyle name="Header2 3 2 8 3 2 3 3" xfId="27181"/>
    <cellStyle name="Header2 3 2 8 3 2 3 4" xfId="36371"/>
    <cellStyle name="Header2 3 2 8 3 2 4" xfId="17823"/>
    <cellStyle name="Header2 3 2 8 3 2 4 2" xfId="29640"/>
    <cellStyle name="Header2 3 2 8 3 2 4 2 2" xfId="39639"/>
    <cellStyle name="Header2 3 2 8 3 2 4 3" xfId="25398"/>
    <cellStyle name="Header2 3 2 8 3 2 4 4" xfId="34488"/>
    <cellStyle name="Header2 3 2 8 3 2 5" xfId="20515"/>
    <cellStyle name="Header2 3 2 8 3 2 5 2" xfId="32332"/>
    <cellStyle name="Header2 3 2 8 3 2 5 2 2" xfId="42331"/>
    <cellStyle name="Header2 3 2 8 3 2 5 3" xfId="37180"/>
    <cellStyle name="Header2 3 2 8 3 2 6" xfId="23571"/>
    <cellStyle name="Header2 3 2 8 3 2 6 2" xfId="21018"/>
    <cellStyle name="Header2 3 2 8 3 2 7" xfId="22836"/>
    <cellStyle name="Header2 3 2 8 3 2 7 2" xfId="21395"/>
    <cellStyle name="Header2 3 2 8 3 2 8" xfId="21649"/>
    <cellStyle name="Header2 3 2 8 3 3" xfId="16274"/>
    <cellStyle name="Header2 3 2 8 3 3 2" xfId="19397"/>
    <cellStyle name="Header2 3 2 8 3 3 2 2" xfId="31214"/>
    <cellStyle name="Header2 3 2 8 3 3 2 2 2" xfId="41213"/>
    <cellStyle name="Header2 3 2 8 3 3 2 3" xfId="26872"/>
    <cellStyle name="Header2 3 2 8 3 3 2 4" xfId="36062"/>
    <cellStyle name="Header2 3 2 8 3 3 3" xfId="20003"/>
    <cellStyle name="Header2 3 2 8 3 3 3 2" xfId="31820"/>
    <cellStyle name="Header2 3 2 8 3 3 3 2 2" xfId="41819"/>
    <cellStyle name="Header2 3 2 8 3 3 3 3" xfId="27478"/>
    <cellStyle name="Header2 3 2 8 3 3 3 4" xfId="36668"/>
    <cellStyle name="Header2 3 2 8 3 3 4" xfId="18084"/>
    <cellStyle name="Header2 3 2 8 3 3 4 2" xfId="29901"/>
    <cellStyle name="Header2 3 2 8 3 3 4 2 2" xfId="39900"/>
    <cellStyle name="Header2 3 2 8 3 3 4 3" xfId="25659"/>
    <cellStyle name="Header2 3 2 8 3 3 4 4" xfId="34749"/>
    <cellStyle name="Header2 3 2 8 3 3 5" xfId="20812"/>
    <cellStyle name="Header2 3 2 8 3 3 5 2" xfId="32629"/>
    <cellStyle name="Header2 3 2 8 3 3 5 2 2" xfId="42628"/>
    <cellStyle name="Header2 3 2 8 3 3 5 3" xfId="37477"/>
    <cellStyle name="Header2 3 2 8 3 3 6" xfId="28091"/>
    <cellStyle name="Header2 3 2 8 3 3 6 2" xfId="38090"/>
    <cellStyle name="Header2 3 2 8 3 3 7" xfId="22261"/>
    <cellStyle name="Header2 3 2 8 3 4" xfId="15983"/>
    <cellStyle name="Header2 3 2 8 3 4 2" xfId="27800"/>
    <cellStyle name="Header2 3 2 8 3 4 2 2" xfId="37799"/>
    <cellStyle name="Header2 3 2 8 3 4 3" xfId="23861"/>
    <cellStyle name="Header2 3 2 8 3 4 4" xfId="32951"/>
    <cellStyle name="Header2 3 2 8 3 5" xfId="16576"/>
    <cellStyle name="Header2 3 2 8 3 5 2" xfId="28393"/>
    <cellStyle name="Header2 3 2 8 3 5 2 2" xfId="38392"/>
    <cellStyle name="Header2 3 2 8 3 5 3" xfId="24151"/>
    <cellStyle name="Header2 3 2 8 3 5 4" xfId="33241"/>
    <cellStyle name="Header2 3 2 8 3 6" xfId="16873"/>
    <cellStyle name="Header2 3 2 8 3 6 2" xfId="28690"/>
    <cellStyle name="Header2 3 2 8 3 6 2 2" xfId="38689"/>
    <cellStyle name="Header2 3 2 8 3 6 3" xfId="24448"/>
    <cellStyle name="Header2 3 2 8 3 6 4" xfId="33538"/>
    <cellStyle name="Header2 3 2 8 3 7" xfId="17208"/>
    <cellStyle name="Header2 3 2 8 3 7 2" xfId="29025"/>
    <cellStyle name="Header2 3 2 8 3 7 2 2" xfId="39024"/>
    <cellStyle name="Header2 3 2 8 3 7 3" xfId="24783"/>
    <cellStyle name="Header2 3 2 8 3 7 4" xfId="33873"/>
    <cellStyle name="Header2 3 2 8 3 8" xfId="17511"/>
    <cellStyle name="Header2 3 2 8 3 8 2" xfId="29328"/>
    <cellStyle name="Header2 3 2 8 3 8 2 2" xfId="39327"/>
    <cellStyle name="Header2 3 2 8 3 8 3" xfId="25086"/>
    <cellStyle name="Header2 3 2 8 3 8 4" xfId="34176"/>
    <cellStyle name="Header2 3 2 8 3 9" xfId="18424"/>
    <cellStyle name="Header2 3 2 8 3 9 2" xfId="30241"/>
    <cellStyle name="Header2 3 2 8 3 9 2 2" xfId="40240"/>
    <cellStyle name="Header2 3 2 8 3 9 3" xfId="25899"/>
    <cellStyle name="Header2 3 2 8 3 9 4" xfId="35089"/>
    <cellStyle name="Header2 3 2 8 4" xfId="7887"/>
    <cellStyle name="Header2 3 2 8 4 10" xfId="18720"/>
    <cellStyle name="Header2 3 2 8 4 10 2" xfId="30537"/>
    <cellStyle name="Header2 3 2 8 4 10 2 2" xfId="40536"/>
    <cellStyle name="Header2 3 2 8 4 10 3" xfId="26195"/>
    <cellStyle name="Header2 3 2 8 4 10 4" xfId="35385"/>
    <cellStyle name="Header2 3 2 8 4 11" xfId="20200"/>
    <cellStyle name="Header2 3 2 8 4 11 2" xfId="32017"/>
    <cellStyle name="Header2 3 2 8 4 11 2 2" xfId="42016"/>
    <cellStyle name="Header2 3 2 8 4 11 3" xfId="36865"/>
    <cellStyle name="Header2 3 2 8 4 12" xfId="23215"/>
    <cellStyle name="Header2 3 2 8 4 12 2" xfId="21221"/>
    <cellStyle name="Header2 3 2 8 4 13" xfId="22609"/>
    <cellStyle name="Header2 3 2 8 4 2" xfId="15694"/>
    <cellStyle name="Header2 3 2 8 4 2 2" xfId="19099"/>
    <cellStyle name="Header2 3 2 8 4 2 2 2" xfId="30916"/>
    <cellStyle name="Header2 3 2 8 4 2 2 2 2" xfId="40915"/>
    <cellStyle name="Header2 3 2 8 4 2 2 3" xfId="26574"/>
    <cellStyle name="Header2 3 2 8 4 2 2 4" xfId="35764"/>
    <cellStyle name="Header2 3 2 8 4 2 3" xfId="19705"/>
    <cellStyle name="Header2 3 2 8 4 2 3 2" xfId="31522"/>
    <cellStyle name="Header2 3 2 8 4 2 3 2 2" xfId="41521"/>
    <cellStyle name="Header2 3 2 8 4 2 3 3" xfId="27180"/>
    <cellStyle name="Header2 3 2 8 4 2 3 4" xfId="36370"/>
    <cellStyle name="Header2 3 2 8 4 2 4" xfId="18158"/>
    <cellStyle name="Header2 3 2 8 4 2 4 2" xfId="29975"/>
    <cellStyle name="Header2 3 2 8 4 2 4 2 2" xfId="39974"/>
    <cellStyle name="Header2 3 2 8 4 2 4 3" xfId="25733"/>
    <cellStyle name="Header2 3 2 8 4 2 4 4" xfId="34823"/>
    <cellStyle name="Header2 3 2 8 4 2 5" xfId="20514"/>
    <cellStyle name="Header2 3 2 8 4 2 5 2" xfId="32331"/>
    <cellStyle name="Header2 3 2 8 4 2 5 2 2" xfId="42330"/>
    <cellStyle name="Header2 3 2 8 4 2 5 3" xfId="37179"/>
    <cellStyle name="Header2 3 2 8 4 2 6" xfId="23572"/>
    <cellStyle name="Header2 3 2 8 4 2 6 2" xfId="21832"/>
    <cellStyle name="Header2 3 2 8 4 2 7" xfId="22996"/>
    <cellStyle name="Header2 3 2 8 4 2 7 2" xfId="22107"/>
    <cellStyle name="Header2 3 2 8 4 2 8" xfId="22438"/>
    <cellStyle name="Header2 3 2 8 4 3" xfId="16275"/>
    <cellStyle name="Header2 3 2 8 4 3 2" xfId="19396"/>
    <cellStyle name="Header2 3 2 8 4 3 2 2" xfId="31213"/>
    <cellStyle name="Header2 3 2 8 4 3 2 2 2" xfId="41212"/>
    <cellStyle name="Header2 3 2 8 4 3 2 3" xfId="26871"/>
    <cellStyle name="Header2 3 2 8 4 3 2 4" xfId="36061"/>
    <cellStyle name="Header2 3 2 8 4 3 3" xfId="20002"/>
    <cellStyle name="Header2 3 2 8 4 3 3 2" xfId="31819"/>
    <cellStyle name="Header2 3 2 8 4 3 3 2 2" xfId="41818"/>
    <cellStyle name="Header2 3 2 8 4 3 3 3" xfId="27477"/>
    <cellStyle name="Header2 3 2 8 4 3 3 4" xfId="36667"/>
    <cellStyle name="Header2 3 2 8 4 3 4" xfId="18085"/>
    <cellStyle name="Header2 3 2 8 4 3 4 2" xfId="29902"/>
    <cellStyle name="Header2 3 2 8 4 3 4 2 2" xfId="39901"/>
    <cellStyle name="Header2 3 2 8 4 3 4 3" xfId="25660"/>
    <cellStyle name="Header2 3 2 8 4 3 4 4" xfId="34750"/>
    <cellStyle name="Header2 3 2 8 4 3 5" xfId="20811"/>
    <cellStyle name="Header2 3 2 8 4 3 5 2" xfId="32628"/>
    <cellStyle name="Header2 3 2 8 4 3 5 2 2" xfId="42627"/>
    <cellStyle name="Header2 3 2 8 4 3 5 3" xfId="37476"/>
    <cellStyle name="Header2 3 2 8 4 3 6" xfId="28092"/>
    <cellStyle name="Header2 3 2 8 4 3 6 2" xfId="38091"/>
    <cellStyle name="Header2 3 2 8 4 3 7" xfId="21530"/>
    <cellStyle name="Header2 3 2 8 4 4" xfId="15855"/>
    <cellStyle name="Header2 3 2 8 4 4 2" xfId="27672"/>
    <cellStyle name="Header2 3 2 8 4 4 2 2" xfId="37671"/>
    <cellStyle name="Header2 3 2 8 4 4 3" xfId="23733"/>
    <cellStyle name="Header2 3 2 8 4 4 4" xfId="32823"/>
    <cellStyle name="Header2 3 2 8 4 5" xfId="16575"/>
    <cellStyle name="Header2 3 2 8 4 5 2" xfId="28392"/>
    <cellStyle name="Header2 3 2 8 4 5 2 2" xfId="38391"/>
    <cellStyle name="Header2 3 2 8 4 5 3" xfId="24150"/>
    <cellStyle name="Header2 3 2 8 4 5 4" xfId="33240"/>
    <cellStyle name="Header2 3 2 8 4 6" xfId="16872"/>
    <cellStyle name="Header2 3 2 8 4 6 2" xfId="28689"/>
    <cellStyle name="Header2 3 2 8 4 6 2 2" xfId="38688"/>
    <cellStyle name="Header2 3 2 8 4 6 3" xfId="24447"/>
    <cellStyle name="Header2 3 2 8 4 6 4" xfId="33537"/>
    <cellStyle name="Header2 3 2 8 4 7" xfId="17209"/>
    <cellStyle name="Header2 3 2 8 4 7 2" xfId="29026"/>
    <cellStyle name="Header2 3 2 8 4 7 2 2" xfId="39025"/>
    <cellStyle name="Header2 3 2 8 4 7 3" xfId="24784"/>
    <cellStyle name="Header2 3 2 8 4 7 4" xfId="33874"/>
    <cellStyle name="Header2 3 2 8 4 8" xfId="17512"/>
    <cellStyle name="Header2 3 2 8 4 8 2" xfId="29329"/>
    <cellStyle name="Header2 3 2 8 4 8 2 2" xfId="39328"/>
    <cellStyle name="Header2 3 2 8 4 8 3" xfId="25087"/>
    <cellStyle name="Header2 3 2 8 4 8 4" xfId="34177"/>
    <cellStyle name="Header2 3 2 8 4 9" xfId="18423"/>
    <cellStyle name="Header2 3 2 8 4 9 2" xfId="30240"/>
    <cellStyle name="Header2 3 2 8 4 9 2 2" xfId="40239"/>
    <cellStyle name="Header2 3 2 8 4 9 3" xfId="25898"/>
    <cellStyle name="Header2 3 2 8 4 9 4" xfId="35088"/>
    <cellStyle name="Header2 3 2 8 5" xfId="15691"/>
    <cellStyle name="Header2 3 2 8 5 2" xfId="19102"/>
    <cellStyle name="Header2 3 2 8 5 2 2" xfId="30919"/>
    <cellStyle name="Header2 3 2 8 5 2 2 2" xfId="40918"/>
    <cellStyle name="Header2 3 2 8 5 2 3" xfId="26577"/>
    <cellStyle name="Header2 3 2 8 5 2 4" xfId="35767"/>
    <cellStyle name="Header2 3 2 8 5 3" xfId="19708"/>
    <cellStyle name="Header2 3 2 8 5 3 2" xfId="31525"/>
    <cellStyle name="Header2 3 2 8 5 3 2 2" xfId="41524"/>
    <cellStyle name="Header2 3 2 8 5 3 3" xfId="27183"/>
    <cellStyle name="Header2 3 2 8 5 3 4" xfId="36373"/>
    <cellStyle name="Header2 3 2 8 5 4" xfId="17704"/>
    <cellStyle name="Header2 3 2 8 5 4 2" xfId="29521"/>
    <cellStyle name="Header2 3 2 8 5 4 2 2" xfId="39520"/>
    <cellStyle name="Header2 3 2 8 5 4 3" xfId="25279"/>
    <cellStyle name="Header2 3 2 8 5 4 4" xfId="34369"/>
    <cellStyle name="Header2 3 2 8 5 5" xfId="20517"/>
    <cellStyle name="Header2 3 2 8 5 5 2" xfId="32334"/>
    <cellStyle name="Header2 3 2 8 5 5 2 2" xfId="42333"/>
    <cellStyle name="Header2 3 2 8 5 5 3" xfId="37182"/>
    <cellStyle name="Header2 3 2 8 5 6" xfId="23569"/>
    <cellStyle name="Header2 3 2 8 5 6 2" xfId="21019"/>
    <cellStyle name="Header2 3 2 8 5 7" xfId="22837"/>
    <cellStyle name="Header2 3 2 8 5 7 2" xfId="21394"/>
    <cellStyle name="Header2 3 2 8 5 8" xfId="21647"/>
    <cellStyle name="Header2 3 2 8 6" xfId="16272"/>
    <cellStyle name="Header2 3 2 8 6 2" xfId="19399"/>
    <cellStyle name="Header2 3 2 8 6 2 2" xfId="31216"/>
    <cellStyle name="Header2 3 2 8 6 2 2 2" xfId="41215"/>
    <cellStyle name="Header2 3 2 8 6 2 3" xfId="26874"/>
    <cellStyle name="Header2 3 2 8 6 2 4" xfId="36064"/>
    <cellStyle name="Header2 3 2 8 6 3" xfId="20005"/>
    <cellStyle name="Header2 3 2 8 6 3 2" xfId="31822"/>
    <cellStyle name="Header2 3 2 8 6 3 2 2" xfId="41821"/>
    <cellStyle name="Header2 3 2 8 6 3 3" xfId="27480"/>
    <cellStyle name="Header2 3 2 8 6 3 4" xfId="36670"/>
    <cellStyle name="Header2 3 2 8 6 4" xfId="17778"/>
    <cellStyle name="Header2 3 2 8 6 4 2" xfId="29595"/>
    <cellStyle name="Header2 3 2 8 6 4 2 2" xfId="39594"/>
    <cellStyle name="Header2 3 2 8 6 4 3" xfId="25353"/>
    <cellStyle name="Header2 3 2 8 6 4 4" xfId="34443"/>
    <cellStyle name="Header2 3 2 8 6 5" xfId="20814"/>
    <cellStyle name="Header2 3 2 8 6 5 2" xfId="32631"/>
    <cellStyle name="Header2 3 2 8 6 5 2 2" xfId="42630"/>
    <cellStyle name="Header2 3 2 8 6 5 3" xfId="37479"/>
    <cellStyle name="Header2 3 2 8 6 6" xfId="28089"/>
    <cellStyle name="Header2 3 2 8 6 6 2" xfId="38088"/>
    <cellStyle name="Header2 3 2 8 6 7" xfId="21528"/>
    <cellStyle name="Header2 3 2 8 7" xfId="15981"/>
    <cellStyle name="Header2 3 2 8 7 2" xfId="27798"/>
    <cellStyle name="Header2 3 2 8 7 2 2" xfId="37797"/>
    <cellStyle name="Header2 3 2 8 7 3" xfId="23859"/>
    <cellStyle name="Header2 3 2 8 7 4" xfId="32949"/>
    <cellStyle name="Header2 3 2 8 8" xfId="16578"/>
    <cellStyle name="Header2 3 2 8 8 2" xfId="28395"/>
    <cellStyle name="Header2 3 2 8 8 2 2" xfId="38394"/>
    <cellStyle name="Header2 3 2 8 8 3" xfId="24153"/>
    <cellStyle name="Header2 3 2 8 8 4" xfId="33243"/>
    <cellStyle name="Header2 3 2 8 9" xfId="16875"/>
    <cellStyle name="Header2 3 2 8 9 2" xfId="28692"/>
    <cellStyle name="Header2 3 2 8 9 2 2" xfId="38691"/>
    <cellStyle name="Header2 3 2 8 9 3" xfId="24450"/>
    <cellStyle name="Header2 3 2 8 9 4" xfId="33540"/>
    <cellStyle name="Header2 3 2 9" xfId="7888"/>
    <cellStyle name="Header2 3 2 9 10" xfId="17210"/>
    <cellStyle name="Header2 3 2 9 10 2" xfId="29027"/>
    <cellStyle name="Header2 3 2 9 10 2 2" xfId="39026"/>
    <cellStyle name="Header2 3 2 9 10 3" xfId="24785"/>
    <cellStyle name="Header2 3 2 9 10 4" xfId="33875"/>
    <cellStyle name="Header2 3 2 9 11" xfId="17513"/>
    <cellStyle name="Header2 3 2 9 11 2" xfId="29330"/>
    <cellStyle name="Header2 3 2 9 11 2 2" xfId="39329"/>
    <cellStyle name="Header2 3 2 9 11 3" xfId="25088"/>
    <cellStyle name="Header2 3 2 9 11 4" xfId="34178"/>
    <cellStyle name="Header2 3 2 9 12" xfId="18422"/>
    <cellStyle name="Header2 3 2 9 12 2" xfId="30239"/>
    <cellStyle name="Header2 3 2 9 12 2 2" xfId="40238"/>
    <cellStyle name="Header2 3 2 9 12 3" xfId="25897"/>
    <cellStyle name="Header2 3 2 9 12 4" xfId="35087"/>
    <cellStyle name="Header2 3 2 9 13" xfId="18719"/>
    <cellStyle name="Header2 3 2 9 13 2" xfId="30536"/>
    <cellStyle name="Header2 3 2 9 13 2 2" xfId="40535"/>
    <cellStyle name="Header2 3 2 9 13 3" xfId="26194"/>
    <cellStyle name="Header2 3 2 9 13 4" xfId="35384"/>
    <cellStyle name="Header2 3 2 9 14" xfId="20300"/>
    <cellStyle name="Header2 3 2 9 14 2" xfId="32117"/>
    <cellStyle name="Header2 3 2 9 14 2 2" xfId="42116"/>
    <cellStyle name="Header2 3 2 9 14 3" xfId="36965"/>
    <cellStyle name="Header2 3 2 9 15" xfId="23214"/>
    <cellStyle name="Header2 3 2 9 15 2" xfId="21986"/>
    <cellStyle name="Header2 3 2 9 16" xfId="22608"/>
    <cellStyle name="Header2 3 2 9 2" xfId="7889"/>
    <cellStyle name="Header2 3 2 9 2 10" xfId="18718"/>
    <cellStyle name="Header2 3 2 9 2 10 2" xfId="30535"/>
    <cellStyle name="Header2 3 2 9 2 10 2 2" xfId="40534"/>
    <cellStyle name="Header2 3 2 9 2 10 3" xfId="26193"/>
    <cellStyle name="Header2 3 2 9 2 10 4" xfId="35383"/>
    <cellStyle name="Header2 3 2 9 2 11" xfId="20203"/>
    <cellStyle name="Header2 3 2 9 2 11 2" xfId="32020"/>
    <cellStyle name="Header2 3 2 9 2 11 2 2" xfId="42019"/>
    <cellStyle name="Header2 3 2 9 2 11 3" xfId="36868"/>
    <cellStyle name="Header2 3 2 9 2 12" xfId="23213"/>
    <cellStyle name="Header2 3 2 9 2 12 2" xfId="21222"/>
    <cellStyle name="Header2 3 2 9 2 13" xfId="22607"/>
    <cellStyle name="Header2 3 2 9 2 2" xfId="15696"/>
    <cellStyle name="Header2 3 2 9 2 2 2" xfId="19097"/>
    <cellStyle name="Header2 3 2 9 2 2 2 2" xfId="30914"/>
    <cellStyle name="Header2 3 2 9 2 2 2 2 2" xfId="40913"/>
    <cellStyle name="Header2 3 2 9 2 2 2 3" xfId="26572"/>
    <cellStyle name="Header2 3 2 9 2 2 2 4" xfId="35762"/>
    <cellStyle name="Header2 3 2 9 2 2 3" xfId="19703"/>
    <cellStyle name="Header2 3 2 9 2 2 3 2" xfId="31520"/>
    <cellStyle name="Header2 3 2 9 2 2 3 2 2" xfId="41519"/>
    <cellStyle name="Header2 3 2 9 2 2 3 3" xfId="27178"/>
    <cellStyle name="Header2 3 2 9 2 2 3 4" xfId="36368"/>
    <cellStyle name="Header2 3 2 9 2 2 4" xfId="18921"/>
    <cellStyle name="Header2 3 2 9 2 2 4 2" xfId="30738"/>
    <cellStyle name="Header2 3 2 9 2 2 4 2 2" xfId="40737"/>
    <cellStyle name="Header2 3 2 9 2 2 4 3" xfId="26396"/>
    <cellStyle name="Header2 3 2 9 2 2 4 4" xfId="35586"/>
    <cellStyle name="Header2 3 2 9 2 2 5" xfId="20512"/>
    <cellStyle name="Header2 3 2 9 2 2 5 2" xfId="32329"/>
    <cellStyle name="Header2 3 2 9 2 2 5 2 2" xfId="42328"/>
    <cellStyle name="Header2 3 2 9 2 2 5 3" xfId="37177"/>
    <cellStyle name="Header2 3 2 9 2 2 6" xfId="23574"/>
    <cellStyle name="Header2 3 2 9 2 2 6 2" xfId="21016"/>
    <cellStyle name="Header2 3 2 9 2 2 7" xfId="22834"/>
    <cellStyle name="Header2 3 2 9 2 2 7 2" xfId="22190"/>
    <cellStyle name="Header2 3 2 9 2 2 8" xfId="21651"/>
    <cellStyle name="Header2 3 2 9 2 3" xfId="16277"/>
    <cellStyle name="Header2 3 2 9 2 3 2" xfId="19394"/>
    <cellStyle name="Header2 3 2 9 2 3 2 2" xfId="31211"/>
    <cellStyle name="Header2 3 2 9 2 3 2 2 2" xfId="41210"/>
    <cellStyle name="Header2 3 2 9 2 3 2 3" xfId="26869"/>
    <cellStyle name="Header2 3 2 9 2 3 2 4" xfId="36059"/>
    <cellStyle name="Header2 3 2 9 2 3 3" xfId="20000"/>
    <cellStyle name="Header2 3 2 9 2 3 3 2" xfId="31817"/>
    <cellStyle name="Header2 3 2 9 2 3 3 2 2" xfId="41816"/>
    <cellStyle name="Header2 3 2 9 2 3 3 3" xfId="27475"/>
    <cellStyle name="Header2 3 2 9 2 3 3 4" xfId="36665"/>
    <cellStyle name="Header2 3 2 9 2 3 4" xfId="18087"/>
    <cellStyle name="Header2 3 2 9 2 3 4 2" xfId="29904"/>
    <cellStyle name="Header2 3 2 9 2 3 4 2 2" xfId="39903"/>
    <cellStyle name="Header2 3 2 9 2 3 4 3" xfId="25662"/>
    <cellStyle name="Header2 3 2 9 2 3 4 4" xfId="34752"/>
    <cellStyle name="Header2 3 2 9 2 3 5" xfId="20809"/>
    <cellStyle name="Header2 3 2 9 2 3 5 2" xfId="32626"/>
    <cellStyle name="Header2 3 2 9 2 3 5 2 2" xfId="42625"/>
    <cellStyle name="Header2 3 2 9 2 3 5 3" xfId="37474"/>
    <cellStyle name="Header2 3 2 9 2 3 6" xfId="28094"/>
    <cellStyle name="Header2 3 2 9 2 3 6 2" xfId="38093"/>
    <cellStyle name="Header2 3 2 9 2 3 7" xfId="21532"/>
    <cellStyle name="Header2 3 2 9 2 4" xfId="15985"/>
    <cellStyle name="Header2 3 2 9 2 4 2" xfId="27802"/>
    <cellStyle name="Header2 3 2 9 2 4 2 2" xfId="37801"/>
    <cellStyle name="Header2 3 2 9 2 4 3" xfId="23863"/>
    <cellStyle name="Header2 3 2 9 2 4 4" xfId="32953"/>
    <cellStyle name="Header2 3 2 9 2 5" xfId="16573"/>
    <cellStyle name="Header2 3 2 9 2 5 2" xfId="28390"/>
    <cellStyle name="Header2 3 2 9 2 5 2 2" xfId="38389"/>
    <cellStyle name="Header2 3 2 9 2 5 3" xfId="24148"/>
    <cellStyle name="Header2 3 2 9 2 5 4" xfId="33238"/>
    <cellStyle name="Header2 3 2 9 2 6" xfId="16870"/>
    <cellStyle name="Header2 3 2 9 2 6 2" xfId="28687"/>
    <cellStyle name="Header2 3 2 9 2 6 2 2" xfId="38686"/>
    <cellStyle name="Header2 3 2 9 2 6 3" xfId="24445"/>
    <cellStyle name="Header2 3 2 9 2 6 4" xfId="33535"/>
    <cellStyle name="Header2 3 2 9 2 7" xfId="17211"/>
    <cellStyle name="Header2 3 2 9 2 7 2" xfId="29028"/>
    <cellStyle name="Header2 3 2 9 2 7 2 2" xfId="39027"/>
    <cellStyle name="Header2 3 2 9 2 7 3" xfId="24786"/>
    <cellStyle name="Header2 3 2 9 2 7 4" xfId="33876"/>
    <cellStyle name="Header2 3 2 9 2 8" xfId="17514"/>
    <cellStyle name="Header2 3 2 9 2 8 2" xfId="29331"/>
    <cellStyle name="Header2 3 2 9 2 8 2 2" xfId="39330"/>
    <cellStyle name="Header2 3 2 9 2 8 3" xfId="25089"/>
    <cellStyle name="Header2 3 2 9 2 8 4" xfId="34179"/>
    <cellStyle name="Header2 3 2 9 2 9" xfId="18421"/>
    <cellStyle name="Header2 3 2 9 2 9 2" xfId="30238"/>
    <cellStyle name="Header2 3 2 9 2 9 2 2" xfId="40237"/>
    <cellStyle name="Header2 3 2 9 2 9 3" xfId="25896"/>
    <cellStyle name="Header2 3 2 9 2 9 4" xfId="35086"/>
    <cellStyle name="Header2 3 2 9 3" xfId="7890"/>
    <cellStyle name="Header2 3 2 9 3 10" xfId="18717"/>
    <cellStyle name="Header2 3 2 9 3 10 2" xfId="30534"/>
    <cellStyle name="Header2 3 2 9 3 10 2 2" xfId="40533"/>
    <cellStyle name="Header2 3 2 9 3 10 3" xfId="26192"/>
    <cellStyle name="Header2 3 2 9 3 10 4" xfId="35382"/>
    <cellStyle name="Header2 3 2 9 3 11" xfId="20303"/>
    <cellStyle name="Header2 3 2 9 3 11 2" xfId="32120"/>
    <cellStyle name="Header2 3 2 9 3 11 2 2" xfId="42119"/>
    <cellStyle name="Header2 3 2 9 3 11 3" xfId="36968"/>
    <cellStyle name="Header2 3 2 9 3 12" xfId="23212"/>
    <cellStyle name="Header2 3 2 9 3 12 2" xfId="21223"/>
    <cellStyle name="Header2 3 2 9 3 13" xfId="22606"/>
    <cellStyle name="Header2 3 2 9 3 2" xfId="15697"/>
    <cellStyle name="Header2 3 2 9 3 2 2" xfId="19096"/>
    <cellStyle name="Header2 3 2 9 3 2 2 2" xfId="30913"/>
    <cellStyle name="Header2 3 2 9 3 2 2 2 2" xfId="40912"/>
    <cellStyle name="Header2 3 2 9 3 2 2 3" xfId="26571"/>
    <cellStyle name="Header2 3 2 9 3 2 2 4" xfId="35761"/>
    <cellStyle name="Header2 3 2 9 3 2 3" xfId="19702"/>
    <cellStyle name="Header2 3 2 9 3 2 3 2" xfId="31519"/>
    <cellStyle name="Header2 3 2 9 3 2 3 2 2" xfId="41518"/>
    <cellStyle name="Header2 3 2 9 3 2 3 3" xfId="27177"/>
    <cellStyle name="Header2 3 2 9 3 2 3 4" xfId="36367"/>
    <cellStyle name="Header2 3 2 9 3 2 4" xfId="17986"/>
    <cellStyle name="Header2 3 2 9 3 2 4 2" xfId="29803"/>
    <cellStyle name="Header2 3 2 9 3 2 4 2 2" xfId="39802"/>
    <cellStyle name="Header2 3 2 9 3 2 4 3" xfId="25561"/>
    <cellStyle name="Header2 3 2 9 3 2 4 4" xfId="34651"/>
    <cellStyle name="Header2 3 2 9 3 2 5" xfId="20511"/>
    <cellStyle name="Header2 3 2 9 3 2 5 2" xfId="32328"/>
    <cellStyle name="Header2 3 2 9 3 2 5 2 2" xfId="42327"/>
    <cellStyle name="Header2 3 2 9 3 2 5 3" xfId="37176"/>
    <cellStyle name="Header2 3 2 9 3 2 6" xfId="23575"/>
    <cellStyle name="Header2 3 2 9 3 2 6 2" xfId="21831"/>
    <cellStyle name="Header2 3 2 9 3 2 7" xfId="22995"/>
    <cellStyle name="Header2 3 2 9 3 2 7 2" xfId="22108"/>
    <cellStyle name="Header2 3 2 9 3 2 8" xfId="21652"/>
    <cellStyle name="Header2 3 2 9 3 3" xfId="16278"/>
    <cellStyle name="Header2 3 2 9 3 3 2" xfId="19393"/>
    <cellStyle name="Header2 3 2 9 3 3 2 2" xfId="31210"/>
    <cellStyle name="Header2 3 2 9 3 3 2 2 2" xfId="41209"/>
    <cellStyle name="Header2 3 2 9 3 3 2 3" xfId="26868"/>
    <cellStyle name="Header2 3 2 9 3 3 2 4" xfId="36058"/>
    <cellStyle name="Header2 3 2 9 3 3 3" xfId="19999"/>
    <cellStyle name="Header2 3 2 9 3 3 3 2" xfId="31816"/>
    <cellStyle name="Header2 3 2 9 3 3 3 2 2" xfId="41815"/>
    <cellStyle name="Header2 3 2 9 3 3 3 3" xfId="27474"/>
    <cellStyle name="Header2 3 2 9 3 3 3 4" xfId="36664"/>
    <cellStyle name="Header2 3 2 9 3 3 4" xfId="17849"/>
    <cellStyle name="Header2 3 2 9 3 3 4 2" xfId="29666"/>
    <cellStyle name="Header2 3 2 9 3 3 4 2 2" xfId="39665"/>
    <cellStyle name="Header2 3 2 9 3 3 4 3" xfId="25424"/>
    <cellStyle name="Header2 3 2 9 3 3 4 4" xfId="34514"/>
    <cellStyle name="Header2 3 2 9 3 3 5" xfId="20808"/>
    <cellStyle name="Header2 3 2 9 3 3 5 2" xfId="32625"/>
    <cellStyle name="Header2 3 2 9 3 3 5 2 2" xfId="42624"/>
    <cellStyle name="Header2 3 2 9 3 3 5 3" xfId="37473"/>
    <cellStyle name="Header2 3 2 9 3 3 6" xfId="28095"/>
    <cellStyle name="Header2 3 2 9 3 3 6 2" xfId="38094"/>
    <cellStyle name="Header2 3 2 9 3 3 7" xfId="21533"/>
    <cellStyle name="Header2 3 2 9 3 4" xfId="15986"/>
    <cellStyle name="Header2 3 2 9 3 4 2" xfId="27803"/>
    <cellStyle name="Header2 3 2 9 3 4 2 2" xfId="37802"/>
    <cellStyle name="Header2 3 2 9 3 4 3" xfId="23864"/>
    <cellStyle name="Header2 3 2 9 3 4 4" xfId="32954"/>
    <cellStyle name="Header2 3 2 9 3 5" xfId="16572"/>
    <cellStyle name="Header2 3 2 9 3 5 2" xfId="28389"/>
    <cellStyle name="Header2 3 2 9 3 5 2 2" xfId="38388"/>
    <cellStyle name="Header2 3 2 9 3 5 3" xfId="24147"/>
    <cellStyle name="Header2 3 2 9 3 5 4" xfId="33237"/>
    <cellStyle name="Header2 3 2 9 3 6" xfId="16869"/>
    <cellStyle name="Header2 3 2 9 3 6 2" xfId="28686"/>
    <cellStyle name="Header2 3 2 9 3 6 2 2" xfId="38685"/>
    <cellStyle name="Header2 3 2 9 3 6 3" xfId="24444"/>
    <cellStyle name="Header2 3 2 9 3 6 4" xfId="33534"/>
    <cellStyle name="Header2 3 2 9 3 7" xfId="17212"/>
    <cellStyle name="Header2 3 2 9 3 7 2" xfId="29029"/>
    <cellStyle name="Header2 3 2 9 3 7 2 2" xfId="39028"/>
    <cellStyle name="Header2 3 2 9 3 7 3" xfId="24787"/>
    <cellStyle name="Header2 3 2 9 3 7 4" xfId="33877"/>
    <cellStyle name="Header2 3 2 9 3 8" xfId="17515"/>
    <cellStyle name="Header2 3 2 9 3 8 2" xfId="29332"/>
    <cellStyle name="Header2 3 2 9 3 8 2 2" xfId="39331"/>
    <cellStyle name="Header2 3 2 9 3 8 3" xfId="25090"/>
    <cellStyle name="Header2 3 2 9 3 8 4" xfId="34180"/>
    <cellStyle name="Header2 3 2 9 3 9" xfId="18420"/>
    <cellStyle name="Header2 3 2 9 3 9 2" xfId="30237"/>
    <cellStyle name="Header2 3 2 9 3 9 2 2" xfId="40236"/>
    <cellStyle name="Header2 3 2 9 3 9 3" xfId="25895"/>
    <cellStyle name="Header2 3 2 9 3 9 4" xfId="35085"/>
    <cellStyle name="Header2 3 2 9 4" xfId="7891"/>
    <cellStyle name="Header2 3 2 9 4 10" xfId="18716"/>
    <cellStyle name="Header2 3 2 9 4 10 2" xfId="30533"/>
    <cellStyle name="Header2 3 2 9 4 10 2 2" xfId="40532"/>
    <cellStyle name="Header2 3 2 9 4 10 3" xfId="26191"/>
    <cellStyle name="Header2 3 2 9 4 10 4" xfId="35381"/>
    <cellStyle name="Header2 3 2 9 4 11" xfId="18260"/>
    <cellStyle name="Header2 3 2 9 4 11 2" xfId="30077"/>
    <cellStyle name="Header2 3 2 9 4 11 2 2" xfId="40076"/>
    <cellStyle name="Header2 3 2 9 4 11 3" xfId="34925"/>
    <cellStyle name="Header2 3 2 9 4 12" xfId="23211"/>
    <cellStyle name="Header2 3 2 9 4 12 2" xfId="21224"/>
    <cellStyle name="Header2 3 2 9 4 13" xfId="22605"/>
    <cellStyle name="Header2 3 2 9 4 2" xfId="15698"/>
    <cellStyle name="Header2 3 2 9 4 2 2" xfId="19095"/>
    <cellStyle name="Header2 3 2 9 4 2 2 2" xfId="30912"/>
    <cellStyle name="Header2 3 2 9 4 2 2 2 2" xfId="40911"/>
    <cellStyle name="Header2 3 2 9 4 2 2 3" xfId="26570"/>
    <cellStyle name="Header2 3 2 9 4 2 2 4" xfId="35760"/>
    <cellStyle name="Header2 3 2 9 4 2 3" xfId="19701"/>
    <cellStyle name="Header2 3 2 9 4 2 3 2" xfId="31518"/>
    <cellStyle name="Header2 3 2 9 4 2 3 2 2" xfId="41517"/>
    <cellStyle name="Header2 3 2 9 4 2 3 3" xfId="27176"/>
    <cellStyle name="Header2 3 2 9 4 2 3 4" xfId="36366"/>
    <cellStyle name="Header2 3 2 9 4 2 4" xfId="17705"/>
    <cellStyle name="Header2 3 2 9 4 2 4 2" xfId="29522"/>
    <cellStyle name="Header2 3 2 9 4 2 4 2 2" xfId="39521"/>
    <cellStyle name="Header2 3 2 9 4 2 4 3" xfId="25280"/>
    <cellStyle name="Header2 3 2 9 4 2 4 4" xfId="34370"/>
    <cellStyle name="Header2 3 2 9 4 2 5" xfId="20510"/>
    <cellStyle name="Header2 3 2 9 4 2 5 2" xfId="32327"/>
    <cellStyle name="Header2 3 2 9 4 2 5 2 2" xfId="42326"/>
    <cellStyle name="Header2 3 2 9 4 2 5 3" xfId="37175"/>
    <cellStyle name="Header2 3 2 9 4 2 6" xfId="23576"/>
    <cellStyle name="Header2 3 2 9 4 2 6 2" xfId="21830"/>
    <cellStyle name="Header2 3 2 9 4 2 7" xfId="22994"/>
    <cellStyle name="Header2 3 2 9 4 2 7 2" xfId="21318"/>
    <cellStyle name="Header2 3 2 9 4 2 8" xfId="22439"/>
    <cellStyle name="Header2 3 2 9 4 3" xfId="16279"/>
    <cellStyle name="Header2 3 2 9 4 3 2" xfId="19392"/>
    <cellStyle name="Header2 3 2 9 4 3 2 2" xfId="31209"/>
    <cellStyle name="Header2 3 2 9 4 3 2 2 2" xfId="41208"/>
    <cellStyle name="Header2 3 2 9 4 3 2 3" xfId="26867"/>
    <cellStyle name="Header2 3 2 9 4 3 2 4" xfId="36057"/>
    <cellStyle name="Header2 3 2 9 4 3 3" xfId="19998"/>
    <cellStyle name="Header2 3 2 9 4 3 3 2" xfId="31815"/>
    <cellStyle name="Header2 3 2 9 4 3 3 2 2" xfId="41814"/>
    <cellStyle name="Header2 3 2 9 4 3 3 3" xfId="27473"/>
    <cellStyle name="Header2 3 2 9 4 3 3 4" xfId="36663"/>
    <cellStyle name="Header2 3 2 9 4 3 4" xfId="18862"/>
    <cellStyle name="Header2 3 2 9 4 3 4 2" xfId="30679"/>
    <cellStyle name="Header2 3 2 9 4 3 4 2 2" xfId="40678"/>
    <cellStyle name="Header2 3 2 9 4 3 4 3" xfId="26337"/>
    <cellStyle name="Header2 3 2 9 4 3 4 4" xfId="35527"/>
    <cellStyle name="Header2 3 2 9 4 3 5" xfId="20807"/>
    <cellStyle name="Header2 3 2 9 4 3 5 2" xfId="32624"/>
    <cellStyle name="Header2 3 2 9 4 3 5 2 2" xfId="42623"/>
    <cellStyle name="Header2 3 2 9 4 3 5 3" xfId="37472"/>
    <cellStyle name="Header2 3 2 9 4 3 6" xfId="28096"/>
    <cellStyle name="Header2 3 2 9 4 3 6 2" xfId="38095"/>
    <cellStyle name="Header2 3 2 9 4 3 7" xfId="21534"/>
    <cellStyle name="Header2 3 2 9 4 4" xfId="15987"/>
    <cellStyle name="Header2 3 2 9 4 4 2" xfId="27804"/>
    <cellStyle name="Header2 3 2 9 4 4 2 2" xfId="37803"/>
    <cellStyle name="Header2 3 2 9 4 4 3" xfId="23865"/>
    <cellStyle name="Header2 3 2 9 4 4 4" xfId="32955"/>
    <cellStyle name="Header2 3 2 9 4 5" xfId="16571"/>
    <cellStyle name="Header2 3 2 9 4 5 2" xfId="28388"/>
    <cellStyle name="Header2 3 2 9 4 5 2 2" xfId="38387"/>
    <cellStyle name="Header2 3 2 9 4 5 3" xfId="24146"/>
    <cellStyle name="Header2 3 2 9 4 5 4" xfId="33236"/>
    <cellStyle name="Header2 3 2 9 4 6" xfId="16868"/>
    <cellStyle name="Header2 3 2 9 4 6 2" xfId="28685"/>
    <cellStyle name="Header2 3 2 9 4 6 2 2" xfId="38684"/>
    <cellStyle name="Header2 3 2 9 4 6 3" xfId="24443"/>
    <cellStyle name="Header2 3 2 9 4 6 4" xfId="33533"/>
    <cellStyle name="Header2 3 2 9 4 7" xfId="17213"/>
    <cellStyle name="Header2 3 2 9 4 7 2" xfId="29030"/>
    <cellStyle name="Header2 3 2 9 4 7 2 2" xfId="39029"/>
    <cellStyle name="Header2 3 2 9 4 7 3" xfId="24788"/>
    <cellStyle name="Header2 3 2 9 4 7 4" xfId="33878"/>
    <cellStyle name="Header2 3 2 9 4 8" xfId="17516"/>
    <cellStyle name="Header2 3 2 9 4 8 2" xfId="29333"/>
    <cellStyle name="Header2 3 2 9 4 8 2 2" xfId="39332"/>
    <cellStyle name="Header2 3 2 9 4 8 3" xfId="25091"/>
    <cellStyle name="Header2 3 2 9 4 8 4" xfId="34181"/>
    <cellStyle name="Header2 3 2 9 4 9" xfId="18419"/>
    <cellStyle name="Header2 3 2 9 4 9 2" xfId="30236"/>
    <cellStyle name="Header2 3 2 9 4 9 2 2" xfId="40235"/>
    <cellStyle name="Header2 3 2 9 4 9 3" xfId="25894"/>
    <cellStyle name="Header2 3 2 9 4 9 4" xfId="35084"/>
    <cellStyle name="Header2 3 2 9 5" xfId="15695"/>
    <cellStyle name="Header2 3 2 9 5 2" xfId="19098"/>
    <cellStyle name="Header2 3 2 9 5 2 2" xfId="30915"/>
    <cellStyle name="Header2 3 2 9 5 2 2 2" xfId="40914"/>
    <cellStyle name="Header2 3 2 9 5 2 3" xfId="26573"/>
    <cellStyle name="Header2 3 2 9 5 2 4" xfId="35763"/>
    <cellStyle name="Header2 3 2 9 5 3" xfId="19704"/>
    <cellStyle name="Header2 3 2 9 5 3 2" xfId="31521"/>
    <cellStyle name="Header2 3 2 9 5 3 2 2" xfId="41520"/>
    <cellStyle name="Header2 3 2 9 5 3 3" xfId="27179"/>
    <cellStyle name="Header2 3 2 9 5 3 4" xfId="36369"/>
    <cellStyle name="Header2 3 2 9 5 4" xfId="18920"/>
    <cellStyle name="Header2 3 2 9 5 4 2" xfId="30737"/>
    <cellStyle name="Header2 3 2 9 5 4 2 2" xfId="40736"/>
    <cellStyle name="Header2 3 2 9 5 4 3" xfId="26395"/>
    <cellStyle name="Header2 3 2 9 5 4 4" xfId="35585"/>
    <cellStyle name="Header2 3 2 9 5 5" xfId="20513"/>
    <cellStyle name="Header2 3 2 9 5 5 2" xfId="32330"/>
    <cellStyle name="Header2 3 2 9 5 5 2 2" xfId="42329"/>
    <cellStyle name="Header2 3 2 9 5 5 3" xfId="37178"/>
    <cellStyle name="Header2 3 2 9 5 6" xfId="23573"/>
    <cellStyle name="Header2 3 2 9 5 6 2" xfId="21017"/>
    <cellStyle name="Header2 3 2 9 5 7" xfId="22835"/>
    <cellStyle name="Header2 3 2 9 5 7 2" xfId="21396"/>
    <cellStyle name="Header2 3 2 9 5 8" xfId="21650"/>
    <cellStyle name="Header2 3 2 9 6" xfId="16276"/>
    <cellStyle name="Header2 3 2 9 6 2" xfId="19395"/>
    <cellStyle name="Header2 3 2 9 6 2 2" xfId="31212"/>
    <cellStyle name="Header2 3 2 9 6 2 2 2" xfId="41211"/>
    <cellStyle name="Header2 3 2 9 6 2 3" xfId="26870"/>
    <cellStyle name="Header2 3 2 9 6 2 4" xfId="36060"/>
    <cellStyle name="Header2 3 2 9 6 3" xfId="20001"/>
    <cellStyle name="Header2 3 2 9 6 3 2" xfId="31818"/>
    <cellStyle name="Header2 3 2 9 6 3 2 2" xfId="41817"/>
    <cellStyle name="Header2 3 2 9 6 3 3" xfId="27476"/>
    <cellStyle name="Header2 3 2 9 6 3 4" xfId="36666"/>
    <cellStyle name="Header2 3 2 9 6 4" xfId="18086"/>
    <cellStyle name="Header2 3 2 9 6 4 2" xfId="29903"/>
    <cellStyle name="Header2 3 2 9 6 4 2 2" xfId="39902"/>
    <cellStyle name="Header2 3 2 9 6 4 3" xfId="25661"/>
    <cellStyle name="Header2 3 2 9 6 4 4" xfId="34751"/>
    <cellStyle name="Header2 3 2 9 6 5" xfId="20810"/>
    <cellStyle name="Header2 3 2 9 6 5 2" xfId="32627"/>
    <cellStyle name="Header2 3 2 9 6 5 2 2" xfId="42626"/>
    <cellStyle name="Header2 3 2 9 6 5 3" xfId="37475"/>
    <cellStyle name="Header2 3 2 9 6 6" xfId="28093"/>
    <cellStyle name="Header2 3 2 9 6 6 2" xfId="38092"/>
    <cellStyle name="Header2 3 2 9 6 7" xfId="21531"/>
    <cellStyle name="Header2 3 2 9 7" xfId="15984"/>
    <cellStyle name="Header2 3 2 9 7 2" xfId="27801"/>
    <cellStyle name="Header2 3 2 9 7 2 2" xfId="37800"/>
    <cellStyle name="Header2 3 2 9 7 3" xfId="23862"/>
    <cellStyle name="Header2 3 2 9 7 4" xfId="32952"/>
    <cellStyle name="Header2 3 2 9 8" xfId="16574"/>
    <cellStyle name="Header2 3 2 9 8 2" xfId="28391"/>
    <cellStyle name="Header2 3 2 9 8 2 2" xfId="38390"/>
    <cellStyle name="Header2 3 2 9 8 3" xfId="24149"/>
    <cellStyle name="Header2 3 2 9 8 4" xfId="33239"/>
    <cellStyle name="Header2 3 2 9 9" xfId="16871"/>
    <cellStyle name="Header2 3 2 9 9 2" xfId="28688"/>
    <cellStyle name="Header2 3 2 9 9 2 2" xfId="38687"/>
    <cellStyle name="Header2 3 2 9 9 3" xfId="24446"/>
    <cellStyle name="Header2 3 2 9 9 4" xfId="33536"/>
    <cellStyle name="Header2 3 3" xfId="7892"/>
    <cellStyle name="Header2 3 3 10" xfId="16867"/>
    <cellStyle name="Header2 3 3 10 2" xfId="28684"/>
    <cellStyle name="Header2 3 3 10 2 2" xfId="38683"/>
    <cellStyle name="Header2 3 3 10 3" xfId="24442"/>
    <cellStyle name="Header2 3 3 10 4" xfId="33532"/>
    <cellStyle name="Header2 3 3 11" xfId="17214"/>
    <cellStyle name="Header2 3 3 11 2" xfId="29031"/>
    <cellStyle name="Header2 3 3 11 2 2" xfId="39030"/>
    <cellStyle name="Header2 3 3 11 3" xfId="24789"/>
    <cellStyle name="Header2 3 3 11 4" xfId="33879"/>
    <cellStyle name="Header2 3 3 12" xfId="17517"/>
    <cellStyle name="Header2 3 3 12 2" xfId="29334"/>
    <cellStyle name="Header2 3 3 12 2 2" xfId="39333"/>
    <cellStyle name="Header2 3 3 12 3" xfId="25092"/>
    <cellStyle name="Header2 3 3 12 4" xfId="34182"/>
    <cellStyle name="Header2 3 3 13" xfId="18418"/>
    <cellStyle name="Header2 3 3 13 2" xfId="30235"/>
    <cellStyle name="Header2 3 3 13 2 2" xfId="40234"/>
    <cellStyle name="Header2 3 3 13 3" xfId="25893"/>
    <cellStyle name="Header2 3 3 13 4" xfId="35083"/>
    <cellStyle name="Header2 3 3 14" xfId="18715"/>
    <cellStyle name="Header2 3 3 14 2" xfId="30532"/>
    <cellStyle name="Header2 3 3 14 2 2" xfId="40531"/>
    <cellStyle name="Header2 3 3 14 3" xfId="26190"/>
    <cellStyle name="Header2 3 3 14 4" xfId="35380"/>
    <cellStyle name="Header2 3 3 15" xfId="20199"/>
    <cellStyle name="Header2 3 3 15 2" xfId="32016"/>
    <cellStyle name="Header2 3 3 15 2 2" xfId="42015"/>
    <cellStyle name="Header2 3 3 15 3" xfId="36864"/>
    <cellStyle name="Header2 3 3 16" xfId="23210"/>
    <cellStyle name="Header2 3 3 16 2" xfId="21987"/>
    <cellStyle name="Header2 3 3 17" xfId="22604"/>
    <cellStyle name="Header2 3 3 2" xfId="7893"/>
    <cellStyle name="Header2 3 3 2 10" xfId="17215"/>
    <cellStyle name="Header2 3 3 2 10 2" xfId="29032"/>
    <cellStyle name="Header2 3 3 2 10 2 2" xfId="39031"/>
    <cellStyle name="Header2 3 3 2 10 3" xfId="24790"/>
    <cellStyle name="Header2 3 3 2 10 4" xfId="33880"/>
    <cellStyle name="Header2 3 3 2 11" xfId="17518"/>
    <cellStyle name="Header2 3 3 2 11 2" xfId="29335"/>
    <cellStyle name="Header2 3 3 2 11 2 2" xfId="39334"/>
    <cellStyle name="Header2 3 3 2 11 3" xfId="25093"/>
    <cellStyle name="Header2 3 3 2 11 4" xfId="34183"/>
    <cellStyle name="Header2 3 3 2 12" xfId="18417"/>
    <cellStyle name="Header2 3 3 2 12 2" xfId="30234"/>
    <cellStyle name="Header2 3 3 2 12 2 2" xfId="40233"/>
    <cellStyle name="Header2 3 3 2 12 3" xfId="25892"/>
    <cellStyle name="Header2 3 3 2 12 4" xfId="35082"/>
    <cellStyle name="Header2 3 3 2 13" xfId="18852"/>
    <cellStyle name="Header2 3 3 2 13 2" xfId="30669"/>
    <cellStyle name="Header2 3 3 2 13 2 2" xfId="40668"/>
    <cellStyle name="Header2 3 3 2 13 3" xfId="26327"/>
    <cellStyle name="Header2 3 3 2 13 4" xfId="35517"/>
    <cellStyle name="Header2 3 3 2 14" xfId="20299"/>
    <cellStyle name="Header2 3 3 2 14 2" xfId="32116"/>
    <cellStyle name="Header2 3 3 2 14 2 2" xfId="42115"/>
    <cellStyle name="Header2 3 3 2 14 3" xfId="36964"/>
    <cellStyle name="Header2 3 3 2 15" xfId="23209"/>
    <cellStyle name="Header2 3 3 2 15 2" xfId="21225"/>
    <cellStyle name="Header2 3 3 2 16" xfId="22603"/>
    <cellStyle name="Header2 3 3 2 2" xfId="7894"/>
    <cellStyle name="Header2 3 3 2 2 10" xfId="17216"/>
    <cellStyle name="Header2 3 3 2 2 10 2" xfId="29033"/>
    <cellStyle name="Header2 3 3 2 2 10 2 2" xfId="39032"/>
    <cellStyle name="Header2 3 3 2 2 10 3" xfId="24791"/>
    <cellStyle name="Header2 3 3 2 2 10 4" xfId="33881"/>
    <cellStyle name="Header2 3 3 2 2 11" xfId="17519"/>
    <cellStyle name="Header2 3 3 2 2 11 2" xfId="29336"/>
    <cellStyle name="Header2 3 3 2 2 11 2 2" xfId="39335"/>
    <cellStyle name="Header2 3 3 2 2 11 3" xfId="25094"/>
    <cellStyle name="Header2 3 3 2 2 11 4" xfId="34184"/>
    <cellStyle name="Header2 3 3 2 2 12" xfId="18416"/>
    <cellStyle name="Header2 3 3 2 2 12 2" xfId="30233"/>
    <cellStyle name="Header2 3 3 2 2 12 2 2" xfId="40232"/>
    <cellStyle name="Header2 3 3 2 2 12 3" xfId="25891"/>
    <cellStyle name="Header2 3 3 2 2 12 4" xfId="35081"/>
    <cellStyle name="Header2 3 3 2 2 13" xfId="18714"/>
    <cellStyle name="Header2 3 3 2 2 13 2" xfId="30531"/>
    <cellStyle name="Header2 3 3 2 2 13 2 2" xfId="40530"/>
    <cellStyle name="Header2 3 3 2 2 13 3" xfId="26189"/>
    <cellStyle name="Header2 3 3 2 2 13 4" xfId="35379"/>
    <cellStyle name="Header2 3 3 2 2 14" xfId="18261"/>
    <cellStyle name="Header2 3 3 2 2 14 2" xfId="30078"/>
    <cellStyle name="Header2 3 3 2 2 14 2 2" xfId="40077"/>
    <cellStyle name="Header2 3 3 2 2 14 3" xfId="34926"/>
    <cellStyle name="Header2 3 3 2 2 15" xfId="23208"/>
    <cellStyle name="Header2 3 3 2 2 15 2" xfId="21988"/>
    <cellStyle name="Header2 3 3 2 2 16" xfId="22602"/>
    <cellStyle name="Header2 3 3 2 2 2" xfId="7895"/>
    <cellStyle name="Header2 3 3 2 2 2 10" xfId="18713"/>
    <cellStyle name="Header2 3 3 2 2 2 10 2" xfId="30530"/>
    <cellStyle name="Header2 3 3 2 2 2 10 2 2" xfId="40529"/>
    <cellStyle name="Header2 3 3 2 2 2 10 3" xfId="26188"/>
    <cellStyle name="Header2 3 3 2 2 2 10 4" xfId="35378"/>
    <cellStyle name="Header2 3 3 2 2 2 11" xfId="20198"/>
    <cellStyle name="Header2 3 3 2 2 2 11 2" xfId="32015"/>
    <cellStyle name="Header2 3 3 2 2 2 11 2 2" xfId="42014"/>
    <cellStyle name="Header2 3 3 2 2 2 11 3" xfId="36863"/>
    <cellStyle name="Header2 3 3 2 2 2 12" xfId="23207"/>
    <cellStyle name="Header2 3 3 2 2 2 12 2" xfId="21226"/>
    <cellStyle name="Header2 3 3 2 2 2 13" xfId="22601"/>
    <cellStyle name="Header2 3 3 2 2 2 2" xfId="15702"/>
    <cellStyle name="Header2 3 3 2 2 2 2 2" xfId="19091"/>
    <cellStyle name="Header2 3 3 2 2 2 2 2 2" xfId="30908"/>
    <cellStyle name="Header2 3 3 2 2 2 2 2 2 2" xfId="40907"/>
    <cellStyle name="Header2 3 3 2 2 2 2 2 3" xfId="26566"/>
    <cellStyle name="Header2 3 3 2 2 2 2 2 4" xfId="35756"/>
    <cellStyle name="Header2 3 3 2 2 2 2 3" xfId="19697"/>
    <cellStyle name="Header2 3 3 2 2 2 2 3 2" xfId="31514"/>
    <cellStyle name="Header2 3 3 2 2 2 2 3 2 2" xfId="41513"/>
    <cellStyle name="Header2 3 3 2 2 2 2 3 3" xfId="27172"/>
    <cellStyle name="Header2 3 3 2 2 2 2 3 4" xfId="36362"/>
    <cellStyle name="Header2 3 3 2 2 2 2 4" xfId="17988"/>
    <cellStyle name="Header2 3 3 2 2 2 2 4 2" xfId="29805"/>
    <cellStyle name="Header2 3 3 2 2 2 2 4 2 2" xfId="39804"/>
    <cellStyle name="Header2 3 3 2 2 2 2 4 3" xfId="25563"/>
    <cellStyle name="Header2 3 3 2 2 2 2 4 4" xfId="34653"/>
    <cellStyle name="Header2 3 3 2 2 2 2 5" xfId="20506"/>
    <cellStyle name="Header2 3 3 2 2 2 2 5 2" xfId="32323"/>
    <cellStyle name="Header2 3 3 2 2 2 2 5 2 2" xfId="42322"/>
    <cellStyle name="Header2 3 3 2 2 2 2 5 3" xfId="37171"/>
    <cellStyle name="Header2 3 3 2 2 2 2 6" xfId="23580"/>
    <cellStyle name="Header2 3 3 2 2 2 2 6 2" xfId="21015"/>
    <cellStyle name="Header2 3 3 2 2 2 2 7" xfId="22833"/>
    <cellStyle name="Header2 3 3 2 2 2 2 7 2" xfId="21397"/>
    <cellStyle name="Header2 3 3 2 2 2 2 8" xfId="22440"/>
    <cellStyle name="Header2 3 3 2 2 2 3" xfId="16283"/>
    <cellStyle name="Header2 3 3 2 2 2 3 2" xfId="19389"/>
    <cellStyle name="Header2 3 3 2 2 2 3 2 2" xfId="31206"/>
    <cellStyle name="Header2 3 3 2 2 2 3 2 2 2" xfId="41205"/>
    <cellStyle name="Header2 3 3 2 2 2 3 2 3" xfId="26864"/>
    <cellStyle name="Header2 3 3 2 2 2 3 2 4" xfId="36054"/>
    <cellStyle name="Header2 3 3 2 2 2 3 3" xfId="19995"/>
    <cellStyle name="Header2 3 3 2 2 2 3 3 2" xfId="31812"/>
    <cellStyle name="Header2 3 3 2 2 2 3 3 2 2" xfId="41811"/>
    <cellStyle name="Header2 3 3 2 2 2 3 3 3" xfId="27470"/>
    <cellStyle name="Header2 3 3 2 2 2 3 3 4" xfId="36660"/>
    <cellStyle name="Header2 3 3 2 2 2 3 4" xfId="17780"/>
    <cellStyle name="Header2 3 3 2 2 2 3 4 2" xfId="29597"/>
    <cellStyle name="Header2 3 3 2 2 2 3 4 2 2" xfId="39596"/>
    <cellStyle name="Header2 3 3 2 2 2 3 4 3" xfId="25355"/>
    <cellStyle name="Header2 3 3 2 2 2 3 4 4" xfId="34445"/>
    <cellStyle name="Header2 3 3 2 2 2 3 5" xfId="20804"/>
    <cellStyle name="Header2 3 3 2 2 2 3 5 2" xfId="32621"/>
    <cellStyle name="Header2 3 3 2 2 2 3 5 2 2" xfId="42620"/>
    <cellStyle name="Header2 3 3 2 2 2 3 5 3" xfId="37469"/>
    <cellStyle name="Header2 3 3 2 2 2 3 6" xfId="28100"/>
    <cellStyle name="Header2 3 3 2 2 2 3 6 2" xfId="38099"/>
    <cellStyle name="Header2 3 3 2 2 2 3 7" xfId="21537"/>
    <cellStyle name="Header2 3 3 2 2 2 4" xfId="15990"/>
    <cellStyle name="Header2 3 3 2 2 2 4 2" xfId="27807"/>
    <cellStyle name="Header2 3 3 2 2 2 4 2 2" xfId="37806"/>
    <cellStyle name="Header2 3 3 2 2 2 4 3" xfId="23868"/>
    <cellStyle name="Header2 3 3 2 2 2 4 4" xfId="32958"/>
    <cellStyle name="Header2 3 3 2 2 2 5" xfId="16567"/>
    <cellStyle name="Header2 3 3 2 2 2 5 2" xfId="28384"/>
    <cellStyle name="Header2 3 3 2 2 2 5 2 2" xfId="38383"/>
    <cellStyle name="Header2 3 3 2 2 2 5 3" xfId="24142"/>
    <cellStyle name="Header2 3 3 2 2 2 5 4" xfId="33232"/>
    <cellStyle name="Header2 3 3 2 2 2 6" xfId="16865"/>
    <cellStyle name="Header2 3 3 2 2 2 6 2" xfId="28682"/>
    <cellStyle name="Header2 3 3 2 2 2 6 2 2" xfId="38681"/>
    <cellStyle name="Header2 3 3 2 2 2 6 3" xfId="24440"/>
    <cellStyle name="Header2 3 3 2 2 2 6 4" xfId="33530"/>
    <cellStyle name="Header2 3 3 2 2 2 7" xfId="17217"/>
    <cellStyle name="Header2 3 3 2 2 2 7 2" xfId="29034"/>
    <cellStyle name="Header2 3 3 2 2 2 7 2 2" xfId="39033"/>
    <cellStyle name="Header2 3 3 2 2 2 7 3" xfId="24792"/>
    <cellStyle name="Header2 3 3 2 2 2 7 4" xfId="33882"/>
    <cellStyle name="Header2 3 3 2 2 2 8" xfId="17520"/>
    <cellStyle name="Header2 3 3 2 2 2 8 2" xfId="29337"/>
    <cellStyle name="Header2 3 3 2 2 2 8 2 2" xfId="39336"/>
    <cellStyle name="Header2 3 3 2 2 2 8 3" xfId="25095"/>
    <cellStyle name="Header2 3 3 2 2 2 8 4" xfId="34185"/>
    <cellStyle name="Header2 3 3 2 2 2 9" xfId="18415"/>
    <cellStyle name="Header2 3 3 2 2 2 9 2" xfId="30232"/>
    <cellStyle name="Header2 3 3 2 2 2 9 2 2" xfId="40231"/>
    <cellStyle name="Header2 3 3 2 2 2 9 3" xfId="25890"/>
    <cellStyle name="Header2 3 3 2 2 2 9 4" xfId="35080"/>
    <cellStyle name="Header2 3 3 2 2 3" xfId="7896"/>
    <cellStyle name="Header2 3 3 2 2 3 10" xfId="18712"/>
    <cellStyle name="Header2 3 3 2 2 3 10 2" xfId="30529"/>
    <cellStyle name="Header2 3 3 2 2 3 10 2 2" xfId="40528"/>
    <cellStyle name="Header2 3 3 2 2 3 10 3" xfId="26187"/>
    <cellStyle name="Header2 3 3 2 2 3 10 4" xfId="35377"/>
    <cellStyle name="Header2 3 3 2 2 3 11" xfId="20298"/>
    <cellStyle name="Header2 3 3 2 2 3 11 2" xfId="32115"/>
    <cellStyle name="Header2 3 3 2 2 3 11 2 2" xfId="42114"/>
    <cellStyle name="Header2 3 3 2 2 3 11 3" xfId="36963"/>
    <cellStyle name="Header2 3 3 2 2 3 12" xfId="23206"/>
    <cellStyle name="Header2 3 3 2 2 3 12 2" xfId="21989"/>
    <cellStyle name="Header2 3 3 2 2 3 13" xfId="22600"/>
    <cellStyle name="Header2 3 3 2 2 3 2" xfId="15703"/>
    <cellStyle name="Header2 3 3 2 2 3 2 2" xfId="19090"/>
    <cellStyle name="Header2 3 3 2 2 3 2 2 2" xfId="30907"/>
    <cellStyle name="Header2 3 3 2 2 3 2 2 2 2" xfId="40906"/>
    <cellStyle name="Header2 3 3 2 2 3 2 2 3" xfId="26565"/>
    <cellStyle name="Header2 3 3 2 2 3 2 2 4" xfId="35755"/>
    <cellStyle name="Header2 3 3 2 2 3 2 3" xfId="19696"/>
    <cellStyle name="Header2 3 3 2 2 3 2 3 2" xfId="31513"/>
    <cellStyle name="Header2 3 3 2 2 3 2 3 2 2" xfId="41512"/>
    <cellStyle name="Header2 3 3 2 2 3 2 3 3" xfId="27171"/>
    <cellStyle name="Header2 3 3 2 2 3 2 3 4" xfId="36361"/>
    <cellStyle name="Header2 3 3 2 2 3 2 4" xfId="17989"/>
    <cellStyle name="Header2 3 3 2 2 3 2 4 2" xfId="29806"/>
    <cellStyle name="Header2 3 3 2 2 3 2 4 2 2" xfId="39805"/>
    <cellStyle name="Header2 3 3 2 2 3 2 4 3" xfId="25564"/>
    <cellStyle name="Header2 3 3 2 2 3 2 4 4" xfId="34654"/>
    <cellStyle name="Header2 3 3 2 2 3 2 5" xfId="20505"/>
    <cellStyle name="Header2 3 3 2 2 3 2 5 2" xfId="32322"/>
    <cellStyle name="Header2 3 3 2 2 3 2 5 2 2" xfId="42321"/>
    <cellStyle name="Header2 3 3 2 2 3 2 5 3" xfId="37170"/>
    <cellStyle name="Header2 3 3 2 2 3 2 6" xfId="23581"/>
    <cellStyle name="Header2 3 3 2 2 3 2 6 2" xfId="21826"/>
    <cellStyle name="Header2 3 3 2 2 3 2 7" xfId="22990"/>
    <cellStyle name="Header2 3 3 2 2 3 2 7 2" xfId="22110"/>
    <cellStyle name="Header2 3 3 2 2 3 2 8" xfId="21656"/>
    <cellStyle name="Header2 3 3 2 2 3 3" xfId="16284"/>
    <cellStyle name="Header2 3 3 2 2 3 3 2" xfId="19388"/>
    <cellStyle name="Header2 3 3 2 2 3 3 2 2" xfId="31205"/>
    <cellStyle name="Header2 3 3 2 2 3 3 2 2 2" xfId="41204"/>
    <cellStyle name="Header2 3 3 2 2 3 3 2 3" xfId="26863"/>
    <cellStyle name="Header2 3 3 2 2 3 3 2 4" xfId="36053"/>
    <cellStyle name="Header2 3 3 2 2 3 3 3" xfId="19994"/>
    <cellStyle name="Header2 3 3 2 2 3 3 3 2" xfId="31811"/>
    <cellStyle name="Header2 3 3 2 2 3 3 3 2 2" xfId="41810"/>
    <cellStyle name="Header2 3 3 2 2 3 3 3 3" xfId="27469"/>
    <cellStyle name="Header2 3 3 2 2 3 3 3 4" xfId="36659"/>
    <cellStyle name="Header2 3 3 2 2 3 3 4" xfId="18089"/>
    <cellStyle name="Header2 3 3 2 2 3 3 4 2" xfId="29906"/>
    <cellStyle name="Header2 3 3 2 2 3 3 4 2 2" xfId="39905"/>
    <cellStyle name="Header2 3 3 2 2 3 3 4 3" xfId="25664"/>
    <cellStyle name="Header2 3 3 2 2 3 3 4 4" xfId="34754"/>
    <cellStyle name="Header2 3 3 2 2 3 3 5" xfId="20803"/>
    <cellStyle name="Header2 3 3 2 2 3 3 5 2" xfId="32620"/>
    <cellStyle name="Header2 3 3 2 2 3 3 5 2 2" xfId="42619"/>
    <cellStyle name="Header2 3 3 2 2 3 3 5 3" xfId="37468"/>
    <cellStyle name="Header2 3 3 2 2 3 3 6" xfId="28101"/>
    <cellStyle name="Header2 3 3 2 2 3 3 6 2" xfId="38100"/>
    <cellStyle name="Header2 3 3 2 2 3 3 7" xfId="21538"/>
    <cellStyle name="Header2 3 3 2 2 3 4" xfId="15991"/>
    <cellStyle name="Header2 3 3 2 2 3 4 2" xfId="27808"/>
    <cellStyle name="Header2 3 3 2 2 3 4 2 2" xfId="37807"/>
    <cellStyle name="Header2 3 3 2 2 3 4 3" xfId="23869"/>
    <cellStyle name="Header2 3 3 2 2 3 4 4" xfId="32959"/>
    <cellStyle name="Header2 3 3 2 2 3 5" xfId="16566"/>
    <cellStyle name="Header2 3 3 2 2 3 5 2" xfId="28383"/>
    <cellStyle name="Header2 3 3 2 2 3 5 2 2" xfId="38382"/>
    <cellStyle name="Header2 3 3 2 2 3 5 3" xfId="24141"/>
    <cellStyle name="Header2 3 3 2 2 3 5 4" xfId="33231"/>
    <cellStyle name="Header2 3 3 2 2 3 6" xfId="16864"/>
    <cellStyle name="Header2 3 3 2 2 3 6 2" xfId="28681"/>
    <cellStyle name="Header2 3 3 2 2 3 6 2 2" xfId="38680"/>
    <cellStyle name="Header2 3 3 2 2 3 6 3" xfId="24439"/>
    <cellStyle name="Header2 3 3 2 2 3 6 4" xfId="33529"/>
    <cellStyle name="Header2 3 3 2 2 3 7" xfId="17218"/>
    <cellStyle name="Header2 3 3 2 2 3 7 2" xfId="29035"/>
    <cellStyle name="Header2 3 3 2 2 3 7 2 2" xfId="39034"/>
    <cellStyle name="Header2 3 3 2 2 3 7 3" xfId="24793"/>
    <cellStyle name="Header2 3 3 2 2 3 7 4" xfId="33883"/>
    <cellStyle name="Header2 3 3 2 2 3 8" xfId="17521"/>
    <cellStyle name="Header2 3 3 2 2 3 8 2" xfId="29338"/>
    <cellStyle name="Header2 3 3 2 2 3 8 2 2" xfId="39337"/>
    <cellStyle name="Header2 3 3 2 2 3 8 3" xfId="25096"/>
    <cellStyle name="Header2 3 3 2 2 3 8 4" xfId="34186"/>
    <cellStyle name="Header2 3 3 2 2 3 9" xfId="18414"/>
    <cellStyle name="Header2 3 3 2 2 3 9 2" xfId="30231"/>
    <cellStyle name="Header2 3 3 2 2 3 9 2 2" xfId="40230"/>
    <cellStyle name="Header2 3 3 2 2 3 9 3" xfId="25889"/>
    <cellStyle name="Header2 3 3 2 2 3 9 4" xfId="35079"/>
    <cellStyle name="Header2 3 3 2 2 4" xfId="7897"/>
    <cellStyle name="Header2 3 3 2 2 4 10" xfId="18711"/>
    <cellStyle name="Header2 3 3 2 2 4 10 2" xfId="30528"/>
    <cellStyle name="Header2 3 3 2 2 4 10 2 2" xfId="40527"/>
    <cellStyle name="Header2 3 3 2 2 4 10 3" xfId="26186"/>
    <cellStyle name="Header2 3 3 2 2 4 10 4" xfId="35376"/>
    <cellStyle name="Header2 3 3 2 2 4 11" xfId="18262"/>
    <cellStyle name="Header2 3 3 2 2 4 11 2" xfId="30079"/>
    <cellStyle name="Header2 3 3 2 2 4 11 2 2" xfId="40078"/>
    <cellStyle name="Header2 3 3 2 2 4 11 3" xfId="34927"/>
    <cellStyle name="Header2 3 3 2 2 4 12" xfId="23205"/>
    <cellStyle name="Header2 3 3 2 2 4 12 2" xfId="21990"/>
    <cellStyle name="Header2 3 3 2 2 4 13" xfId="22599"/>
    <cellStyle name="Header2 3 3 2 2 4 2" xfId="15704"/>
    <cellStyle name="Header2 3 3 2 2 4 2 2" xfId="19089"/>
    <cellStyle name="Header2 3 3 2 2 4 2 2 2" xfId="30906"/>
    <cellStyle name="Header2 3 3 2 2 4 2 2 2 2" xfId="40905"/>
    <cellStyle name="Header2 3 3 2 2 4 2 2 3" xfId="26564"/>
    <cellStyle name="Header2 3 3 2 2 4 2 2 4" xfId="35754"/>
    <cellStyle name="Header2 3 3 2 2 4 2 3" xfId="19695"/>
    <cellStyle name="Header2 3 3 2 2 4 2 3 2" xfId="31512"/>
    <cellStyle name="Header2 3 3 2 2 4 2 3 2 2" xfId="41511"/>
    <cellStyle name="Header2 3 3 2 2 4 2 3 3" xfId="27170"/>
    <cellStyle name="Header2 3 3 2 2 4 2 3 4" xfId="36360"/>
    <cellStyle name="Header2 3 3 2 2 4 2 4" xfId="17990"/>
    <cellStyle name="Header2 3 3 2 2 4 2 4 2" xfId="29807"/>
    <cellStyle name="Header2 3 3 2 2 4 2 4 2 2" xfId="39806"/>
    <cellStyle name="Header2 3 3 2 2 4 2 4 3" xfId="25565"/>
    <cellStyle name="Header2 3 3 2 2 4 2 4 4" xfId="34655"/>
    <cellStyle name="Header2 3 3 2 2 4 2 5" xfId="20504"/>
    <cellStyle name="Header2 3 3 2 2 4 2 5 2" xfId="32321"/>
    <cellStyle name="Header2 3 3 2 2 4 2 5 2 2" xfId="42320"/>
    <cellStyle name="Header2 3 3 2 2 4 2 5 3" xfId="37169"/>
    <cellStyle name="Header2 3 3 2 2 4 2 6" xfId="23582"/>
    <cellStyle name="Header2 3 3 2 2 4 2 6 2" xfId="21825"/>
    <cellStyle name="Header2 3 3 2 2 4 2 7" xfId="22989"/>
    <cellStyle name="Header2 3 3 2 2 4 2 7 2" xfId="21321"/>
    <cellStyle name="Header2 3 3 2 2 4 2 8" xfId="21657"/>
    <cellStyle name="Header2 3 3 2 2 4 3" xfId="16285"/>
    <cellStyle name="Header2 3 3 2 2 4 3 2" xfId="19387"/>
    <cellStyle name="Header2 3 3 2 2 4 3 2 2" xfId="31204"/>
    <cellStyle name="Header2 3 3 2 2 4 3 2 2 2" xfId="41203"/>
    <cellStyle name="Header2 3 3 2 2 4 3 2 3" xfId="26862"/>
    <cellStyle name="Header2 3 3 2 2 4 3 2 4" xfId="36052"/>
    <cellStyle name="Header2 3 3 2 2 4 3 3" xfId="19993"/>
    <cellStyle name="Header2 3 3 2 2 4 3 3 2" xfId="31810"/>
    <cellStyle name="Header2 3 3 2 2 4 3 3 2 2" xfId="41809"/>
    <cellStyle name="Header2 3 3 2 2 4 3 3 3" xfId="27468"/>
    <cellStyle name="Header2 3 3 2 2 4 3 3 4" xfId="36658"/>
    <cellStyle name="Header2 3 3 2 2 4 3 4" xfId="17781"/>
    <cellStyle name="Header2 3 3 2 2 4 3 4 2" xfId="29598"/>
    <cellStyle name="Header2 3 3 2 2 4 3 4 2 2" xfId="39597"/>
    <cellStyle name="Header2 3 3 2 2 4 3 4 3" xfId="25356"/>
    <cellStyle name="Header2 3 3 2 2 4 3 4 4" xfId="34446"/>
    <cellStyle name="Header2 3 3 2 2 4 3 5" xfId="20802"/>
    <cellStyle name="Header2 3 3 2 2 4 3 5 2" xfId="32619"/>
    <cellStyle name="Header2 3 3 2 2 4 3 5 2 2" xfId="42618"/>
    <cellStyle name="Header2 3 3 2 2 4 3 5 3" xfId="37467"/>
    <cellStyle name="Header2 3 3 2 2 4 3 6" xfId="28102"/>
    <cellStyle name="Header2 3 3 2 2 4 3 6 2" xfId="38101"/>
    <cellStyle name="Header2 3 3 2 2 4 3 7" xfId="22262"/>
    <cellStyle name="Header2 3 3 2 2 4 4" xfId="15992"/>
    <cellStyle name="Header2 3 3 2 2 4 4 2" xfId="27809"/>
    <cellStyle name="Header2 3 3 2 2 4 4 2 2" xfId="37808"/>
    <cellStyle name="Header2 3 3 2 2 4 4 3" xfId="23870"/>
    <cellStyle name="Header2 3 3 2 2 4 4 4" xfId="32960"/>
    <cellStyle name="Header2 3 3 2 2 4 5" xfId="16565"/>
    <cellStyle name="Header2 3 3 2 2 4 5 2" xfId="28382"/>
    <cellStyle name="Header2 3 3 2 2 4 5 2 2" xfId="38381"/>
    <cellStyle name="Header2 3 3 2 2 4 5 3" xfId="24140"/>
    <cellStyle name="Header2 3 3 2 2 4 5 4" xfId="33230"/>
    <cellStyle name="Header2 3 3 2 2 4 6" xfId="16863"/>
    <cellStyle name="Header2 3 3 2 2 4 6 2" xfId="28680"/>
    <cellStyle name="Header2 3 3 2 2 4 6 2 2" xfId="38679"/>
    <cellStyle name="Header2 3 3 2 2 4 6 3" xfId="24438"/>
    <cellStyle name="Header2 3 3 2 2 4 6 4" xfId="33528"/>
    <cellStyle name="Header2 3 3 2 2 4 7" xfId="17219"/>
    <cellStyle name="Header2 3 3 2 2 4 7 2" xfId="29036"/>
    <cellStyle name="Header2 3 3 2 2 4 7 2 2" xfId="39035"/>
    <cellStyle name="Header2 3 3 2 2 4 7 3" xfId="24794"/>
    <cellStyle name="Header2 3 3 2 2 4 7 4" xfId="33884"/>
    <cellStyle name="Header2 3 3 2 2 4 8" xfId="17522"/>
    <cellStyle name="Header2 3 3 2 2 4 8 2" xfId="29339"/>
    <cellStyle name="Header2 3 3 2 2 4 8 2 2" xfId="39338"/>
    <cellStyle name="Header2 3 3 2 2 4 8 3" xfId="25097"/>
    <cellStyle name="Header2 3 3 2 2 4 8 4" xfId="34187"/>
    <cellStyle name="Header2 3 3 2 2 4 9" xfId="18413"/>
    <cellStyle name="Header2 3 3 2 2 4 9 2" xfId="30230"/>
    <cellStyle name="Header2 3 3 2 2 4 9 2 2" xfId="40229"/>
    <cellStyle name="Header2 3 3 2 2 4 9 3" xfId="25888"/>
    <cellStyle name="Header2 3 3 2 2 4 9 4" xfId="35078"/>
    <cellStyle name="Header2 3 3 2 2 5" xfId="15701"/>
    <cellStyle name="Header2 3 3 2 2 5 2" xfId="19092"/>
    <cellStyle name="Header2 3 3 2 2 5 2 2" xfId="30909"/>
    <cellStyle name="Header2 3 3 2 2 5 2 2 2" xfId="40908"/>
    <cellStyle name="Header2 3 3 2 2 5 2 3" xfId="26567"/>
    <cellStyle name="Header2 3 3 2 2 5 2 4" xfId="35757"/>
    <cellStyle name="Header2 3 3 2 2 5 3" xfId="19698"/>
    <cellStyle name="Header2 3 3 2 2 5 3 2" xfId="31515"/>
    <cellStyle name="Header2 3 3 2 2 5 3 2 2" xfId="41514"/>
    <cellStyle name="Header2 3 3 2 2 5 3 3" xfId="27173"/>
    <cellStyle name="Header2 3 3 2 2 5 3 4" xfId="36363"/>
    <cellStyle name="Header2 3 3 2 2 5 4" xfId="18922"/>
    <cellStyle name="Header2 3 3 2 2 5 4 2" xfId="30739"/>
    <cellStyle name="Header2 3 3 2 2 5 4 2 2" xfId="40738"/>
    <cellStyle name="Header2 3 3 2 2 5 4 3" xfId="26397"/>
    <cellStyle name="Header2 3 3 2 2 5 4 4" xfId="35587"/>
    <cellStyle name="Header2 3 3 2 2 5 5" xfId="20507"/>
    <cellStyle name="Header2 3 3 2 2 5 5 2" xfId="32324"/>
    <cellStyle name="Header2 3 3 2 2 5 5 2 2" xfId="42323"/>
    <cellStyle name="Header2 3 3 2 2 5 5 3" xfId="37172"/>
    <cellStyle name="Header2 3 3 2 2 5 6" xfId="23579"/>
    <cellStyle name="Header2 3 3 2 2 5 6 2" xfId="21827"/>
    <cellStyle name="Header2 3 3 2 2 5 7" xfId="22991"/>
    <cellStyle name="Header2 3 3 2 2 5 7 2" xfId="21320"/>
    <cellStyle name="Header2 3 3 2 2 5 8" xfId="21655"/>
    <cellStyle name="Header2 3 3 2 2 6" xfId="16282"/>
    <cellStyle name="Header2 3 3 2 2 6 2" xfId="19390"/>
    <cellStyle name="Header2 3 3 2 2 6 2 2" xfId="31207"/>
    <cellStyle name="Header2 3 3 2 2 6 2 2 2" xfId="41206"/>
    <cellStyle name="Header2 3 3 2 2 6 2 3" xfId="26865"/>
    <cellStyle name="Header2 3 3 2 2 6 2 4" xfId="36055"/>
    <cellStyle name="Header2 3 3 2 2 6 3" xfId="19996"/>
    <cellStyle name="Header2 3 3 2 2 6 3 2" xfId="31813"/>
    <cellStyle name="Header2 3 3 2 2 6 3 2 2" xfId="41812"/>
    <cellStyle name="Header2 3 3 2 2 6 3 3" xfId="27471"/>
    <cellStyle name="Header2 3 3 2 2 6 3 4" xfId="36661"/>
    <cellStyle name="Header2 3 3 2 2 6 4" xfId="17779"/>
    <cellStyle name="Header2 3 3 2 2 6 4 2" xfId="29596"/>
    <cellStyle name="Header2 3 3 2 2 6 4 2 2" xfId="39595"/>
    <cellStyle name="Header2 3 3 2 2 6 4 3" xfId="25354"/>
    <cellStyle name="Header2 3 3 2 2 6 4 4" xfId="34444"/>
    <cellStyle name="Header2 3 3 2 2 6 5" xfId="20805"/>
    <cellStyle name="Header2 3 3 2 2 6 5 2" xfId="32622"/>
    <cellStyle name="Header2 3 3 2 2 6 5 2 2" xfId="42621"/>
    <cellStyle name="Header2 3 3 2 2 6 5 3" xfId="37470"/>
    <cellStyle name="Header2 3 3 2 2 6 6" xfId="28099"/>
    <cellStyle name="Header2 3 3 2 2 6 6 2" xfId="38098"/>
    <cellStyle name="Header2 3 3 2 2 6 7" xfId="21536"/>
    <cellStyle name="Header2 3 3 2 2 7" xfId="15989"/>
    <cellStyle name="Header2 3 3 2 2 7 2" xfId="27806"/>
    <cellStyle name="Header2 3 3 2 2 7 2 2" xfId="37805"/>
    <cellStyle name="Header2 3 3 2 2 7 3" xfId="23867"/>
    <cellStyle name="Header2 3 3 2 2 7 4" xfId="32957"/>
    <cellStyle name="Header2 3 3 2 2 8" xfId="16568"/>
    <cellStyle name="Header2 3 3 2 2 8 2" xfId="28385"/>
    <cellStyle name="Header2 3 3 2 2 8 2 2" xfId="38384"/>
    <cellStyle name="Header2 3 3 2 2 8 3" xfId="24143"/>
    <cellStyle name="Header2 3 3 2 2 8 4" xfId="33233"/>
    <cellStyle name="Header2 3 3 2 2 9" xfId="16866"/>
    <cellStyle name="Header2 3 3 2 2 9 2" xfId="28683"/>
    <cellStyle name="Header2 3 3 2 2 9 2 2" xfId="38682"/>
    <cellStyle name="Header2 3 3 2 2 9 3" xfId="24441"/>
    <cellStyle name="Header2 3 3 2 2 9 4" xfId="33531"/>
    <cellStyle name="Header2 3 3 2 3" xfId="7898"/>
    <cellStyle name="Header2 3 3 2 3 10" xfId="17220"/>
    <cellStyle name="Header2 3 3 2 3 10 2" xfId="29037"/>
    <cellStyle name="Header2 3 3 2 3 10 2 2" xfId="39036"/>
    <cellStyle name="Header2 3 3 2 3 10 3" xfId="24795"/>
    <cellStyle name="Header2 3 3 2 3 10 4" xfId="33885"/>
    <cellStyle name="Header2 3 3 2 3 11" xfId="17523"/>
    <cellStyle name="Header2 3 3 2 3 11 2" xfId="29340"/>
    <cellStyle name="Header2 3 3 2 3 11 2 2" xfId="39339"/>
    <cellStyle name="Header2 3 3 2 3 11 3" xfId="25098"/>
    <cellStyle name="Header2 3 3 2 3 11 4" xfId="34188"/>
    <cellStyle name="Header2 3 3 2 3 12" xfId="18412"/>
    <cellStyle name="Header2 3 3 2 3 12 2" xfId="30229"/>
    <cellStyle name="Header2 3 3 2 3 12 2 2" xfId="40228"/>
    <cellStyle name="Header2 3 3 2 3 12 3" xfId="25887"/>
    <cellStyle name="Header2 3 3 2 3 12 4" xfId="35077"/>
    <cellStyle name="Header2 3 3 2 3 13" xfId="18710"/>
    <cellStyle name="Header2 3 3 2 3 13 2" xfId="30527"/>
    <cellStyle name="Header2 3 3 2 3 13 2 2" xfId="40526"/>
    <cellStyle name="Header2 3 3 2 3 13 3" xfId="26185"/>
    <cellStyle name="Header2 3 3 2 3 13 4" xfId="35375"/>
    <cellStyle name="Header2 3 3 2 3 14" xfId="20197"/>
    <cellStyle name="Header2 3 3 2 3 14 2" xfId="32014"/>
    <cellStyle name="Header2 3 3 2 3 14 2 2" xfId="42013"/>
    <cellStyle name="Header2 3 3 2 3 14 3" xfId="36862"/>
    <cellStyle name="Header2 3 3 2 3 15" xfId="23204"/>
    <cellStyle name="Header2 3 3 2 3 15 2" xfId="21991"/>
    <cellStyle name="Header2 3 3 2 3 16" xfId="22598"/>
    <cellStyle name="Header2 3 3 2 3 2" xfId="7899"/>
    <cellStyle name="Header2 3 3 2 3 2 10" xfId="18709"/>
    <cellStyle name="Header2 3 3 2 3 2 10 2" xfId="30526"/>
    <cellStyle name="Header2 3 3 2 3 2 10 2 2" xfId="40525"/>
    <cellStyle name="Header2 3 3 2 3 2 10 3" xfId="26184"/>
    <cellStyle name="Header2 3 3 2 3 2 10 4" xfId="35374"/>
    <cellStyle name="Header2 3 3 2 3 2 11" xfId="20297"/>
    <cellStyle name="Header2 3 3 2 3 2 11 2" xfId="32114"/>
    <cellStyle name="Header2 3 3 2 3 2 11 2 2" xfId="42113"/>
    <cellStyle name="Header2 3 3 2 3 2 11 3" xfId="36962"/>
    <cellStyle name="Header2 3 3 2 3 2 12" xfId="23203"/>
    <cellStyle name="Header2 3 3 2 3 2 12 2" xfId="21227"/>
    <cellStyle name="Header2 3 3 2 3 2 13" xfId="22597"/>
    <cellStyle name="Header2 3 3 2 3 2 2" xfId="15706"/>
    <cellStyle name="Header2 3 3 2 3 2 2 2" xfId="19087"/>
    <cellStyle name="Header2 3 3 2 3 2 2 2 2" xfId="30904"/>
    <cellStyle name="Header2 3 3 2 3 2 2 2 2 2" xfId="40903"/>
    <cellStyle name="Header2 3 3 2 3 2 2 2 3" xfId="26562"/>
    <cellStyle name="Header2 3 3 2 3 2 2 2 4" xfId="35752"/>
    <cellStyle name="Header2 3 3 2 3 2 2 3" xfId="19693"/>
    <cellStyle name="Header2 3 3 2 3 2 2 3 2" xfId="31510"/>
    <cellStyle name="Header2 3 3 2 3 2 2 3 2 2" xfId="41509"/>
    <cellStyle name="Header2 3 3 2 3 2 2 3 3" xfId="27168"/>
    <cellStyle name="Header2 3 3 2 3 2 2 3 4" xfId="36358"/>
    <cellStyle name="Header2 3 3 2 3 2 2 4" xfId="17992"/>
    <cellStyle name="Header2 3 3 2 3 2 2 4 2" xfId="29809"/>
    <cellStyle name="Header2 3 3 2 3 2 2 4 2 2" xfId="39808"/>
    <cellStyle name="Header2 3 3 2 3 2 2 4 3" xfId="25567"/>
    <cellStyle name="Header2 3 3 2 3 2 2 4 4" xfId="34657"/>
    <cellStyle name="Header2 3 3 2 3 2 2 5" xfId="20502"/>
    <cellStyle name="Header2 3 3 2 3 2 2 5 2" xfId="32319"/>
    <cellStyle name="Header2 3 3 2 3 2 2 5 2 2" xfId="42318"/>
    <cellStyle name="Header2 3 3 2 3 2 2 5 3" xfId="37167"/>
    <cellStyle name="Header2 3 3 2 3 2 2 6" xfId="23584"/>
    <cellStyle name="Header2 3 3 2 3 2 2 6 2" xfId="21823"/>
    <cellStyle name="Header2 3 3 2 3 2 2 7" xfId="22987"/>
    <cellStyle name="Header2 3 3 2 3 2 2 7 2" xfId="21323"/>
    <cellStyle name="Header2 3 3 2 3 2 2 8" xfId="22441"/>
    <cellStyle name="Header2 3 3 2 3 2 3" xfId="16287"/>
    <cellStyle name="Header2 3 3 2 3 2 3 2" xfId="19385"/>
    <cellStyle name="Header2 3 3 2 3 2 3 2 2" xfId="31202"/>
    <cellStyle name="Header2 3 3 2 3 2 3 2 2 2" xfId="41201"/>
    <cellStyle name="Header2 3 3 2 3 2 3 2 3" xfId="26860"/>
    <cellStyle name="Header2 3 3 2 3 2 3 2 4" xfId="36050"/>
    <cellStyle name="Header2 3 3 2 3 2 3 3" xfId="19991"/>
    <cellStyle name="Header2 3 3 2 3 2 3 3 2" xfId="31808"/>
    <cellStyle name="Header2 3 3 2 3 2 3 3 2 2" xfId="41807"/>
    <cellStyle name="Header2 3 3 2 3 2 3 3 3" xfId="27466"/>
    <cellStyle name="Header2 3 3 2 3 2 3 3 4" xfId="36656"/>
    <cellStyle name="Header2 3 3 2 3 2 3 4" xfId="17914"/>
    <cellStyle name="Header2 3 3 2 3 2 3 4 2" xfId="29731"/>
    <cellStyle name="Header2 3 3 2 3 2 3 4 2 2" xfId="39730"/>
    <cellStyle name="Header2 3 3 2 3 2 3 4 3" xfId="25489"/>
    <cellStyle name="Header2 3 3 2 3 2 3 4 4" xfId="34579"/>
    <cellStyle name="Header2 3 3 2 3 2 3 5" xfId="20800"/>
    <cellStyle name="Header2 3 3 2 3 2 3 5 2" xfId="32617"/>
    <cellStyle name="Header2 3 3 2 3 2 3 5 2 2" xfId="42616"/>
    <cellStyle name="Header2 3 3 2 3 2 3 5 3" xfId="37465"/>
    <cellStyle name="Header2 3 3 2 3 2 3 6" xfId="28104"/>
    <cellStyle name="Header2 3 3 2 3 2 3 6 2" xfId="38103"/>
    <cellStyle name="Header2 3 3 2 3 2 3 7" xfId="21540"/>
    <cellStyle name="Header2 3 3 2 3 2 4" xfId="15994"/>
    <cellStyle name="Header2 3 3 2 3 2 4 2" xfId="27811"/>
    <cellStyle name="Header2 3 3 2 3 2 4 2 2" xfId="37810"/>
    <cellStyle name="Header2 3 3 2 3 2 4 3" xfId="23872"/>
    <cellStyle name="Header2 3 3 2 3 2 4 4" xfId="32962"/>
    <cellStyle name="Header2 3 3 2 3 2 5" xfId="16563"/>
    <cellStyle name="Header2 3 3 2 3 2 5 2" xfId="28380"/>
    <cellStyle name="Header2 3 3 2 3 2 5 2 2" xfId="38379"/>
    <cellStyle name="Header2 3 3 2 3 2 5 3" xfId="24138"/>
    <cellStyle name="Header2 3 3 2 3 2 5 4" xfId="33228"/>
    <cellStyle name="Header2 3 3 2 3 2 6" xfId="16861"/>
    <cellStyle name="Header2 3 3 2 3 2 6 2" xfId="28678"/>
    <cellStyle name="Header2 3 3 2 3 2 6 2 2" xfId="38677"/>
    <cellStyle name="Header2 3 3 2 3 2 6 3" xfId="24436"/>
    <cellStyle name="Header2 3 3 2 3 2 6 4" xfId="33526"/>
    <cellStyle name="Header2 3 3 2 3 2 7" xfId="17221"/>
    <cellStyle name="Header2 3 3 2 3 2 7 2" xfId="29038"/>
    <cellStyle name="Header2 3 3 2 3 2 7 2 2" xfId="39037"/>
    <cellStyle name="Header2 3 3 2 3 2 7 3" xfId="24796"/>
    <cellStyle name="Header2 3 3 2 3 2 7 4" xfId="33886"/>
    <cellStyle name="Header2 3 3 2 3 2 8" xfId="17524"/>
    <cellStyle name="Header2 3 3 2 3 2 8 2" xfId="29341"/>
    <cellStyle name="Header2 3 3 2 3 2 8 2 2" xfId="39340"/>
    <cellStyle name="Header2 3 3 2 3 2 8 3" xfId="25099"/>
    <cellStyle name="Header2 3 3 2 3 2 8 4" xfId="34189"/>
    <cellStyle name="Header2 3 3 2 3 2 9" xfId="18411"/>
    <cellStyle name="Header2 3 3 2 3 2 9 2" xfId="30228"/>
    <cellStyle name="Header2 3 3 2 3 2 9 2 2" xfId="40227"/>
    <cellStyle name="Header2 3 3 2 3 2 9 3" xfId="25886"/>
    <cellStyle name="Header2 3 3 2 3 2 9 4" xfId="35076"/>
    <cellStyle name="Header2 3 3 2 3 3" xfId="7900"/>
    <cellStyle name="Header2 3 3 2 3 3 10" xfId="18708"/>
    <cellStyle name="Header2 3 3 2 3 3 10 2" xfId="30525"/>
    <cellStyle name="Header2 3 3 2 3 3 10 2 2" xfId="40524"/>
    <cellStyle name="Header2 3 3 2 3 3 10 3" xfId="26183"/>
    <cellStyle name="Header2 3 3 2 3 3 10 4" xfId="35373"/>
    <cellStyle name="Header2 3 3 2 3 3 11" xfId="20208"/>
    <cellStyle name="Header2 3 3 2 3 3 11 2" xfId="32025"/>
    <cellStyle name="Header2 3 3 2 3 3 11 2 2" xfId="42024"/>
    <cellStyle name="Header2 3 3 2 3 3 11 3" xfId="36873"/>
    <cellStyle name="Header2 3 3 2 3 3 12" xfId="23202"/>
    <cellStyle name="Header2 3 3 2 3 3 12 2" xfId="21992"/>
    <cellStyle name="Header2 3 3 2 3 3 13" xfId="22596"/>
    <cellStyle name="Header2 3 3 2 3 3 2" xfId="15707"/>
    <cellStyle name="Header2 3 3 2 3 3 2 2" xfId="19086"/>
    <cellStyle name="Header2 3 3 2 3 3 2 2 2" xfId="30903"/>
    <cellStyle name="Header2 3 3 2 3 3 2 2 2 2" xfId="40902"/>
    <cellStyle name="Header2 3 3 2 3 3 2 2 3" xfId="26561"/>
    <cellStyle name="Header2 3 3 2 3 3 2 2 4" xfId="35751"/>
    <cellStyle name="Header2 3 3 2 3 3 2 3" xfId="19692"/>
    <cellStyle name="Header2 3 3 2 3 3 2 3 2" xfId="31509"/>
    <cellStyle name="Header2 3 3 2 3 3 2 3 2 2" xfId="41508"/>
    <cellStyle name="Header2 3 3 2 3 3 2 3 3" xfId="27167"/>
    <cellStyle name="Header2 3 3 2 3 3 2 3 4" xfId="36357"/>
    <cellStyle name="Header2 3 3 2 3 3 2 4" xfId="17824"/>
    <cellStyle name="Header2 3 3 2 3 3 2 4 2" xfId="29641"/>
    <cellStyle name="Header2 3 3 2 3 3 2 4 2 2" xfId="39640"/>
    <cellStyle name="Header2 3 3 2 3 3 2 4 3" xfId="25399"/>
    <cellStyle name="Header2 3 3 2 3 3 2 4 4" xfId="34489"/>
    <cellStyle name="Header2 3 3 2 3 3 2 5" xfId="20501"/>
    <cellStyle name="Header2 3 3 2 3 3 2 5 2" xfId="32318"/>
    <cellStyle name="Header2 3 3 2 3 3 2 5 2 2" xfId="42317"/>
    <cellStyle name="Header2 3 3 2 3 3 2 5 3" xfId="37166"/>
    <cellStyle name="Header2 3 3 2 3 3 2 6" xfId="23585"/>
    <cellStyle name="Header2 3 3 2 3 3 2 6 2" xfId="21822"/>
    <cellStyle name="Header2 3 3 2 3 3 2 7" xfId="22986"/>
    <cellStyle name="Header2 3 3 2 3 3 2 7 2" xfId="22111"/>
    <cellStyle name="Header2 3 3 2 3 3 2 8" xfId="21659"/>
    <cellStyle name="Header2 3 3 2 3 3 3" xfId="16288"/>
    <cellStyle name="Header2 3 3 2 3 3 3 2" xfId="19384"/>
    <cellStyle name="Header2 3 3 2 3 3 3 2 2" xfId="31201"/>
    <cellStyle name="Header2 3 3 2 3 3 3 2 2 2" xfId="41200"/>
    <cellStyle name="Header2 3 3 2 3 3 3 2 3" xfId="26859"/>
    <cellStyle name="Header2 3 3 2 3 3 3 2 4" xfId="36049"/>
    <cellStyle name="Header2 3 3 2 3 3 3 3" xfId="19990"/>
    <cellStyle name="Header2 3 3 2 3 3 3 3 2" xfId="31807"/>
    <cellStyle name="Header2 3 3 2 3 3 3 3 2 2" xfId="41806"/>
    <cellStyle name="Header2 3 3 2 3 3 3 3 3" xfId="27465"/>
    <cellStyle name="Header2 3 3 2 3 3 3 3 4" xfId="36655"/>
    <cellStyle name="Header2 3 3 2 3 3 3 4" xfId="18864"/>
    <cellStyle name="Header2 3 3 2 3 3 3 4 2" xfId="30681"/>
    <cellStyle name="Header2 3 3 2 3 3 3 4 2 2" xfId="40680"/>
    <cellStyle name="Header2 3 3 2 3 3 3 4 3" xfId="26339"/>
    <cellStyle name="Header2 3 3 2 3 3 3 4 4" xfId="35529"/>
    <cellStyle name="Header2 3 3 2 3 3 3 5" xfId="20799"/>
    <cellStyle name="Header2 3 3 2 3 3 3 5 2" xfId="32616"/>
    <cellStyle name="Header2 3 3 2 3 3 3 5 2 2" xfId="42615"/>
    <cellStyle name="Header2 3 3 2 3 3 3 5 3" xfId="37464"/>
    <cellStyle name="Header2 3 3 2 3 3 3 6" xfId="28105"/>
    <cellStyle name="Header2 3 3 2 3 3 3 6 2" xfId="38104"/>
    <cellStyle name="Header2 3 3 2 3 3 3 7" xfId="21541"/>
    <cellStyle name="Header2 3 3 2 3 3 4" xfId="15995"/>
    <cellStyle name="Header2 3 3 2 3 3 4 2" xfId="27812"/>
    <cellStyle name="Header2 3 3 2 3 3 4 2 2" xfId="37811"/>
    <cellStyle name="Header2 3 3 2 3 3 4 3" xfId="23873"/>
    <cellStyle name="Header2 3 3 2 3 3 4 4" xfId="32963"/>
    <cellStyle name="Header2 3 3 2 3 3 5" xfId="16562"/>
    <cellStyle name="Header2 3 3 2 3 3 5 2" xfId="28379"/>
    <cellStyle name="Header2 3 3 2 3 3 5 2 2" xfId="38378"/>
    <cellStyle name="Header2 3 3 2 3 3 5 3" xfId="24137"/>
    <cellStyle name="Header2 3 3 2 3 3 5 4" xfId="33227"/>
    <cellStyle name="Header2 3 3 2 3 3 6" xfId="16860"/>
    <cellStyle name="Header2 3 3 2 3 3 6 2" xfId="28677"/>
    <cellStyle name="Header2 3 3 2 3 3 6 2 2" xfId="38676"/>
    <cellStyle name="Header2 3 3 2 3 3 6 3" xfId="24435"/>
    <cellStyle name="Header2 3 3 2 3 3 6 4" xfId="33525"/>
    <cellStyle name="Header2 3 3 2 3 3 7" xfId="17222"/>
    <cellStyle name="Header2 3 3 2 3 3 7 2" xfId="29039"/>
    <cellStyle name="Header2 3 3 2 3 3 7 2 2" xfId="39038"/>
    <cellStyle name="Header2 3 3 2 3 3 7 3" xfId="24797"/>
    <cellStyle name="Header2 3 3 2 3 3 7 4" xfId="33887"/>
    <cellStyle name="Header2 3 3 2 3 3 8" xfId="17525"/>
    <cellStyle name="Header2 3 3 2 3 3 8 2" xfId="29342"/>
    <cellStyle name="Header2 3 3 2 3 3 8 2 2" xfId="39341"/>
    <cellStyle name="Header2 3 3 2 3 3 8 3" xfId="25100"/>
    <cellStyle name="Header2 3 3 2 3 3 8 4" xfId="34190"/>
    <cellStyle name="Header2 3 3 2 3 3 9" xfId="18410"/>
    <cellStyle name="Header2 3 3 2 3 3 9 2" xfId="30227"/>
    <cellStyle name="Header2 3 3 2 3 3 9 2 2" xfId="40226"/>
    <cellStyle name="Header2 3 3 2 3 3 9 3" xfId="25885"/>
    <cellStyle name="Header2 3 3 2 3 3 9 4" xfId="35075"/>
    <cellStyle name="Header2 3 3 2 3 4" xfId="7901"/>
    <cellStyle name="Header2 3 3 2 3 4 10" xfId="18707"/>
    <cellStyle name="Header2 3 3 2 3 4 10 2" xfId="30524"/>
    <cellStyle name="Header2 3 3 2 3 4 10 2 2" xfId="40523"/>
    <cellStyle name="Header2 3 3 2 3 4 10 3" xfId="26182"/>
    <cellStyle name="Header2 3 3 2 3 4 10 4" xfId="35372"/>
    <cellStyle name="Header2 3 3 2 3 4 11" xfId="20308"/>
    <cellStyle name="Header2 3 3 2 3 4 11 2" xfId="32125"/>
    <cellStyle name="Header2 3 3 2 3 4 11 2 2" xfId="42124"/>
    <cellStyle name="Header2 3 3 2 3 4 11 3" xfId="36973"/>
    <cellStyle name="Header2 3 3 2 3 4 12" xfId="23201"/>
    <cellStyle name="Header2 3 3 2 3 4 12 2" xfId="21993"/>
    <cellStyle name="Header2 3 3 2 3 4 13" xfId="22595"/>
    <cellStyle name="Header2 3 3 2 3 4 2" xfId="15708"/>
    <cellStyle name="Header2 3 3 2 3 4 2 2" xfId="19085"/>
    <cellStyle name="Header2 3 3 2 3 4 2 2 2" xfId="30902"/>
    <cellStyle name="Header2 3 3 2 3 4 2 2 2 2" xfId="40901"/>
    <cellStyle name="Header2 3 3 2 3 4 2 2 3" xfId="26560"/>
    <cellStyle name="Header2 3 3 2 3 4 2 2 4" xfId="35750"/>
    <cellStyle name="Header2 3 3 2 3 4 2 3" xfId="19691"/>
    <cellStyle name="Header2 3 3 2 3 4 2 3 2" xfId="31508"/>
    <cellStyle name="Header2 3 3 2 3 4 2 3 2 2" xfId="41507"/>
    <cellStyle name="Header2 3 3 2 3 4 2 3 3" xfId="27166"/>
    <cellStyle name="Header2 3 3 2 3 4 2 3 4" xfId="36356"/>
    <cellStyle name="Header2 3 3 2 3 4 2 4" xfId="17993"/>
    <cellStyle name="Header2 3 3 2 3 4 2 4 2" xfId="29810"/>
    <cellStyle name="Header2 3 3 2 3 4 2 4 2 2" xfId="39809"/>
    <cellStyle name="Header2 3 3 2 3 4 2 4 3" xfId="25568"/>
    <cellStyle name="Header2 3 3 2 3 4 2 4 4" xfId="34658"/>
    <cellStyle name="Header2 3 3 2 3 4 2 5" xfId="20500"/>
    <cellStyle name="Header2 3 3 2 3 4 2 5 2" xfId="32317"/>
    <cellStyle name="Header2 3 3 2 3 4 2 5 2 2" xfId="42316"/>
    <cellStyle name="Header2 3 3 2 3 4 2 5 3" xfId="37165"/>
    <cellStyle name="Header2 3 3 2 3 4 2 6" xfId="23586"/>
    <cellStyle name="Header2 3 3 2 3 4 2 6 2" xfId="21014"/>
    <cellStyle name="Header2 3 3 2 3 4 2 7" xfId="22832"/>
    <cellStyle name="Header2 3 3 2 3 4 2 7 2" xfId="21398"/>
    <cellStyle name="Header2 3 3 2 3 4 2 8" xfId="21660"/>
    <cellStyle name="Header2 3 3 2 3 4 3" xfId="16289"/>
    <cellStyle name="Header2 3 3 2 3 4 3 2" xfId="19383"/>
    <cellStyle name="Header2 3 3 2 3 4 3 2 2" xfId="31200"/>
    <cellStyle name="Header2 3 3 2 3 4 3 2 2 2" xfId="41199"/>
    <cellStyle name="Header2 3 3 2 3 4 3 2 3" xfId="26858"/>
    <cellStyle name="Header2 3 3 2 3 4 3 2 4" xfId="36048"/>
    <cellStyle name="Header2 3 3 2 3 4 3 3" xfId="19989"/>
    <cellStyle name="Header2 3 3 2 3 4 3 3 2" xfId="31806"/>
    <cellStyle name="Header2 3 3 2 3 4 3 3 2 2" xfId="41805"/>
    <cellStyle name="Header2 3 3 2 3 4 3 3 3" xfId="27464"/>
    <cellStyle name="Header2 3 3 2 3 4 3 3 4" xfId="36654"/>
    <cellStyle name="Header2 3 3 2 3 4 3 4" xfId="18090"/>
    <cellStyle name="Header2 3 3 2 3 4 3 4 2" xfId="29907"/>
    <cellStyle name="Header2 3 3 2 3 4 3 4 2 2" xfId="39906"/>
    <cellStyle name="Header2 3 3 2 3 4 3 4 3" xfId="25665"/>
    <cellStyle name="Header2 3 3 2 3 4 3 4 4" xfId="34755"/>
    <cellStyle name="Header2 3 3 2 3 4 3 5" xfId="20798"/>
    <cellStyle name="Header2 3 3 2 3 4 3 5 2" xfId="32615"/>
    <cellStyle name="Header2 3 3 2 3 4 3 5 2 2" xfId="42614"/>
    <cellStyle name="Header2 3 3 2 3 4 3 5 3" xfId="37463"/>
    <cellStyle name="Header2 3 3 2 3 4 3 6" xfId="28106"/>
    <cellStyle name="Header2 3 3 2 3 4 3 6 2" xfId="38105"/>
    <cellStyle name="Header2 3 3 2 3 4 3 7" xfId="22263"/>
    <cellStyle name="Header2 3 3 2 3 4 4" xfId="15996"/>
    <cellStyle name="Header2 3 3 2 3 4 4 2" xfId="27813"/>
    <cellStyle name="Header2 3 3 2 3 4 4 2 2" xfId="37812"/>
    <cellStyle name="Header2 3 3 2 3 4 4 3" xfId="23874"/>
    <cellStyle name="Header2 3 3 2 3 4 4 4" xfId="32964"/>
    <cellStyle name="Header2 3 3 2 3 4 5" xfId="16561"/>
    <cellStyle name="Header2 3 3 2 3 4 5 2" xfId="28378"/>
    <cellStyle name="Header2 3 3 2 3 4 5 2 2" xfId="38377"/>
    <cellStyle name="Header2 3 3 2 3 4 5 3" xfId="24136"/>
    <cellStyle name="Header2 3 3 2 3 4 5 4" xfId="33226"/>
    <cellStyle name="Header2 3 3 2 3 4 6" xfId="16859"/>
    <cellStyle name="Header2 3 3 2 3 4 6 2" xfId="28676"/>
    <cellStyle name="Header2 3 3 2 3 4 6 2 2" xfId="38675"/>
    <cellStyle name="Header2 3 3 2 3 4 6 3" xfId="24434"/>
    <cellStyle name="Header2 3 3 2 3 4 6 4" xfId="33524"/>
    <cellStyle name="Header2 3 3 2 3 4 7" xfId="17223"/>
    <cellStyle name="Header2 3 3 2 3 4 7 2" xfId="29040"/>
    <cellStyle name="Header2 3 3 2 3 4 7 2 2" xfId="39039"/>
    <cellStyle name="Header2 3 3 2 3 4 7 3" xfId="24798"/>
    <cellStyle name="Header2 3 3 2 3 4 7 4" xfId="33888"/>
    <cellStyle name="Header2 3 3 2 3 4 8" xfId="17526"/>
    <cellStyle name="Header2 3 3 2 3 4 8 2" xfId="29343"/>
    <cellStyle name="Header2 3 3 2 3 4 8 2 2" xfId="39342"/>
    <cellStyle name="Header2 3 3 2 3 4 8 3" xfId="25101"/>
    <cellStyle name="Header2 3 3 2 3 4 8 4" xfId="34191"/>
    <cellStyle name="Header2 3 3 2 3 4 9" xfId="18409"/>
    <cellStyle name="Header2 3 3 2 3 4 9 2" xfId="30226"/>
    <cellStyle name="Header2 3 3 2 3 4 9 2 2" xfId="40225"/>
    <cellStyle name="Header2 3 3 2 3 4 9 3" xfId="25884"/>
    <cellStyle name="Header2 3 3 2 3 4 9 4" xfId="35074"/>
    <cellStyle name="Header2 3 3 2 3 5" xfId="15705"/>
    <cellStyle name="Header2 3 3 2 3 5 2" xfId="19088"/>
    <cellStyle name="Header2 3 3 2 3 5 2 2" xfId="30905"/>
    <cellStyle name="Header2 3 3 2 3 5 2 2 2" xfId="40904"/>
    <cellStyle name="Header2 3 3 2 3 5 2 3" xfId="26563"/>
    <cellStyle name="Header2 3 3 2 3 5 2 4" xfId="35753"/>
    <cellStyle name="Header2 3 3 2 3 5 3" xfId="19694"/>
    <cellStyle name="Header2 3 3 2 3 5 3 2" xfId="31511"/>
    <cellStyle name="Header2 3 3 2 3 5 3 2 2" xfId="41510"/>
    <cellStyle name="Header2 3 3 2 3 5 3 3" xfId="27169"/>
    <cellStyle name="Header2 3 3 2 3 5 3 4" xfId="36359"/>
    <cellStyle name="Header2 3 3 2 3 5 4" xfId="17991"/>
    <cellStyle name="Header2 3 3 2 3 5 4 2" xfId="29808"/>
    <cellStyle name="Header2 3 3 2 3 5 4 2 2" xfId="39807"/>
    <cellStyle name="Header2 3 3 2 3 5 4 3" xfId="25566"/>
    <cellStyle name="Header2 3 3 2 3 5 4 4" xfId="34656"/>
    <cellStyle name="Header2 3 3 2 3 5 5" xfId="20503"/>
    <cellStyle name="Header2 3 3 2 3 5 5 2" xfId="32320"/>
    <cellStyle name="Header2 3 3 2 3 5 5 2 2" xfId="42319"/>
    <cellStyle name="Header2 3 3 2 3 5 5 3" xfId="37168"/>
    <cellStyle name="Header2 3 3 2 3 5 6" xfId="23583"/>
    <cellStyle name="Header2 3 3 2 3 5 6 2" xfId="21824"/>
    <cellStyle name="Header2 3 3 2 3 5 7" xfId="22988"/>
    <cellStyle name="Header2 3 3 2 3 5 7 2" xfId="21322"/>
    <cellStyle name="Header2 3 3 2 3 5 8" xfId="21658"/>
    <cellStyle name="Header2 3 3 2 3 6" xfId="16286"/>
    <cellStyle name="Header2 3 3 2 3 6 2" xfId="19386"/>
    <cellStyle name="Header2 3 3 2 3 6 2 2" xfId="31203"/>
    <cellStyle name="Header2 3 3 2 3 6 2 2 2" xfId="41202"/>
    <cellStyle name="Header2 3 3 2 3 6 2 3" xfId="26861"/>
    <cellStyle name="Header2 3 3 2 3 6 2 4" xfId="36051"/>
    <cellStyle name="Header2 3 3 2 3 6 3" xfId="19992"/>
    <cellStyle name="Header2 3 3 2 3 6 3 2" xfId="31809"/>
    <cellStyle name="Header2 3 3 2 3 6 3 2 2" xfId="41808"/>
    <cellStyle name="Header2 3 3 2 3 6 3 3" xfId="27467"/>
    <cellStyle name="Header2 3 3 2 3 6 3 4" xfId="36657"/>
    <cellStyle name="Header2 3 3 2 3 6 4" xfId="18863"/>
    <cellStyle name="Header2 3 3 2 3 6 4 2" xfId="30680"/>
    <cellStyle name="Header2 3 3 2 3 6 4 2 2" xfId="40679"/>
    <cellStyle name="Header2 3 3 2 3 6 4 3" xfId="26338"/>
    <cellStyle name="Header2 3 3 2 3 6 4 4" xfId="35528"/>
    <cellStyle name="Header2 3 3 2 3 6 5" xfId="20801"/>
    <cellStyle name="Header2 3 3 2 3 6 5 2" xfId="32618"/>
    <cellStyle name="Header2 3 3 2 3 6 5 2 2" xfId="42617"/>
    <cellStyle name="Header2 3 3 2 3 6 5 3" xfId="37466"/>
    <cellStyle name="Header2 3 3 2 3 6 6" xfId="28103"/>
    <cellStyle name="Header2 3 3 2 3 6 6 2" xfId="38102"/>
    <cellStyle name="Header2 3 3 2 3 6 7" xfId="21539"/>
    <cellStyle name="Header2 3 3 2 3 7" xfId="15993"/>
    <cellStyle name="Header2 3 3 2 3 7 2" xfId="27810"/>
    <cellStyle name="Header2 3 3 2 3 7 2 2" xfId="37809"/>
    <cellStyle name="Header2 3 3 2 3 7 3" xfId="23871"/>
    <cellStyle name="Header2 3 3 2 3 7 4" xfId="32961"/>
    <cellStyle name="Header2 3 3 2 3 8" xfId="16564"/>
    <cellStyle name="Header2 3 3 2 3 8 2" xfId="28381"/>
    <cellStyle name="Header2 3 3 2 3 8 2 2" xfId="38380"/>
    <cellStyle name="Header2 3 3 2 3 8 3" xfId="24139"/>
    <cellStyle name="Header2 3 3 2 3 8 4" xfId="33229"/>
    <cellStyle name="Header2 3 3 2 3 9" xfId="16862"/>
    <cellStyle name="Header2 3 3 2 3 9 2" xfId="28679"/>
    <cellStyle name="Header2 3 3 2 3 9 2 2" xfId="38678"/>
    <cellStyle name="Header2 3 3 2 3 9 3" xfId="24437"/>
    <cellStyle name="Header2 3 3 2 3 9 4" xfId="33527"/>
    <cellStyle name="Header2 3 3 2 4" xfId="7902"/>
    <cellStyle name="Header2 3 3 2 4 10" xfId="18706"/>
    <cellStyle name="Header2 3 3 2 4 10 2" xfId="30523"/>
    <cellStyle name="Header2 3 3 2 4 10 2 2" xfId="40522"/>
    <cellStyle name="Header2 3 3 2 4 10 3" xfId="26181"/>
    <cellStyle name="Header2 3 3 2 4 10 4" xfId="35371"/>
    <cellStyle name="Header2 3 3 2 4 11" xfId="18263"/>
    <cellStyle name="Header2 3 3 2 4 11 2" xfId="30080"/>
    <cellStyle name="Header2 3 3 2 4 11 2 2" xfId="40079"/>
    <cellStyle name="Header2 3 3 2 4 11 3" xfId="34928"/>
    <cellStyle name="Header2 3 3 2 4 12" xfId="23200"/>
    <cellStyle name="Header2 3 3 2 4 12 2" xfId="21994"/>
    <cellStyle name="Header2 3 3 2 4 13" xfId="22594"/>
    <cellStyle name="Header2 3 3 2 4 2" xfId="15709"/>
    <cellStyle name="Header2 3 3 2 4 2 2" xfId="19084"/>
    <cellStyle name="Header2 3 3 2 4 2 2 2" xfId="30901"/>
    <cellStyle name="Header2 3 3 2 4 2 2 2 2" xfId="40900"/>
    <cellStyle name="Header2 3 3 2 4 2 2 3" xfId="26559"/>
    <cellStyle name="Header2 3 3 2 4 2 2 4" xfId="35749"/>
    <cellStyle name="Header2 3 3 2 4 2 3" xfId="19690"/>
    <cellStyle name="Header2 3 3 2 4 2 3 2" xfId="31507"/>
    <cellStyle name="Header2 3 3 2 4 2 3 2 2" xfId="41506"/>
    <cellStyle name="Header2 3 3 2 4 2 3 3" xfId="27165"/>
    <cellStyle name="Header2 3 3 2 4 2 3 4" xfId="36355"/>
    <cellStyle name="Header2 3 3 2 4 2 4" xfId="17707"/>
    <cellStyle name="Header2 3 3 2 4 2 4 2" xfId="29524"/>
    <cellStyle name="Header2 3 3 2 4 2 4 2 2" xfId="39523"/>
    <cellStyle name="Header2 3 3 2 4 2 4 3" xfId="25282"/>
    <cellStyle name="Header2 3 3 2 4 2 4 4" xfId="34372"/>
    <cellStyle name="Header2 3 3 2 4 2 5" xfId="20499"/>
    <cellStyle name="Header2 3 3 2 4 2 5 2" xfId="32316"/>
    <cellStyle name="Header2 3 3 2 4 2 5 2 2" xfId="42315"/>
    <cellStyle name="Header2 3 3 2 4 2 5 3" xfId="37164"/>
    <cellStyle name="Header2 3 3 2 4 2 6" xfId="23587"/>
    <cellStyle name="Header2 3 3 2 4 2 6 2" xfId="21821"/>
    <cellStyle name="Header2 3 3 2 4 2 7" xfId="22985"/>
    <cellStyle name="Header2 3 3 2 4 2 7 2" xfId="21324"/>
    <cellStyle name="Header2 3 3 2 4 2 8" xfId="21661"/>
    <cellStyle name="Header2 3 3 2 4 3" xfId="16290"/>
    <cellStyle name="Header2 3 3 2 4 3 2" xfId="19382"/>
    <cellStyle name="Header2 3 3 2 4 3 2 2" xfId="31199"/>
    <cellStyle name="Header2 3 3 2 4 3 2 2 2" xfId="41198"/>
    <cellStyle name="Header2 3 3 2 4 3 2 3" xfId="26857"/>
    <cellStyle name="Header2 3 3 2 4 3 2 4" xfId="36047"/>
    <cellStyle name="Header2 3 3 2 4 3 3" xfId="19988"/>
    <cellStyle name="Header2 3 3 2 4 3 3 2" xfId="31805"/>
    <cellStyle name="Header2 3 3 2 4 3 3 2 2" xfId="41804"/>
    <cellStyle name="Header2 3 3 2 4 3 3 3" xfId="27463"/>
    <cellStyle name="Header2 3 3 2 4 3 3 4" xfId="36653"/>
    <cellStyle name="Header2 3 3 2 4 3 4" xfId="17915"/>
    <cellStyle name="Header2 3 3 2 4 3 4 2" xfId="29732"/>
    <cellStyle name="Header2 3 3 2 4 3 4 2 2" xfId="39731"/>
    <cellStyle name="Header2 3 3 2 4 3 4 3" xfId="25490"/>
    <cellStyle name="Header2 3 3 2 4 3 4 4" xfId="34580"/>
    <cellStyle name="Header2 3 3 2 4 3 5" xfId="20797"/>
    <cellStyle name="Header2 3 3 2 4 3 5 2" xfId="32614"/>
    <cellStyle name="Header2 3 3 2 4 3 5 2 2" xfId="42613"/>
    <cellStyle name="Header2 3 3 2 4 3 5 3" xfId="37462"/>
    <cellStyle name="Header2 3 3 2 4 3 6" xfId="28107"/>
    <cellStyle name="Header2 3 3 2 4 3 6 2" xfId="38106"/>
    <cellStyle name="Header2 3 3 2 4 3 7" xfId="21542"/>
    <cellStyle name="Header2 3 3 2 4 4" xfId="15997"/>
    <cellStyle name="Header2 3 3 2 4 4 2" xfId="27814"/>
    <cellStyle name="Header2 3 3 2 4 4 2 2" xfId="37813"/>
    <cellStyle name="Header2 3 3 2 4 4 3" xfId="23875"/>
    <cellStyle name="Header2 3 3 2 4 4 4" xfId="32965"/>
    <cellStyle name="Header2 3 3 2 4 5" xfId="16560"/>
    <cellStyle name="Header2 3 3 2 4 5 2" xfId="28377"/>
    <cellStyle name="Header2 3 3 2 4 5 2 2" xfId="38376"/>
    <cellStyle name="Header2 3 3 2 4 5 3" xfId="24135"/>
    <cellStyle name="Header2 3 3 2 4 5 4" xfId="33225"/>
    <cellStyle name="Header2 3 3 2 4 6" xfId="16858"/>
    <cellStyle name="Header2 3 3 2 4 6 2" xfId="28675"/>
    <cellStyle name="Header2 3 3 2 4 6 2 2" xfId="38674"/>
    <cellStyle name="Header2 3 3 2 4 6 3" xfId="24433"/>
    <cellStyle name="Header2 3 3 2 4 6 4" xfId="33523"/>
    <cellStyle name="Header2 3 3 2 4 7" xfId="17224"/>
    <cellStyle name="Header2 3 3 2 4 7 2" xfId="29041"/>
    <cellStyle name="Header2 3 3 2 4 7 2 2" xfId="39040"/>
    <cellStyle name="Header2 3 3 2 4 7 3" xfId="24799"/>
    <cellStyle name="Header2 3 3 2 4 7 4" xfId="33889"/>
    <cellStyle name="Header2 3 3 2 4 8" xfId="17527"/>
    <cellStyle name="Header2 3 3 2 4 8 2" xfId="29344"/>
    <cellStyle name="Header2 3 3 2 4 8 2 2" xfId="39343"/>
    <cellStyle name="Header2 3 3 2 4 8 3" xfId="25102"/>
    <cellStyle name="Header2 3 3 2 4 8 4" xfId="34192"/>
    <cellStyle name="Header2 3 3 2 4 9" xfId="18408"/>
    <cellStyle name="Header2 3 3 2 4 9 2" xfId="30225"/>
    <cellStyle name="Header2 3 3 2 4 9 2 2" xfId="40224"/>
    <cellStyle name="Header2 3 3 2 4 9 3" xfId="25883"/>
    <cellStyle name="Header2 3 3 2 4 9 4" xfId="35073"/>
    <cellStyle name="Header2 3 3 2 5" xfId="15700"/>
    <cellStyle name="Header2 3 3 2 5 2" xfId="19093"/>
    <cellStyle name="Header2 3 3 2 5 2 2" xfId="30910"/>
    <cellStyle name="Header2 3 3 2 5 2 2 2" xfId="40909"/>
    <cellStyle name="Header2 3 3 2 5 2 3" xfId="26568"/>
    <cellStyle name="Header2 3 3 2 5 2 4" xfId="35758"/>
    <cellStyle name="Header2 3 3 2 5 3" xfId="19699"/>
    <cellStyle name="Header2 3 3 2 5 3 2" xfId="31516"/>
    <cellStyle name="Header2 3 3 2 5 3 2 2" xfId="41515"/>
    <cellStyle name="Header2 3 3 2 5 3 3" xfId="27174"/>
    <cellStyle name="Header2 3 3 2 5 3 4" xfId="36364"/>
    <cellStyle name="Header2 3 3 2 5 4" xfId="17706"/>
    <cellStyle name="Header2 3 3 2 5 4 2" xfId="29523"/>
    <cellStyle name="Header2 3 3 2 5 4 2 2" xfId="39522"/>
    <cellStyle name="Header2 3 3 2 5 4 3" xfId="25281"/>
    <cellStyle name="Header2 3 3 2 5 4 4" xfId="34371"/>
    <cellStyle name="Header2 3 3 2 5 5" xfId="20508"/>
    <cellStyle name="Header2 3 3 2 5 5 2" xfId="32325"/>
    <cellStyle name="Header2 3 3 2 5 5 2 2" xfId="42324"/>
    <cellStyle name="Header2 3 3 2 5 5 3" xfId="37173"/>
    <cellStyle name="Header2 3 3 2 5 6" xfId="23578"/>
    <cellStyle name="Header2 3 3 2 5 6 2" xfId="21828"/>
    <cellStyle name="Header2 3 3 2 5 7" xfId="22992"/>
    <cellStyle name="Header2 3 3 2 5 7 2" xfId="22109"/>
    <cellStyle name="Header2 3 3 2 5 8" xfId="21654"/>
    <cellStyle name="Header2 3 3 2 6" xfId="16281"/>
    <cellStyle name="Header2 3 3 2 6 2" xfId="19527"/>
    <cellStyle name="Header2 3 3 2 6 2 2" xfId="31344"/>
    <cellStyle name="Header2 3 3 2 6 2 2 2" xfId="41343"/>
    <cellStyle name="Header2 3 3 2 6 2 3" xfId="27002"/>
    <cellStyle name="Header2 3 3 2 6 2 4" xfId="36192"/>
    <cellStyle name="Header2 3 3 2 6 3" xfId="20133"/>
    <cellStyle name="Header2 3 3 2 6 3 2" xfId="31950"/>
    <cellStyle name="Header2 3 3 2 6 3 2 2" xfId="41949"/>
    <cellStyle name="Header2 3 3 2 6 3 3" xfId="27608"/>
    <cellStyle name="Header2 3 3 2 6 3 4" xfId="36798"/>
    <cellStyle name="Header2 3 3 2 6 4" xfId="18039"/>
    <cellStyle name="Header2 3 3 2 6 4 2" xfId="29856"/>
    <cellStyle name="Header2 3 3 2 6 4 2 2" xfId="39855"/>
    <cellStyle name="Header2 3 3 2 6 4 3" xfId="25614"/>
    <cellStyle name="Header2 3 3 2 6 4 4" xfId="34704"/>
    <cellStyle name="Header2 3 3 2 6 5" xfId="20942"/>
    <cellStyle name="Header2 3 3 2 6 5 2" xfId="32759"/>
    <cellStyle name="Header2 3 3 2 6 5 2 2" xfId="42758"/>
    <cellStyle name="Header2 3 3 2 6 5 3" xfId="37607"/>
    <cellStyle name="Header2 3 3 2 6 6" xfId="28098"/>
    <cellStyle name="Header2 3 3 2 6 6 2" xfId="38097"/>
    <cellStyle name="Header2 3 3 2 6 7" xfId="21443"/>
    <cellStyle name="Header2 3 3 2 7" xfId="15869"/>
    <cellStyle name="Header2 3 3 2 7 2" xfId="27686"/>
    <cellStyle name="Header2 3 3 2 7 2 2" xfId="37685"/>
    <cellStyle name="Header2 3 3 2 7 3" xfId="23747"/>
    <cellStyle name="Header2 3 3 2 7 4" xfId="32837"/>
    <cellStyle name="Header2 3 3 2 8" xfId="16569"/>
    <cellStyle name="Header2 3 3 2 8 2" xfId="28386"/>
    <cellStyle name="Header2 3 3 2 8 2 2" xfId="38385"/>
    <cellStyle name="Header2 3 3 2 8 3" xfId="24144"/>
    <cellStyle name="Header2 3 3 2 8 4" xfId="33234"/>
    <cellStyle name="Header2 3 3 2 9" xfId="17003"/>
    <cellStyle name="Header2 3 3 2 9 2" xfId="28820"/>
    <cellStyle name="Header2 3 3 2 9 2 2" xfId="38819"/>
    <cellStyle name="Header2 3 3 2 9 3" xfId="24578"/>
    <cellStyle name="Header2 3 3 2 9 4" xfId="33668"/>
    <cellStyle name="Header2 3 3 3" xfId="7903"/>
    <cellStyle name="Header2 3 3 3 10" xfId="17225"/>
    <cellStyle name="Header2 3 3 3 10 2" xfId="29042"/>
    <cellStyle name="Header2 3 3 3 10 2 2" xfId="39041"/>
    <cellStyle name="Header2 3 3 3 10 3" xfId="24800"/>
    <cellStyle name="Header2 3 3 3 10 4" xfId="33890"/>
    <cellStyle name="Header2 3 3 3 11" xfId="17528"/>
    <cellStyle name="Header2 3 3 3 11 2" xfId="29345"/>
    <cellStyle name="Header2 3 3 3 11 2 2" xfId="39344"/>
    <cellStyle name="Header2 3 3 3 11 3" xfId="25103"/>
    <cellStyle name="Header2 3 3 3 11 4" xfId="34193"/>
    <cellStyle name="Header2 3 3 3 12" xfId="18407"/>
    <cellStyle name="Header2 3 3 3 12 2" xfId="30224"/>
    <cellStyle name="Header2 3 3 3 12 2 2" xfId="40223"/>
    <cellStyle name="Header2 3 3 3 12 3" xfId="25882"/>
    <cellStyle name="Header2 3 3 3 12 4" xfId="35072"/>
    <cellStyle name="Header2 3 3 3 13" xfId="18705"/>
    <cellStyle name="Header2 3 3 3 13 2" xfId="30522"/>
    <cellStyle name="Header2 3 3 3 13 2 2" xfId="40521"/>
    <cellStyle name="Header2 3 3 3 13 3" xfId="26180"/>
    <cellStyle name="Header2 3 3 3 13 4" xfId="35370"/>
    <cellStyle name="Header2 3 3 3 14" xfId="18264"/>
    <cellStyle name="Header2 3 3 3 14 2" xfId="30081"/>
    <cellStyle name="Header2 3 3 3 14 2 2" xfId="40080"/>
    <cellStyle name="Header2 3 3 3 14 3" xfId="34929"/>
    <cellStyle name="Header2 3 3 3 15" xfId="23199"/>
    <cellStyle name="Header2 3 3 3 15 2" xfId="21995"/>
    <cellStyle name="Header2 3 3 3 16" xfId="22593"/>
    <cellStyle name="Header2 3 3 3 2" xfId="7904"/>
    <cellStyle name="Header2 3 3 3 2 10" xfId="18704"/>
    <cellStyle name="Header2 3 3 3 2 10 2" xfId="30521"/>
    <cellStyle name="Header2 3 3 3 2 10 2 2" xfId="40520"/>
    <cellStyle name="Header2 3 3 3 2 10 3" xfId="26179"/>
    <cellStyle name="Header2 3 3 3 2 10 4" xfId="35369"/>
    <cellStyle name="Header2 3 3 3 2 11" xfId="20195"/>
    <cellStyle name="Header2 3 3 3 2 11 2" xfId="32012"/>
    <cellStyle name="Header2 3 3 3 2 11 2 2" xfId="42011"/>
    <cellStyle name="Header2 3 3 3 2 11 3" xfId="36860"/>
    <cellStyle name="Header2 3 3 3 2 12" xfId="23198"/>
    <cellStyle name="Header2 3 3 3 2 12 2" xfId="21996"/>
    <cellStyle name="Header2 3 3 3 2 13" xfId="22592"/>
    <cellStyle name="Header2 3 3 3 2 2" xfId="15711"/>
    <cellStyle name="Header2 3 3 3 2 2 2" xfId="19082"/>
    <cellStyle name="Header2 3 3 3 2 2 2 2" xfId="30899"/>
    <cellStyle name="Header2 3 3 3 2 2 2 2 2" xfId="40898"/>
    <cellStyle name="Header2 3 3 3 2 2 2 3" xfId="26557"/>
    <cellStyle name="Header2 3 3 3 2 2 2 4" xfId="35747"/>
    <cellStyle name="Header2 3 3 3 2 2 3" xfId="19688"/>
    <cellStyle name="Header2 3 3 3 2 2 3 2" xfId="31505"/>
    <cellStyle name="Header2 3 3 3 2 2 3 2 2" xfId="41504"/>
    <cellStyle name="Header2 3 3 3 2 2 3 3" xfId="27163"/>
    <cellStyle name="Header2 3 3 3 2 2 3 4" xfId="36353"/>
    <cellStyle name="Header2 3 3 3 2 2 4" xfId="17995"/>
    <cellStyle name="Header2 3 3 3 2 2 4 2" xfId="29812"/>
    <cellStyle name="Header2 3 3 3 2 2 4 2 2" xfId="39811"/>
    <cellStyle name="Header2 3 3 3 2 2 4 3" xfId="25570"/>
    <cellStyle name="Header2 3 3 3 2 2 4 4" xfId="34660"/>
    <cellStyle name="Header2 3 3 3 2 2 5" xfId="20497"/>
    <cellStyle name="Header2 3 3 3 2 2 5 2" xfId="32314"/>
    <cellStyle name="Header2 3 3 3 2 2 5 2 2" xfId="42313"/>
    <cellStyle name="Header2 3 3 3 2 2 5 3" xfId="37162"/>
    <cellStyle name="Header2 3 3 3 2 2 6" xfId="23589"/>
    <cellStyle name="Header2 3 3 3 2 2 6 2" xfId="21820"/>
    <cellStyle name="Header2 3 3 3 2 2 7" xfId="22984"/>
    <cellStyle name="Header2 3 3 3 2 2 7 2" xfId="22112"/>
    <cellStyle name="Header2 3 3 3 2 2 8" xfId="21662"/>
    <cellStyle name="Header2 3 3 3 2 3" xfId="16292"/>
    <cellStyle name="Header2 3 3 3 2 3 2" xfId="19380"/>
    <cellStyle name="Header2 3 3 3 2 3 2 2" xfId="31197"/>
    <cellStyle name="Header2 3 3 3 2 3 2 2 2" xfId="41196"/>
    <cellStyle name="Header2 3 3 3 2 3 2 3" xfId="26855"/>
    <cellStyle name="Header2 3 3 3 2 3 2 4" xfId="36045"/>
    <cellStyle name="Header2 3 3 3 2 3 3" xfId="19986"/>
    <cellStyle name="Header2 3 3 3 2 3 3 2" xfId="31803"/>
    <cellStyle name="Header2 3 3 3 2 3 3 2 2" xfId="41802"/>
    <cellStyle name="Header2 3 3 3 2 3 3 3" xfId="27461"/>
    <cellStyle name="Header2 3 3 3 2 3 3 4" xfId="36651"/>
    <cellStyle name="Header2 3 3 3 2 3 4" xfId="18865"/>
    <cellStyle name="Header2 3 3 3 2 3 4 2" xfId="30682"/>
    <cellStyle name="Header2 3 3 3 2 3 4 2 2" xfId="40681"/>
    <cellStyle name="Header2 3 3 3 2 3 4 3" xfId="26340"/>
    <cellStyle name="Header2 3 3 3 2 3 4 4" xfId="35530"/>
    <cellStyle name="Header2 3 3 3 2 3 5" xfId="20795"/>
    <cellStyle name="Header2 3 3 3 2 3 5 2" xfId="32612"/>
    <cellStyle name="Header2 3 3 3 2 3 5 2 2" xfId="42611"/>
    <cellStyle name="Header2 3 3 3 2 3 5 3" xfId="37460"/>
    <cellStyle name="Header2 3 3 3 2 3 6" xfId="28109"/>
    <cellStyle name="Header2 3 3 3 2 3 6 2" xfId="38108"/>
    <cellStyle name="Header2 3 3 3 2 3 7" xfId="21544"/>
    <cellStyle name="Header2 3 3 3 2 4" xfId="15998"/>
    <cellStyle name="Header2 3 3 3 2 4 2" xfId="27815"/>
    <cellStyle name="Header2 3 3 3 2 4 2 2" xfId="37814"/>
    <cellStyle name="Header2 3 3 3 2 4 3" xfId="23876"/>
    <cellStyle name="Header2 3 3 3 2 4 4" xfId="32966"/>
    <cellStyle name="Header2 3 3 3 2 5" xfId="16558"/>
    <cellStyle name="Header2 3 3 3 2 5 2" xfId="28375"/>
    <cellStyle name="Header2 3 3 3 2 5 2 2" xfId="38374"/>
    <cellStyle name="Header2 3 3 3 2 5 3" xfId="24133"/>
    <cellStyle name="Header2 3 3 3 2 5 4" xfId="33223"/>
    <cellStyle name="Header2 3 3 3 2 6" xfId="16856"/>
    <cellStyle name="Header2 3 3 3 2 6 2" xfId="28673"/>
    <cellStyle name="Header2 3 3 3 2 6 2 2" xfId="38672"/>
    <cellStyle name="Header2 3 3 3 2 6 3" xfId="24431"/>
    <cellStyle name="Header2 3 3 3 2 6 4" xfId="33521"/>
    <cellStyle name="Header2 3 3 3 2 7" xfId="17226"/>
    <cellStyle name="Header2 3 3 3 2 7 2" xfId="29043"/>
    <cellStyle name="Header2 3 3 3 2 7 2 2" xfId="39042"/>
    <cellStyle name="Header2 3 3 3 2 7 3" xfId="24801"/>
    <cellStyle name="Header2 3 3 3 2 7 4" xfId="33891"/>
    <cellStyle name="Header2 3 3 3 2 8" xfId="17529"/>
    <cellStyle name="Header2 3 3 3 2 8 2" xfId="29346"/>
    <cellStyle name="Header2 3 3 3 2 8 2 2" xfId="39345"/>
    <cellStyle name="Header2 3 3 3 2 8 3" xfId="25104"/>
    <cellStyle name="Header2 3 3 3 2 8 4" xfId="34194"/>
    <cellStyle name="Header2 3 3 3 2 9" xfId="18406"/>
    <cellStyle name="Header2 3 3 3 2 9 2" xfId="30223"/>
    <cellStyle name="Header2 3 3 3 2 9 2 2" xfId="40222"/>
    <cellStyle name="Header2 3 3 3 2 9 3" xfId="25881"/>
    <cellStyle name="Header2 3 3 3 2 9 4" xfId="35071"/>
    <cellStyle name="Header2 3 3 3 3" xfId="7905"/>
    <cellStyle name="Header2 3 3 3 3 10" xfId="18703"/>
    <cellStyle name="Header2 3 3 3 3 10 2" xfId="30520"/>
    <cellStyle name="Header2 3 3 3 3 10 2 2" xfId="40519"/>
    <cellStyle name="Header2 3 3 3 3 10 3" xfId="26178"/>
    <cellStyle name="Header2 3 3 3 3 10 4" xfId="35368"/>
    <cellStyle name="Header2 3 3 3 3 11" xfId="20295"/>
    <cellStyle name="Header2 3 3 3 3 11 2" xfId="32112"/>
    <cellStyle name="Header2 3 3 3 3 11 2 2" xfId="42111"/>
    <cellStyle name="Header2 3 3 3 3 11 3" xfId="36960"/>
    <cellStyle name="Header2 3 3 3 3 12" xfId="23197"/>
    <cellStyle name="Header2 3 3 3 3 12 2" xfId="21228"/>
    <cellStyle name="Header2 3 3 3 3 13" xfId="22591"/>
    <cellStyle name="Header2 3 3 3 3 2" xfId="15712"/>
    <cellStyle name="Header2 3 3 3 3 2 2" xfId="19081"/>
    <cellStyle name="Header2 3 3 3 3 2 2 2" xfId="30898"/>
    <cellStyle name="Header2 3 3 3 3 2 2 2 2" xfId="40897"/>
    <cellStyle name="Header2 3 3 3 3 2 2 3" xfId="26556"/>
    <cellStyle name="Header2 3 3 3 3 2 2 4" xfId="35746"/>
    <cellStyle name="Header2 3 3 3 3 2 3" xfId="19687"/>
    <cellStyle name="Header2 3 3 3 3 2 3 2" xfId="31504"/>
    <cellStyle name="Header2 3 3 3 3 2 3 2 2" xfId="41503"/>
    <cellStyle name="Header2 3 3 3 3 2 3 3" xfId="27162"/>
    <cellStyle name="Header2 3 3 3 3 2 3 4" xfId="36352"/>
    <cellStyle name="Header2 3 3 3 3 2 4" xfId="17996"/>
    <cellStyle name="Header2 3 3 3 3 2 4 2" xfId="29813"/>
    <cellStyle name="Header2 3 3 3 3 2 4 2 2" xfId="39812"/>
    <cellStyle name="Header2 3 3 3 3 2 4 3" xfId="25571"/>
    <cellStyle name="Header2 3 3 3 3 2 4 4" xfId="34661"/>
    <cellStyle name="Header2 3 3 3 3 2 5" xfId="20496"/>
    <cellStyle name="Header2 3 3 3 3 2 5 2" xfId="32313"/>
    <cellStyle name="Header2 3 3 3 3 2 5 2 2" xfId="42312"/>
    <cellStyle name="Header2 3 3 3 3 2 5 3" xfId="37161"/>
    <cellStyle name="Header2 3 3 3 3 2 6" xfId="23590"/>
    <cellStyle name="Header2 3 3 3 3 2 6 2" xfId="21012"/>
    <cellStyle name="Header2 3 3 3 3 2 7" xfId="22830"/>
    <cellStyle name="Header2 3 3 3 3 2 7 2" xfId="22191"/>
    <cellStyle name="Header2 3 3 3 3 2 8" xfId="21663"/>
    <cellStyle name="Header2 3 3 3 3 3" xfId="16293"/>
    <cellStyle name="Header2 3 3 3 3 3 2" xfId="19379"/>
    <cellStyle name="Header2 3 3 3 3 3 2 2" xfId="31196"/>
    <cellStyle name="Header2 3 3 3 3 3 2 2 2" xfId="41195"/>
    <cellStyle name="Header2 3 3 3 3 3 2 3" xfId="26854"/>
    <cellStyle name="Header2 3 3 3 3 3 2 4" xfId="36044"/>
    <cellStyle name="Header2 3 3 3 3 3 3" xfId="19985"/>
    <cellStyle name="Header2 3 3 3 3 3 3 2" xfId="31802"/>
    <cellStyle name="Header2 3 3 3 3 3 3 2 2" xfId="41801"/>
    <cellStyle name="Header2 3 3 3 3 3 3 3" xfId="27460"/>
    <cellStyle name="Header2 3 3 3 3 3 3 4" xfId="36650"/>
    <cellStyle name="Header2 3 3 3 3 3 4" xfId="17783"/>
    <cellStyle name="Header2 3 3 3 3 3 4 2" xfId="29600"/>
    <cellStyle name="Header2 3 3 3 3 3 4 2 2" xfId="39599"/>
    <cellStyle name="Header2 3 3 3 3 3 4 3" xfId="25358"/>
    <cellStyle name="Header2 3 3 3 3 3 4 4" xfId="34448"/>
    <cellStyle name="Header2 3 3 3 3 3 5" xfId="20794"/>
    <cellStyle name="Header2 3 3 3 3 3 5 2" xfId="32611"/>
    <cellStyle name="Header2 3 3 3 3 3 5 2 2" xfId="42610"/>
    <cellStyle name="Header2 3 3 3 3 3 5 3" xfId="37459"/>
    <cellStyle name="Header2 3 3 3 3 3 6" xfId="28110"/>
    <cellStyle name="Header2 3 3 3 3 3 6 2" xfId="38109"/>
    <cellStyle name="Header2 3 3 3 3 3 7" xfId="22264"/>
    <cellStyle name="Header2 3 3 3 3 4" xfId="15999"/>
    <cellStyle name="Header2 3 3 3 3 4 2" xfId="27816"/>
    <cellStyle name="Header2 3 3 3 3 4 2 2" xfId="37815"/>
    <cellStyle name="Header2 3 3 3 3 4 3" xfId="23877"/>
    <cellStyle name="Header2 3 3 3 3 4 4" xfId="32967"/>
    <cellStyle name="Header2 3 3 3 3 5" xfId="16557"/>
    <cellStyle name="Header2 3 3 3 3 5 2" xfId="28374"/>
    <cellStyle name="Header2 3 3 3 3 5 2 2" xfId="38373"/>
    <cellStyle name="Header2 3 3 3 3 5 3" xfId="24132"/>
    <cellStyle name="Header2 3 3 3 3 5 4" xfId="33222"/>
    <cellStyle name="Header2 3 3 3 3 6" xfId="16855"/>
    <cellStyle name="Header2 3 3 3 3 6 2" xfId="28672"/>
    <cellStyle name="Header2 3 3 3 3 6 2 2" xfId="38671"/>
    <cellStyle name="Header2 3 3 3 3 6 3" xfId="24430"/>
    <cellStyle name="Header2 3 3 3 3 6 4" xfId="33520"/>
    <cellStyle name="Header2 3 3 3 3 7" xfId="17227"/>
    <cellStyle name="Header2 3 3 3 3 7 2" xfId="29044"/>
    <cellStyle name="Header2 3 3 3 3 7 2 2" xfId="39043"/>
    <cellStyle name="Header2 3 3 3 3 7 3" xfId="24802"/>
    <cellStyle name="Header2 3 3 3 3 7 4" xfId="33892"/>
    <cellStyle name="Header2 3 3 3 3 8" xfId="17530"/>
    <cellStyle name="Header2 3 3 3 3 8 2" xfId="29347"/>
    <cellStyle name="Header2 3 3 3 3 8 2 2" xfId="39346"/>
    <cellStyle name="Header2 3 3 3 3 8 3" xfId="25105"/>
    <cellStyle name="Header2 3 3 3 3 8 4" xfId="34195"/>
    <cellStyle name="Header2 3 3 3 3 9" xfId="18405"/>
    <cellStyle name="Header2 3 3 3 3 9 2" xfId="30222"/>
    <cellStyle name="Header2 3 3 3 3 9 2 2" xfId="40221"/>
    <cellStyle name="Header2 3 3 3 3 9 3" xfId="25880"/>
    <cellStyle name="Header2 3 3 3 3 9 4" xfId="35070"/>
    <cellStyle name="Header2 3 3 3 4" xfId="7906"/>
    <cellStyle name="Header2 3 3 3 4 10" xfId="18702"/>
    <cellStyle name="Header2 3 3 3 4 10 2" xfId="30519"/>
    <cellStyle name="Header2 3 3 3 4 10 2 2" xfId="40518"/>
    <cellStyle name="Header2 3 3 3 4 10 3" xfId="26177"/>
    <cellStyle name="Header2 3 3 3 4 10 4" xfId="35367"/>
    <cellStyle name="Header2 3 3 3 4 11" xfId="18265"/>
    <cellStyle name="Header2 3 3 3 4 11 2" xfId="30082"/>
    <cellStyle name="Header2 3 3 3 4 11 2 2" xfId="40081"/>
    <cellStyle name="Header2 3 3 3 4 11 3" xfId="34930"/>
    <cellStyle name="Header2 3 3 3 4 12" xfId="23196"/>
    <cellStyle name="Header2 3 3 3 4 12 2" xfId="21229"/>
    <cellStyle name="Header2 3 3 3 4 13" xfId="22590"/>
    <cellStyle name="Header2 3 3 3 4 2" xfId="15713"/>
    <cellStyle name="Header2 3 3 3 4 2 2" xfId="19080"/>
    <cellStyle name="Header2 3 3 3 4 2 2 2" xfId="30897"/>
    <cellStyle name="Header2 3 3 3 4 2 2 2 2" xfId="40896"/>
    <cellStyle name="Header2 3 3 3 4 2 2 3" xfId="26555"/>
    <cellStyle name="Header2 3 3 3 4 2 2 4" xfId="35745"/>
    <cellStyle name="Header2 3 3 3 4 2 3" xfId="19686"/>
    <cellStyle name="Header2 3 3 3 4 2 3 2" xfId="31503"/>
    <cellStyle name="Header2 3 3 3 4 2 3 2 2" xfId="41502"/>
    <cellStyle name="Header2 3 3 3 4 2 3 3" xfId="27161"/>
    <cellStyle name="Header2 3 3 3 4 2 3 4" xfId="36351"/>
    <cellStyle name="Header2 3 3 3 4 2 4" xfId="17997"/>
    <cellStyle name="Header2 3 3 3 4 2 4 2" xfId="29814"/>
    <cellStyle name="Header2 3 3 3 4 2 4 2 2" xfId="39813"/>
    <cellStyle name="Header2 3 3 3 4 2 4 3" xfId="25572"/>
    <cellStyle name="Header2 3 3 3 4 2 4 4" xfId="34662"/>
    <cellStyle name="Header2 3 3 3 4 2 5" xfId="20495"/>
    <cellStyle name="Header2 3 3 3 4 2 5 2" xfId="32312"/>
    <cellStyle name="Header2 3 3 3 4 2 5 2 2" xfId="42311"/>
    <cellStyle name="Header2 3 3 3 4 2 5 3" xfId="37160"/>
    <cellStyle name="Header2 3 3 3 4 2 6" xfId="23591"/>
    <cellStyle name="Header2 3 3 3 4 2 6 2" xfId="21011"/>
    <cellStyle name="Header2 3 3 3 4 2 7" xfId="22829"/>
    <cellStyle name="Header2 3 3 3 4 2 7 2" xfId="21400"/>
    <cellStyle name="Header2 3 3 3 4 2 8" xfId="21664"/>
    <cellStyle name="Header2 3 3 3 4 3" xfId="16294"/>
    <cellStyle name="Header2 3 3 3 4 3 2" xfId="19378"/>
    <cellStyle name="Header2 3 3 3 4 3 2 2" xfId="31195"/>
    <cellStyle name="Header2 3 3 3 4 3 2 2 2" xfId="41194"/>
    <cellStyle name="Header2 3 3 3 4 3 2 3" xfId="26853"/>
    <cellStyle name="Header2 3 3 3 4 3 2 4" xfId="36043"/>
    <cellStyle name="Header2 3 3 3 4 3 3" xfId="19984"/>
    <cellStyle name="Header2 3 3 3 4 3 3 2" xfId="31801"/>
    <cellStyle name="Header2 3 3 3 4 3 3 2 2" xfId="41800"/>
    <cellStyle name="Header2 3 3 3 4 3 3 3" xfId="27459"/>
    <cellStyle name="Header2 3 3 3 4 3 3 4" xfId="36649"/>
    <cellStyle name="Header2 3 3 3 4 3 4" xfId="17784"/>
    <cellStyle name="Header2 3 3 3 4 3 4 2" xfId="29601"/>
    <cellStyle name="Header2 3 3 3 4 3 4 2 2" xfId="39600"/>
    <cellStyle name="Header2 3 3 3 4 3 4 3" xfId="25359"/>
    <cellStyle name="Header2 3 3 3 4 3 4 4" xfId="34449"/>
    <cellStyle name="Header2 3 3 3 4 3 5" xfId="20793"/>
    <cellStyle name="Header2 3 3 3 4 3 5 2" xfId="32610"/>
    <cellStyle name="Header2 3 3 3 4 3 5 2 2" xfId="42609"/>
    <cellStyle name="Header2 3 3 3 4 3 5 3" xfId="37458"/>
    <cellStyle name="Header2 3 3 3 4 3 6" xfId="28111"/>
    <cellStyle name="Header2 3 3 3 4 3 6 2" xfId="38110"/>
    <cellStyle name="Header2 3 3 3 4 3 7" xfId="21545"/>
    <cellStyle name="Header2 3 3 3 4 4" xfId="16000"/>
    <cellStyle name="Header2 3 3 3 4 4 2" xfId="27817"/>
    <cellStyle name="Header2 3 3 3 4 4 2 2" xfId="37816"/>
    <cellStyle name="Header2 3 3 3 4 4 3" xfId="23878"/>
    <cellStyle name="Header2 3 3 3 4 4 4" xfId="32968"/>
    <cellStyle name="Header2 3 3 3 4 5" xfId="16556"/>
    <cellStyle name="Header2 3 3 3 4 5 2" xfId="28373"/>
    <cellStyle name="Header2 3 3 3 4 5 2 2" xfId="38372"/>
    <cellStyle name="Header2 3 3 3 4 5 3" xfId="24131"/>
    <cellStyle name="Header2 3 3 3 4 5 4" xfId="33221"/>
    <cellStyle name="Header2 3 3 3 4 6" xfId="16854"/>
    <cellStyle name="Header2 3 3 3 4 6 2" xfId="28671"/>
    <cellStyle name="Header2 3 3 3 4 6 2 2" xfId="38670"/>
    <cellStyle name="Header2 3 3 3 4 6 3" xfId="24429"/>
    <cellStyle name="Header2 3 3 3 4 6 4" xfId="33519"/>
    <cellStyle name="Header2 3 3 3 4 7" xfId="17228"/>
    <cellStyle name="Header2 3 3 3 4 7 2" xfId="29045"/>
    <cellStyle name="Header2 3 3 3 4 7 2 2" xfId="39044"/>
    <cellStyle name="Header2 3 3 3 4 7 3" xfId="24803"/>
    <cellStyle name="Header2 3 3 3 4 7 4" xfId="33893"/>
    <cellStyle name="Header2 3 3 3 4 8" xfId="17531"/>
    <cellStyle name="Header2 3 3 3 4 8 2" xfId="29348"/>
    <cellStyle name="Header2 3 3 3 4 8 2 2" xfId="39347"/>
    <cellStyle name="Header2 3 3 3 4 8 3" xfId="25106"/>
    <cellStyle name="Header2 3 3 3 4 8 4" xfId="34196"/>
    <cellStyle name="Header2 3 3 3 4 9" xfId="18404"/>
    <cellStyle name="Header2 3 3 3 4 9 2" xfId="30221"/>
    <cellStyle name="Header2 3 3 3 4 9 2 2" xfId="40220"/>
    <cellStyle name="Header2 3 3 3 4 9 3" xfId="25879"/>
    <cellStyle name="Header2 3 3 3 4 9 4" xfId="35069"/>
    <cellStyle name="Header2 3 3 3 5" xfId="15710"/>
    <cellStyle name="Header2 3 3 3 5 2" xfId="19083"/>
    <cellStyle name="Header2 3 3 3 5 2 2" xfId="30900"/>
    <cellStyle name="Header2 3 3 3 5 2 2 2" xfId="40899"/>
    <cellStyle name="Header2 3 3 3 5 2 3" xfId="26558"/>
    <cellStyle name="Header2 3 3 3 5 2 4" xfId="35748"/>
    <cellStyle name="Header2 3 3 3 5 3" xfId="19689"/>
    <cellStyle name="Header2 3 3 3 5 3 2" xfId="31506"/>
    <cellStyle name="Header2 3 3 3 5 3 2 2" xfId="41505"/>
    <cellStyle name="Header2 3 3 3 5 3 3" xfId="27164"/>
    <cellStyle name="Header2 3 3 3 5 3 4" xfId="36354"/>
    <cellStyle name="Header2 3 3 3 5 4" xfId="17994"/>
    <cellStyle name="Header2 3 3 3 5 4 2" xfId="29811"/>
    <cellStyle name="Header2 3 3 3 5 4 2 2" xfId="39810"/>
    <cellStyle name="Header2 3 3 3 5 4 3" xfId="25569"/>
    <cellStyle name="Header2 3 3 3 5 4 4" xfId="34659"/>
    <cellStyle name="Header2 3 3 3 5 5" xfId="20498"/>
    <cellStyle name="Header2 3 3 3 5 5 2" xfId="32315"/>
    <cellStyle name="Header2 3 3 3 5 5 2 2" xfId="42314"/>
    <cellStyle name="Header2 3 3 3 5 5 3" xfId="37163"/>
    <cellStyle name="Header2 3 3 3 5 6" xfId="23588"/>
    <cellStyle name="Header2 3 3 3 5 6 2" xfId="21013"/>
    <cellStyle name="Header2 3 3 3 5 7" xfId="22831"/>
    <cellStyle name="Header2 3 3 3 5 7 2" xfId="21399"/>
    <cellStyle name="Header2 3 3 3 5 8" xfId="22442"/>
    <cellStyle name="Header2 3 3 3 6" xfId="16291"/>
    <cellStyle name="Header2 3 3 3 6 2" xfId="19381"/>
    <cellStyle name="Header2 3 3 3 6 2 2" xfId="31198"/>
    <cellStyle name="Header2 3 3 3 6 2 2 2" xfId="41197"/>
    <cellStyle name="Header2 3 3 3 6 2 3" xfId="26856"/>
    <cellStyle name="Header2 3 3 3 6 2 4" xfId="36046"/>
    <cellStyle name="Header2 3 3 3 6 3" xfId="19987"/>
    <cellStyle name="Header2 3 3 3 6 3 2" xfId="31804"/>
    <cellStyle name="Header2 3 3 3 6 3 2 2" xfId="41803"/>
    <cellStyle name="Header2 3 3 3 6 3 3" xfId="27462"/>
    <cellStyle name="Header2 3 3 3 6 3 4" xfId="36652"/>
    <cellStyle name="Header2 3 3 3 6 4" xfId="17782"/>
    <cellStyle name="Header2 3 3 3 6 4 2" xfId="29599"/>
    <cellStyle name="Header2 3 3 3 6 4 2 2" xfId="39598"/>
    <cellStyle name="Header2 3 3 3 6 4 3" xfId="25357"/>
    <cellStyle name="Header2 3 3 3 6 4 4" xfId="34447"/>
    <cellStyle name="Header2 3 3 3 6 5" xfId="20796"/>
    <cellStyle name="Header2 3 3 3 6 5 2" xfId="32613"/>
    <cellStyle name="Header2 3 3 3 6 5 2 2" xfId="42612"/>
    <cellStyle name="Header2 3 3 3 6 5 3" xfId="37461"/>
    <cellStyle name="Header2 3 3 3 6 6" xfId="28108"/>
    <cellStyle name="Header2 3 3 3 6 6 2" xfId="38107"/>
    <cellStyle name="Header2 3 3 3 6 7" xfId="21543"/>
    <cellStyle name="Header2 3 3 3 7" xfId="15848"/>
    <cellStyle name="Header2 3 3 3 7 2" xfId="27665"/>
    <cellStyle name="Header2 3 3 3 7 2 2" xfId="37664"/>
    <cellStyle name="Header2 3 3 3 7 3" xfId="23726"/>
    <cellStyle name="Header2 3 3 3 7 4" xfId="32816"/>
    <cellStyle name="Header2 3 3 3 8" xfId="16559"/>
    <cellStyle name="Header2 3 3 3 8 2" xfId="28376"/>
    <cellStyle name="Header2 3 3 3 8 2 2" xfId="38375"/>
    <cellStyle name="Header2 3 3 3 8 3" xfId="24134"/>
    <cellStyle name="Header2 3 3 3 8 4" xfId="33224"/>
    <cellStyle name="Header2 3 3 3 9" xfId="16857"/>
    <cellStyle name="Header2 3 3 3 9 2" xfId="28674"/>
    <cellStyle name="Header2 3 3 3 9 2 2" xfId="38673"/>
    <cellStyle name="Header2 3 3 3 9 3" xfId="24432"/>
    <cellStyle name="Header2 3 3 3 9 4" xfId="33522"/>
    <cellStyle name="Header2 3 3 4" xfId="7907"/>
    <cellStyle name="Header2 3 3 4 10" xfId="17229"/>
    <cellStyle name="Header2 3 3 4 10 2" xfId="29046"/>
    <cellStyle name="Header2 3 3 4 10 2 2" xfId="39045"/>
    <cellStyle name="Header2 3 3 4 10 3" xfId="24804"/>
    <cellStyle name="Header2 3 3 4 10 4" xfId="33894"/>
    <cellStyle name="Header2 3 3 4 11" xfId="17532"/>
    <cellStyle name="Header2 3 3 4 11 2" xfId="29349"/>
    <cellStyle name="Header2 3 3 4 11 2 2" xfId="39348"/>
    <cellStyle name="Header2 3 3 4 11 3" xfId="25107"/>
    <cellStyle name="Header2 3 3 4 11 4" xfId="34197"/>
    <cellStyle name="Header2 3 3 4 12" xfId="18403"/>
    <cellStyle name="Header2 3 3 4 12 2" xfId="30220"/>
    <cellStyle name="Header2 3 3 4 12 2 2" xfId="40219"/>
    <cellStyle name="Header2 3 3 4 12 3" xfId="25878"/>
    <cellStyle name="Header2 3 3 4 12 4" xfId="35068"/>
    <cellStyle name="Header2 3 3 4 13" xfId="18701"/>
    <cellStyle name="Header2 3 3 4 13 2" xfId="30518"/>
    <cellStyle name="Header2 3 3 4 13 2 2" xfId="40517"/>
    <cellStyle name="Header2 3 3 4 13 3" xfId="26176"/>
    <cellStyle name="Header2 3 3 4 13 4" xfId="35366"/>
    <cellStyle name="Header2 3 3 4 14" xfId="20194"/>
    <cellStyle name="Header2 3 3 4 14 2" xfId="32011"/>
    <cellStyle name="Header2 3 3 4 14 2 2" xfId="42010"/>
    <cellStyle name="Header2 3 3 4 14 3" xfId="36859"/>
    <cellStyle name="Header2 3 3 4 15" xfId="23195"/>
    <cellStyle name="Header2 3 3 4 15 2" xfId="21230"/>
    <cellStyle name="Header2 3 3 4 16" xfId="22589"/>
    <cellStyle name="Header2 3 3 4 2" xfId="7908"/>
    <cellStyle name="Header2 3 3 4 2 10" xfId="17850"/>
    <cellStyle name="Header2 3 3 4 2 10 2" xfId="29667"/>
    <cellStyle name="Header2 3 3 4 2 10 2 2" xfId="39666"/>
    <cellStyle name="Header2 3 3 4 2 10 3" xfId="25425"/>
    <cellStyle name="Header2 3 3 4 2 10 4" xfId="34515"/>
    <cellStyle name="Header2 3 3 4 2 11" xfId="20362"/>
    <cellStyle name="Header2 3 3 4 2 11 2" xfId="32179"/>
    <cellStyle name="Header2 3 3 4 2 11 2 2" xfId="42178"/>
    <cellStyle name="Header2 3 3 4 2 11 3" xfId="37027"/>
    <cellStyle name="Header2 3 3 4 2 12" xfId="23194"/>
    <cellStyle name="Header2 3 3 4 2 12 2" xfId="21231"/>
    <cellStyle name="Header2 3 3 4 2 13" xfId="22588"/>
    <cellStyle name="Header2 3 3 4 2 2" xfId="15715"/>
    <cellStyle name="Header2 3 3 4 2 2 2" xfId="19078"/>
    <cellStyle name="Header2 3 3 4 2 2 2 2" xfId="30895"/>
    <cellStyle name="Header2 3 3 4 2 2 2 2 2" xfId="40894"/>
    <cellStyle name="Header2 3 3 4 2 2 2 3" xfId="26553"/>
    <cellStyle name="Header2 3 3 4 2 2 2 4" xfId="35743"/>
    <cellStyle name="Header2 3 3 4 2 2 3" xfId="19684"/>
    <cellStyle name="Header2 3 3 4 2 2 3 2" xfId="31501"/>
    <cellStyle name="Header2 3 3 4 2 2 3 2 2" xfId="41500"/>
    <cellStyle name="Header2 3 3 4 2 2 3 3" xfId="27159"/>
    <cellStyle name="Header2 3 3 4 2 2 3 4" xfId="36349"/>
    <cellStyle name="Header2 3 3 4 2 2 4" xfId="17708"/>
    <cellStyle name="Header2 3 3 4 2 2 4 2" xfId="29525"/>
    <cellStyle name="Header2 3 3 4 2 2 4 2 2" xfId="39524"/>
    <cellStyle name="Header2 3 3 4 2 2 4 3" xfId="25283"/>
    <cellStyle name="Header2 3 3 4 2 2 4 4" xfId="34373"/>
    <cellStyle name="Header2 3 3 4 2 2 5" xfId="20493"/>
    <cellStyle name="Header2 3 3 4 2 2 5 2" xfId="32310"/>
    <cellStyle name="Header2 3 3 4 2 2 5 2 2" xfId="42309"/>
    <cellStyle name="Header2 3 3 4 2 2 5 3" xfId="37158"/>
    <cellStyle name="Header2 3 3 4 2 2 6" xfId="23593"/>
    <cellStyle name="Header2 3 3 4 2 2 6 2" xfId="21819"/>
    <cellStyle name="Header2 3 3 4 2 2 7" xfId="22983"/>
    <cellStyle name="Header2 3 3 4 2 2 7 2" xfId="21325"/>
    <cellStyle name="Header2 3 3 4 2 2 8" xfId="21665"/>
    <cellStyle name="Header2 3 3 4 2 3" xfId="16296"/>
    <cellStyle name="Header2 3 3 4 2 3 2" xfId="18949"/>
    <cellStyle name="Header2 3 3 4 2 3 2 2" xfId="30766"/>
    <cellStyle name="Header2 3 3 4 2 3 2 2 2" xfId="40765"/>
    <cellStyle name="Header2 3 3 4 2 3 2 3" xfId="26424"/>
    <cellStyle name="Header2 3 3 4 2 3 2 4" xfId="35614"/>
    <cellStyle name="Header2 3 3 4 2 3 3" xfId="19555"/>
    <cellStyle name="Header2 3 3 4 2 3 3 2" xfId="31372"/>
    <cellStyle name="Header2 3 3 4 2 3 3 2 2" xfId="41371"/>
    <cellStyle name="Header2 3 3 4 2 3 3 3" xfId="27030"/>
    <cellStyle name="Header2 3 3 4 2 3 3 4" xfId="36220"/>
    <cellStyle name="Header2 3 3 4 2 3 4" xfId="18198"/>
    <cellStyle name="Header2 3 3 4 2 3 4 2" xfId="30015"/>
    <cellStyle name="Header2 3 3 4 2 3 4 2 2" xfId="40014"/>
    <cellStyle name="Header2 3 3 4 2 3 4 3" xfId="25773"/>
    <cellStyle name="Header2 3 3 4 2 3 4 4" xfId="34863"/>
    <cellStyle name="Header2 3 3 4 2 3 5" xfId="20364"/>
    <cellStyle name="Header2 3 3 4 2 3 5 2" xfId="32181"/>
    <cellStyle name="Header2 3 3 4 2 3 5 2 2" xfId="42180"/>
    <cellStyle name="Header2 3 3 4 2 3 5 3" xfId="37029"/>
    <cellStyle name="Header2 3 3 4 2 3 6" xfId="28113"/>
    <cellStyle name="Header2 3 3 4 2 3 6 2" xfId="38112"/>
    <cellStyle name="Header2 3 3 4 2 3 7" xfId="22484"/>
    <cellStyle name="Header2 3 3 4 2 4" xfId="16424"/>
    <cellStyle name="Header2 3 3 4 2 4 2" xfId="28241"/>
    <cellStyle name="Header2 3 3 4 2 4 2 2" xfId="38240"/>
    <cellStyle name="Header2 3 3 4 2 4 3" xfId="23999"/>
    <cellStyle name="Header2 3 3 4 2 4 4" xfId="33089"/>
    <cellStyle name="Header2 3 3 4 2 5" xfId="16554"/>
    <cellStyle name="Header2 3 3 4 2 5 2" xfId="28371"/>
    <cellStyle name="Header2 3 3 4 2 5 2 2" xfId="38370"/>
    <cellStyle name="Header2 3 3 4 2 5 3" xfId="24129"/>
    <cellStyle name="Header2 3 3 4 2 5 4" xfId="33219"/>
    <cellStyle name="Header2 3 3 4 2 6" xfId="17009"/>
    <cellStyle name="Header2 3 3 4 2 6 2" xfId="28826"/>
    <cellStyle name="Header2 3 3 4 2 6 2 2" xfId="38825"/>
    <cellStyle name="Header2 3 3 4 2 6 3" xfId="24584"/>
    <cellStyle name="Header2 3 3 4 2 6 4" xfId="33674"/>
    <cellStyle name="Header2 3 3 4 2 7" xfId="17230"/>
    <cellStyle name="Header2 3 3 4 2 7 2" xfId="29047"/>
    <cellStyle name="Header2 3 3 4 2 7 2 2" xfId="39046"/>
    <cellStyle name="Header2 3 3 4 2 7 3" xfId="24805"/>
    <cellStyle name="Header2 3 3 4 2 7 4" xfId="33895"/>
    <cellStyle name="Header2 3 3 4 2 8" xfId="17533"/>
    <cellStyle name="Header2 3 3 4 2 8 2" xfId="29350"/>
    <cellStyle name="Header2 3 3 4 2 8 2 2" xfId="39349"/>
    <cellStyle name="Header2 3 3 4 2 8 3" xfId="25108"/>
    <cellStyle name="Header2 3 3 4 2 8 4" xfId="34198"/>
    <cellStyle name="Header2 3 3 4 2 9" xfId="18402"/>
    <cellStyle name="Header2 3 3 4 2 9 2" xfId="30219"/>
    <cellStyle name="Header2 3 3 4 2 9 2 2" xfId="40218"/>
    <cellStyle name="Header2 3 3 4 2 9 3" xfId="25877"/>
    <cellStyle name="Header2 3 3 4 2 9 4" xfId="35067"/>
    <cellStyle name="Header2 3 3 4 3" xfId="7909"/>
    <cellStyle name="Header2 3 3 4 3 10" xfId="18700"/>
    <cellStyle name="Header2 3 3 4 3 10 2" xfId="30517"/>
    <cellStyle name="Header2 3 3 4 3 10 2 2" xfId="40516"/>
    <cellStyle name="Header2 3 3 4 3 10 3" xfId="26175"/>
    <cellStyle name="Header2 3 3 4 3 10 4" xfId="35365"/>
    <cellStyle name="Header2 3 3 4 3 11" xfId="18266"/>
    <cellStyle name="Header2 3 3 4 3 11 2" xfId="30083"/>
    <cellStyle name="Header2 3 3 4 3 11 2 2" xfId="40082"/>
    <cellStyle name="Header2 3 3 4 3 11 3" xfId="34931"/>
    <cellStyle name="Header2 3 3 4 3 12" xfId="23193"/>
    <cellStyle name="Header2 3 3 4 3 12 2" xfId="21997"/>
    <cellStyle name="Header2 3 3 4 3 13" xfId="22587"/>
    <cellStyle name="Header2 3 3 4 3 2" xfId="15716"/>
    <cellStyle name="Header2 3 3 4 3 2 2" xfId="19077"/>
    <cellStyle name="Header2 3 3 4 3 2 2 2" xfId="30894"/>
    <cellStyle name="Header2 3 3 4 3 2 2 2 2" xfId="40893"/>
    <cellStyle name="Header2 3 3 4 3 2 2 3" xfId="26552"/>
    <cellStyle name="Header2 3 3 4 3 2 2 4" xfId="35742"/>
    <cellStyle name="Header2 3 3 4 3 2 3" xfId="19683"/>
    <cellStyle name="Header2 3 3 4 3 2 3 2" xfId="31500"/>
    <cellStyle name="Header2 3 3 4 3 2 3 2 2" xfId="41499"/>
    <cellStyle name="Header2 3 3 4 3 2 3 3" xfId="27158"/>
    <cellStyle name="Header2 3 3 4 3 2 3 4" xfId="36348"/>
    <cellStyle name="Header2 3 3 4 3 2 4" xfId="17709"/>
    <cellStyle name="Header2 3 3 4 3 2 4 2" xfId="29526"/>
    <cellStyle name="Header2 3 3 4 3 2 4 2 2" xfId="39525"/>
    <cellStyle name="Header2 3 3 4 3 2 4 3" xfId="25284"/>
    <cellStyle name="Header2 3 3 4 3 2 4 4" xfId="34374"/>
    <cellStyle name="Header2 3 3 4 3 2 5" xfId="20492"/>
    <cellStyle name="Header2 3 3 4 3 2 5 2" xfId="32309"/>
    <cellStyle name="Header2 3 3 4 3 2 5 2 2" xfId="42308"/>
    <cellStyle name="Header2 3 3 4 3 2 5 3" xfId="37157"/>
    <cellStyle name="Header2 3 3 4 3 2 6" xfId="23594"/>
    <cellStyle name="Header2 3 3 4 3 2 6 2" xfId="21009"/>
    <cellStyle name="Header2 3 3 4 3 2 7" xfId="22827"/>
    <cellStyle name="Header2 3 3 4 3 2 7 2" xfId="21401"/>
    <cellStyle name="Header2 3 3 4 3 2 8" xfId="21666"/>
    <cellStyle name="Header2 3 3 4 3 3" xfId="16297"/>
    <cellStyle name="Header2 3 3 4 3 3 2" xfId="19376"/>
    <cellStyle name="Header2 3 3 4 3 3 2 2" xfId="31193"/>
    <cellStyle name="Header2 3 3 4 3 3 2 2 2" xfId="41192"/>
    <cellStyle name="Header2 3 3 4 3 3 2 3" xfId="26851"/>
    <cellStyle name="Header2 3 3 4 3 3 2 4" xfId="36041"/>
    <cellStyle name="Header2 3 3 4 3 3 3" xfId="19982"/>
    <cellStyle name="Header2 3 3 4 3 3 3 2" xfId="31799"/>
    <cellStyle name="Header2 3 3 4 3 3 3 2 2" xfId="41798"/>
    <cellStyle name="Header2 3 3 4 3 3 3 3" xfId="27457"/>
    <cellStyle name="Header2 3 3 4 3 3 3 4" xfId="36647"/>
    <cellStyle name="Header2 3 3 4 3 3 4" xfId="17785"/>
    <cellStyle name="Header2 3 3 4 3 3 4 2" xfId="29602"/>
    <cellStyle name="Header2 3 3 4 3 3 4 2 2" xfId="39601"/>
    <cellStyle name="Header2 3 3 4 3 3 4 3" xfId="25360"/>
    <cellStyle name="Header2 3 3 4 3 3 4 4" xfId="34450"/>
    <cellStyle name="Header2 3 3 4 3 3 5" xfId="20791"/>
    <cellStyle name="Header2 3 3 4 3 3 5 2" xfId="32608"/>
    <cellStyle name="Header2 3 3 4 3 3 5 2 2" xfId="42607"/>
    <cellStyle name="Header2 3 3 4 3 3 5 3" xfId="37456"/>
    <cellStyle name="Header2 3 3 4 3 3 6" xfId="28114"/>
    <cellStyle name="Header2 3 3 4 3 3 6 2" xfId="38113"/>
    <cellStyle name="Header2 3 3 4 3 3 7" xfId="21546"/>
    <cellStyle name="Header2 3 3 4 3 4" xfId="16002"/>
    <cellStyle name="Header2 3 3 4 3 4 2" xfId="27819"/>
    <cellStyle name="Header2 3 3 4 3 4 2 2" xfId="37818"/>
    <cellStyle name="Header2 3 3 4 3 4 3" xfId="23880"/>
    <cellStyle name="Header2 3 3 4 3 4 4" xfId="32970"/>
    <cellStyle name="Header2 3 3 4 3 5" xfId="16553"/>
    <cellStyle name="Header2 3 3 4 3 5 2" xfId="28370"/>
    <cellStyle name="Header2 3 3 4 3 5 2 2" xfId="38369"/>
    <cellStyle name="Header2 3 3 4 3 5 3" xfId="24128"/>
    <cellStyle name="Header2 3 3 4 3 5 4" xfId="33218"/>
    <cellStyle name="Header2 3 3 4 3 6" xfId="16852"/>
    <cellStyle name="Header2 3 3 4 3 6 2" xfId="28669"/>
    <cellStyle name="Header2 3 3 4 3 6 2 2" xfId="38668"/>
    <cellStyle name="Header2 3 3 4 3 6 3" xfId="24427"/>
    <cellStyle name="Header2 3 3 4 3 6 4" xfId="33517"/>
    <cellStyle name="Header2 3 3 4 3 7" xfId="17231"/>
    <cellStyle name="Header2 3 3 4 3 7 2" xfId="29048"/>
    <cellStyle name="Header2 3 3 4 3 7 2 2" xfId="39047"/>
    <cellStyle name="Header2 3 3 4 3 7 3" xfId="24806"/>
    <cellStyle name="Header2 3 3 4 3 7 4" xfId="33896"/>
    <cellStyle name="Header2 3 3 4 3 8" xfId="17534"/>
    <cellStyle name="Header2 3 3 4 3 8 2" xfId="29351"/>
    <cellStyle name="Header2 3 3 4 3 8 2 2" xfId="39350"/>
    <cellStyle name="Header2 3 3 4 3 8 3" xfId="25109"/>
    <cellStyle name="Header2 3 3 4 3 8 4" xfId="34199"/>
    <cellStyle name="Header2 3 3 4 3 9" xfId="18401"/>
    <cellStyle name="Header2 3 3 4 3 9 2" xfId="30218"/>
    <cellStyle name="Header2 3 3 4 3 9 2 2" xfId="40217"/>
    <cellStyle name="Header2 3 3 4 3 9 3" xfId="25876"/>
    <cellStyle name="Header2 3 3 4 3 9 4" xfId="35066"/>
    <cellStyle name="Header2 3 3 4 4" xfId="7910"/>
    <cellStyle name="Header2 3 3 4 4 10" xfId="18699"/>
    <cellStyle name="Header2 3 3 4 4 10 2" xfId="30516"/>
    <cellStyle name="Header2 3 3 4 4 10 2 2" xfId="40515"/>
    <cellStyle name="Header2 3 3 4 4 10 3" xfId="26174"/>
    <cellStyle name="Header2 3 3 4 4 10 4" xfId="35364"/>
    <cellStyle name="Header2 3 3 4 4 11" xfId="20193"/>
    <cellStyle name="Header2 3 3 4 4 11 2" xfId="32010"/>
    <cellStyle name="Header2 3 3 4 4 11 2 2" xfId="42009"/>
    <cellStyle name="Header2 3 3 4 4 11 3" xfId="36858"/>
    <cellStyle name="Header2 3 3 4 4 12" xfId="23192"/>
    <cellStyle name="Header2 3 3 4 4 12 2" xfId="21232"/>
    <cellStyle name="Header2 3 3 4 4 13" xfId="22586"/>
    <cellStyle name="Header2 3 3 4 4 2" xfId="15717"/>
    <cellStyle name="Header2 3 3 4 4 2 2" xfId="19076"/>
    <cellStyle name="Header2 3 3 4 4 2 2 2" xfId="30893"/>
    <cellStyle name="Header2 3 3 4 4 2 2 2 2" xfId="40892"/>
    <cellStyle name="Header2 3 3 4 4 2 2 3" xfId="26551"/>
    <cellStyle name="Header2 3 3 4 4 2 2 4" xfId="35741"/>
    <cellStyle name="Header2 3 3 4 4 2 3" xfId="19682"/>
    <cellStyle name="Header2 3 3 4 4 2 3 2" xfId="31499"/>
    <cellStyle name="Header2 3 3 4 4 2 3 2 2" xfId="41498"/>
    <cellStyle name="Header2 3 3 4 4 2 3 3" xfId="27157"/>
    <cellStyle name="Header2 3 3 4 4 2 3 4" xfId="36347"/>
    <cellStyle name="Header2 3 3 4 4 2 4" xfId="18159"/>
    <cellStyle name="Header2 3 3 4 4 2 4 2" xfId="29976"/>
    <cellStyle name="Header2 3 3 4 4 2 4 2 2" xfId="39975"/>
    <cellStyle name="Header2 3 3 4 4 2 4 3" xfId="25734"/>
    <cellStyle name="Header2 3 3 4 4 2 4 4" xfId="34824"/>
    <cellStyle name="Header2 3 3 4 4 2 5" xfId="20491"/>
    <cellStyle name="Header2 3 3 4 4 2 5 2" xfId="32308"/>
    <cellStyle name="Header2 3 3 4 4 2 5 2 2" xfId="42307"/>
    <cellStyle name="Header2 3 3 4 4 2 5 3" xfId="37156"/>
    <cellStyle name="Header2 3 3 4 4 2 6" xfId="23595"/>
    <cellStyle name="Header2 3 3 4 4 2 6 2" xfId="21818"/>
    <cellStyle name="Header2 3 3 4 4 2 7" xfId="22982"/>
    <cellStyle name="Header2 3 3 4 4 2 7 2" xfId="22113"/>
    <cellStyle name="Header2 3 3 4 4 2 8" xfId="21667"/>
    <cellStyle name="Header2 3 3 4 4 3" xfId="16298"/>
    <cellStyle name="Header2 3 3 4 4 3 2" xfId="19375"/>
    <cellStyle name="Header2 3 3 4 4 3 2 2" xfId="31192"/>
    <cellStyle name="Header2 3 3 4 4 3 2 2 2" xfId="41191"/>
    <cellStyle name="Header2 3 3 4 4 3 2 3" xfId="26850"/>
    <cellStyle name="Header2 3 3 4 4 3 2 4" xfId="36040"/>
    <cellStyle name="Header2 3 3 4 4 3 3" xfId="19981"/>
    <cellStyle name="Header2 3 3 4 4 3 3 2" xfId="31798"/>
    <cellStyle name="Header2 3 3 4 4 3 3 2 2" xfId="41797"/>
    <cellStyle name="Header2 3 3 4 4 3 3 3" xfId="27456"/>
    <cellStyle name="Header2 3 3 4 4 3 3 4" xfId="36646"/>
    <cellStyle name="Header2 3 3 4 4 3 4" xfId="18092"/>
    <cellStyle name="Header2 3 3 4 4 3 4 2" xfId="29909"/>
    <cellStyle name="Header2 3 3 4 4 3 4 2 2" xfId="39908"/>
    <cellStyle name="Header2 3 3 4 4 3 4 3" xfId="25667"/>
    <cellStyle name="Header2 3 3 4 4 3 4 4" xfId="34757"/>
    <cellStyle name="Header2 3 3 4 4 3 5" xfId="20790"/>
    <cellStyle name="Header2 3 3 4 4 3 5 2" xfId="32607"/>
    <cellStyle name="Header2 3 3 4 4 3 5 2 2" xfId="42606"/>
    <cellStyle name="Header2 3 3 4 4 3 5 3" xfId="37455"/>
    <cellStyle name="Header2 3 3 4 4 3 6" xfId="28115"/>
    <cellStyle name="Header2 3 3 4 4 3 6 2" xfId="38114"/>
    <cellStyle name="Header2 3 3 4 4 3 7" xfId="22266"/>
    <cellStyle name="Header2 3 3 4 4 4" xfId="16003"/>
    <cellStyle name="Header2 3 3 4 4 4 2" xfId="27820"/>
    <cellStyle name="Header2 3 3 4 4 4 2 2" xfId="37819"/>
    <cellStyle name="Header2 3 3 4 4 4 3" xfId="23881"/>
    <cellStyle name="Header2 3 3 4 4 4 4" xfId="32971"/>
    <cellStyle name="Header2 3 3 4 4 5" xfId="16552"/>
    <cellStyle name="Header2 3 3 4 4 5 2" xfId="28369"/>
    <cellStyle name="Header2 3 3 4 4 5 2 2" xfId="38368"/>
    <cellStyle name="Header2 3 3 4 4 5 3" xfId="24127"/>
    <cellStyle name="Header2 3 3 4 4 5 4" xfId="33217"/>
    <cellStyle name="Header2 3 3 4 4 6" xfId="16851"/>
    <cellStyle name="Header2 3 3 4 4 6 2" xfId="28668"/>
    <cellStyle name="Header2 3 3 4 4 6 2 2" xfId="38667"/>
    <cellStyle name="Header2 3 3 4 4 6 3" xfId="24426"/>
    <cellStyle name="Header2 3 3 4 4 6 4" xfId="33516"/>
    <cellStyle name="Header2 3 3 4 4 7" xfId="17232"/>
    <cellStyle name="Header2 3 3 4 4 7 2" xfId="29049"/>
    <cellStyle name="Header2 3 3 4 4 7 2 2" xfId="39048"/>
    <cellStyle name="Header2 3 3 4 4 7 3" xfId="24807"/>
    <cellStyle name="Header2 3 3 4 4 7 4" xfId="33897"/>
    <cellStyle name="Header2 3 3 4 4 8" xfId="17535"/>
    <cellStyle name="Header2 3 3 4 4 8 2" xfId="29352"/>
    <cellStyle name="Header2 3 3 4 4 8 2 2" xfId="39351"/>
    <cellStyle name="Header2 3 3 4 4 8 3" xfId="25110"/>
    <cellStyle name="Header2 3 3 4 4 8 4" xfId="34200"/>
    <cellStyle name="Header2 3 3 4 4 9" xfId="18400"/>
    <cellStyle name="Header2 3 3 4 4 9 2" xfId="30217"/>
    <cellStyle name="Header2 3 3 4 4 9 2 2" xfId="40216"/>
    <cellStyle name="Header2 3 3 4 4 9 3" xfId="25875"/>
    <cellStyle name="Header2 3 3 4 4 9 4" xfId="35065"/>
    <cellStyle name="Header2 3 3 4 5" xfId="15714"/>
    <cellStyle name="Header2 3 3 4 5 2" xfId="19079"/>
    <cellStyle name="Header2 3 3 4 5 2 2" xfId="30896"/>
    <cellStyle name="Header2 3 3 4 5 2 2 2" xfId="40895"/>
    <cellStyle name="Header2 3 3 4 5 2 3" xfId="26554"/>
    <cellStyle name="Header2 3 3 4 5 2 4" xfId="35744"/>
    <cellStyle name="Header2 3 3 4 5 3" xfId="19685"/>
    <cellStyle name="Header2 3 3 4 5 3 2" xfId="31502"/>
    <cellStyle name="Header2 3 3 4 5 3 2 2" xfId="41501"/>
    <cellStyle name="Header2 3 3 4 5 3 3" xfId="27160"/>
    <cellStyle name="Header2 3 3 4 5 3 4" xfId="36350"/>
    <cellStyle name="Header2 3 3 4 5 4" xfId="17998"/>
    <cellStyle name="Header2 3 3 4 5 4 2" xfId="29815"/>
    <cellStyle name="Header2 3 3 4 5 4 2 2" xfId="39814"/>
    <cellStyle name="Header2 3 3 4 5 4 3" xfId="25573"/>
    <cellStyle name="Header2 3 3 4 5 4 4" xfId="34663"/>
    <cellStyle name="Header2 3 3 4 5 5" xfId="20494"/>
    <cellStyle name="Header2 3 3 4 5 5 2" xfId="32311"/>
    <cellStyle name="Header2 3 3 4 5 5 2 2" xfId="42310"/>
    <cellStyle name="Header2 3 3 4 5 5 3" xfId="37159"/>
    <cellStyle name="Header2 3 3 4 5 6" xfId="23592"/>
    <cellStyle name="Header2 3 3 4 5 6 2" xfId="21010"/>
    <cellStyle name="Header2 3 3 4 5 7" xfId="22828"/>
    <cellStyle name="Header2 3 3 4 5 7 2" xfId="22192"/>
    <cellStyle name="Header2 3 3 4 5 8" xfId="22443"/>
    <cellStyle name="Header2 3 3 4 6" xfId="16295"/>
    <cellStyle name="Header2 3 3 4 6 2" xfId="19377"/>
    <cellStyle name="Header2 3 3 4 6 2 2" xfId="31194"/>
    <cellStyle name="Header2 3 3 4 6 2 2 2" xfId="41193"/>
    <cellStyle name="Header2 3 3 4 6 2 3" xfId="26852"/>
    <cellStyle name="Header2 3 3 4 6 2 4" xfId="36042"/>
    <cellStyle name="Header2 3 3 4 6 3" xfId="19983"/>
    <cellStyle name="Header2 3 3 4 6 3 2" xfId="31800"/>
    <cellStyle name="Header2 3 3 4 6 3 2 2" xfId="41799"/>
    <cellStyle name="Header2 3 3 4 6 3 3" xfId="27458"/>
    <cellStyle name="Header2 3 3 4 6 3 4" xfId="36648"/>
    <cellStyle name="Header2 3 3 4 6 4" xfId="18091"/>
    <cellStyle name="Header2 3 3 4 6 4 2" xfId="29908"/>
    <cellStyle name="Header2 3 3 4 6 4 2 2" xfId="39907"/>
    <cellStyle name="Header2 3 3 4 6 4 3" xfId="25666"/>
    <cellStyle name="Header2 3 3 4 6 4 4" xfId="34756"/>
    <cellStyle name="Header2 3 3 4 6 5" xfId="20792"/>
    <cellStyle name="Header2 3 3 4 6 5 2" xfId="32609"/>
    <cellStyle name="Header2 3 3 4 6 5 2 2" xfId="42608"/>
    <cellStyle name="Header2 3 3 4 6 5 3" xfId="37457"/>
    <cellStyle name="Header2 3 3 4 6 6" xfId="28112"/>
    <cellStyle name="Header2 3 3 4 6 6 2" xfId="38111"/>
    <cellStyle name="Header2 3 3 4 6 7" xfId="22265"/>
    <cellStyle name="Header2 3 3 4 7" xfId="16001"/>
    <cellStyle name="Header2 3 3 4 7 2" xfId="27818"/>
    <cellStyle name="Header2 3 3 4 7 2 2" xfId="37817"/>
    <cellStyle name="Header2 3 3 4 7 3" xfId="23879"/>
    <cellStyle name="Header2 3 3 4 7 4" xfId="32969"/>
    <cellStyle name="Header2 3 3 4 8" xfId="16555"/>
    <cellStyle name="Header2 3 3 4 8 2" xfId="28372"/>
    <cellStyle name="Header2 3 3 4 8 2 2" xfId="38371"/>
    <cellStyle name="Header2 3 3 4 8 3" xfId="24130"/>
    <cellStyle name="Header2 3 3 4 8 4" xfId="33220"/>
    <cellStyle name="Header2 3 3 4 9" xfId="16853"/>
    <cellStyle name="Header2 3 3 4 9 2" xfId="28670"/>
    <cellStyle name="Header2 3 3 4 9 2 2" xfId="38669"/>
    <cellStyle name="Header2 3 3 4 9 3" xfId="24428"/>
    <cellStyle name="Header2 3 3 4 9 4" xfId="33518"/>
    <cellStyle name="Header2 3 3 5" xfId="7911"/>
    <cellStyle name="Header2 3 3 5 10" xfId="18698"/>
    <cellStyle name="Header2 3 3 5 10 2" xfId="30515"/>
    <cellStyle name="Header2 3 3 5 10 2 2" xfId="40514"/>
    <cellStyle name="Header2 3 3 5 10 3" xfId="26173"/>
    <cellStyle name="Header2 3 3 5 10 4" xfId="35363"/>
    <cellStyle name="Header2 3 3 5 11" xfId="20294"/>
    <cellStyle name="Header2 3 3 5 11 2" xfId="32111"/>
    <cellStyle name="Header2 3 3 5 11 2 2" xfId="42110"/>
    <cellStyle name="Header2 3 3 5 11 3" xfId="36959"/>
    <cellStyle name="Header2 3 3 5 12" xfId="23191"/>
    <cellStyle name="Header2 3 3 5 12 2" xfId="21233"/>
    <cellStyle name="Header2 3 3 5 13" xfId="22585"/>
    <cellStyle name="Header2 3 3 5 2" xfId="15718"/>
    <cellStyle name="Header2 3 3 5 2 2" xfId="19075"/>
    <cellStyle name="Header2 3 3 5 2 2 2" xfId="30892"/>
    <cellStyle name="Header2 3 3 5 2 2 2 2" xfId="40891"/>
    <cellStyle name="Header2 3 3 5 2 2 3" xfId="26550"/>
    <cellStyle name="Header2 3 3 5 2 2 4" xfId="35740"/>
    <cellStyle name="Header2 3 3 5 2 3" xfId="19681"/>
    <cellStyle name="Header2 3 3 5 2 3 2" xfId="31498"/>
    <cellStyle name="Header2 3 3 5 2 3 2 2" xfId="41497"/>
    <cellStyle name="Header2 3 3 5 2 3 3" xfId="27156"/>
    <cellStyle name="Header2 3 3 5 2 3 4" xfId="36346"/>
    <cellStyle name="Header2 3 3 5 2 4" xfId="17710"/>
    <cellStyle name="Header2 3 3 5 2 4 2" xfId="29527"/>
    <cellStyle name="Header2 3 3 5 2 4 2 2" xfId="39526"/>
    <cellStyle name="Header2 3 3 5 2 4 3" xfId="25285"/>
    <cellStyle name="Header2 3 3 5 2 4 4" xfId="34375"/>
    <cellStyle name="Header2 3 3 5 2 5" xfId="20490"/>
    <cellStyle name="Header2 3 3 5 2 5 2" xfId="32307"/>
    <cellStyle name="Header2 3 3 5 2 5 2 2" xfId="42306"/>
    <cellStyle name="Header2 3 3 5 2 5 3" xfId="37155"/>
    <cellStyle name="Header2 3 3 5 2 6" xfId="23596"/>
    <cellStyle name="Header2 3 3 5 2 6 2" xfId="21008"/>
    <cellStyle name="Header2 3 3 5 2 7" xfId="22826"/>
    <cellStyle name="Header2 3 3 5 2 7 2" xfId="22193"/>
    <cellStyle name="Header2 3 3 5 2 8" xfId="22444"/>
    <cellStyle name="Header2 3 3 5 3" xfId="16299"/>
    <cellStyle name="Header2 3 3 5 3 2" xfId="19374"/>
    <cellStyle name="Header2 3 3 5 3 2 2" xfId="31191"/>
    <cellStyle name="Header2 3 3 5 3 2 2 2" xfId="41190"/>
    <cellStyle name="Header2 3 3 5 3 2 3" xfId="26849"/>
    <cellStyle name="Header2 3 3 5 3 2 4" xfId="36039"/>
    <cellStyle name="Header2 3 3 5 3 3" xfId="19980"/>
    <cellStyle name="Header2 3 3 5 3 3 2" xfId="31797"/>
    <cellStyle name="Header2 3 3 5 3 3 2 2" xfId="41796"/>
    <cellStyle name="Header2 3 3 5 3 3 3" xfId="27455"/>
    <cellStyle name="Header2 3 3 5 3 3 4" xfId="36645"/>
    <cellStyle name="Header2 3 3 5 3 4" xfId="17786"/>
    <cellStyle name="Header2 3 3 5 3 4 2" xfId="29603"/>
    <cellStyle name="Header2 3 3 5 3 4 2 2" xfId="39602"/>
    <cellStyle name="Header2 3 3 5 3 4 3" xfId="25361"/>
    <cellStyle name="Header2 3 3 5 3 4 4" xfId="34451"/>
    <cellStyle name="Header2 3 3 5 3 5" xfId="20789"/>
    <cellStyle name="Header2 3 3 5 3 5 2" xfId="32606"/>
    <cellStyle name="Header2 3 3 5 3 5 2 2" xfId="42605"/>
    <cellStyle name="Header2 3 3 5 3 5 3" xfId="37454"/>
    <cellStyle name="Header2 3 3 5 3 6" xfId="28116"/>
    <cellStyle name="Header2 3 3 5 3 6 2" xfId="38115"/>
    <cellStyle name="Header2 3 3 5 3 7" xfId="22267"/>
    <cellStyle name="Header2 3 3 5 4" xfId="16004"/>
    <cellStyle name="Header2 3 3 5 4 2" xfId="27821"/>
    <cellStyle name="Header2 3 3 5 4 2 2" xfId="37820"/>
    <cellStyle name="Header2 3 3 5 4 3" xfId="23882"/>
    <cellStyle name="Header2 3 3 5 4 4" xfId="32972"/>
    <cellStyle name="Header2 3 3 5 5" xfId="16551"/>
    <cellStyle name="Header2 3 3 5 5 2" xfId="28368"/>
    <cellStyle name="Header2 3 3 5 5 2 2" xfId="38367"/>
    <cellStyle name="Header2 3 3 5 5 3" xfId="24126"/>
    <cellStyle name="Header2 3 3 5 5 4" xfId="33216"/>
    <cellStyle name="Header2 3 3 5 6" xfId="16850"/>
    <cellStyle name="Header2 3 3 5 6 2" xfId="28667"/>
    <cellStyle name="Header2 3 3 5 6 2 2" xfId="38666"/>
    <cellStyle name="Header2 3 3 5 6 3" xfId="24425"/>
    <cellStyle name="Header2 3 3 5 6 4" xfId="33515"/>
    <cellStyle name="Header2 3 3 5 7" xfId="17233"/>
    <cellStyle name="Header2 3 3 5 7 2" xfId="29050"/>
    <cellStyle name="Header2 3 3 5 7 2 2" xfId="39049"/>
    <cellStyle name="Header2 3 3 5 7 3" xfId="24808"/>
    <cellStyle name="Header2 3 3 5 7 4" xfId="33898"/>
    <cellStyle name="Header2 3 3 5 8" xfId="17536"/>
    <cellStyle name="Header2 3 3 5 8 2" xfId="29353"/>
    <cellStyle name="Header2 3 3 5 8 2 2" xfId="39352"/>
    <cellStyle name="Header2 3 3 5 8 3" xfId="25111"/>
    <cellStyle name="Header2 3 3 5 8 4" xfId="34201"/>
    <cellStyle name="Header2 3 3 5 9" xfId="18399"/>
    <cellStyle name="Header2 3 3 5 9 2" xfId="30216"/>
    <cellStyle name="Header2 3 3 5 9 2 2" xfId="40215"/>
    <cellStyle name="Header2 3 3 5 9 3" xfId="25874"/>
    <cellStyle name="Header2 3 3 5 9 4" xfId="35064"/>
    <cellStyle name="Header2 3 3 6" xfId="15699"/>
    <cellStyle name="Header2 3 3 6 2" xfId="19094"/>
    <cellStyle name="Header2 3 3 6 2 2" xfId="30911"/>
    <cellStyle name="Header2 3 3 6 2 2 2" xfId="40910"/>
    <cellStyle name="Header2 3 3 6 2 3" xfId="26569"/>
    <cellStyle name="Header2 3 3 6 2 4" xfId="35759"/>
    <cellStyle name="Header2 3 3 6 3" xfId="19700"/>
    <cellStyle name="Header2 3 3 6 3 2" xfId="31517"/>
    <cellStyle name="Header2 3 3 6 3 2 2" xfId="41516"/>
    <cellStyle name="Header2 3 3 6 3 3" xfId="27175"/>
    <cellStyle name="Header2 3 3 6 3 4" xfId="36365"/>
    <cellStyle name="Header2 3 3 6 4" xfId="17987"/>
    <cellStyle name="Header2 3 3 6 4 2" xfId="29804"/>
    <cellStyle name="Header2 3 3 6 4 2 2" xfId="39803"/>
    <cellStyle name="Header2 3 3 6 4 3" xfId="25562"/>
    <cellStyle name="Header2 3 3 6 4 4" xfId="34652"/>
    <cellStyle name="Header2 3 3 6 5" xfId="20509"/>
    <cellStyle name="Header2 3 3 6 5 2" xfId="32326"/>
    <cellStyle name="Header2 3 3 6 5 2 2" xfId="42325"/>
    <cellStyle name="Header2 3 3 6 5 3" xfId="37174"/>
    <cellStyle name="Header2 3 3 6 6" xfId="23577"/>
    <cellStyle name="Header2 3 3 6 6 2" xfId="21829"/>
    <cellStyle name="Header2 3 3 6 7" xfId="22993"/>
    <cellStyle name="Header2 3 3 6 7 2" xfId="21319"/>
    <cellStyle name="Header2 3 3 6 8" xfId="21653"/>
    <cellStyle name="Header2 3 3 7" xfId="16280"/>
    <cellStyle name="Header2 3 3 7 2" xfId="19391"/>
    <cellStyle name="Header2 3 3 7 2 2" xfId="31208"/>
    <cellStyle name="Header2 3 3 7 2 2 2" xfId="41207"/>
    <cellStyle name="Header2 3 3 7 2 3" xfId="26866"/>
    <cellStyle name="Header2 3 3 7 2 4" xfId="36056"/>
    <cellStyle name="Header2 3 3 7 3" xfId="19997"/>
    <cellStyle name="Header2 3 3 7 3 2" xfId="31814"/>
    <cellStyle name="Header2 3 3 7 3 2 2" xfId="41813"/>
    <cellStyle name="Header2 3 3 7 3 3" xfId="27472"/>
    <cellStyle name="Header2 3 3 7 3 4" xfId="36662"/>
    <cellStyle name="Header2 3 3 7 4" xfId="18088"/>
    <cellStyle name="Header2 3 3 7 4 2" xfId="29905"/>
    <cellStyle name="Header2 3 3 7 4 2 2" xfId="39904"/>
    <cellStyle name="Header2 3 3 7 4 3" xfId="25663"/>
    <cellStyle name="Header2 3 3 7 4 4" xfId="34753"/>
    <cellStyle name="Header2 3 3 7 5" xfId="20806"/>
    <cellStyle name="Header2 3 3 7 5 2" xfId="32623"/>
    <cellStyle name="Header2 3 3 7 5 2 2" xfId="42622"/>
    <cellStyle name="Header2 3 3 7 5 3" xfId="37471"/>
    <cellStyle name="Header2 3 3 7 6" xfId="28097"/>
    <cellStyle name="Header2 3 3 7 6 2" xfId="38096"/>
    <cellStyle name="Header2 3 3 7 7" xfId="21535"/>
    <cellStyle name="Header2 3 3 8" xfId="15988"/>
    <cellStyle name="Header2 3 3 8 2" xfId="27805"/>
    <cellStyle name="Header2 3 3 8 2 2" xfId="37804"/>
    <cellStyle name="Header2 3 3 8 3" xfId="23866"/>
    <cellStyle name="Header2 3 3 8 4" xfId="32956"/>
    <cellStyle name="Header2 3 3 9" xfId="16570"/>
    <cellStyle name="Header2 3 3 9 2" xfId="28387"/>
    <cellStyle name="Header2 3 3 9 2 2" xfId="38386"/>
    <cellStyle name="Header2 3 3 9 3" xfId="24145"/>
    <cellStyle name="Header2 3 3 9 4" xfId="33235"/>
    <cellStyle name="Header2 3 4" xfId="15618"/>
    <cellStyle name="Header2 3 4 2" xfId="19175"/>
    <cellStyle name="Header2 3 4 2 2" xfId="30992"/>
    <cellStyle name="Header2 3 4 2 2 2" xfId="40991"/>
    <cellStyle name="Header2 3 4 2 3" xfId="26650"/>
    <cellStyle name="Header2 3 4 2 4" xfId="35840"/>
    <cellStyle name="Header2 3 4 3" xfId="19781"/>
    <cellStyle name="Header2 3 4 3 2" xfId="31598"/>
    <cellStyle name="Header2 3 4 3 2 2" xfId="41597"/>
    <cellStyle name="Header2 3 4 3 3" xfId="27256"/>
    <cellStyle name="Header2 3 4 3 4" xfId="36446"/>
    <cellStyle name="Header2 3 4 4" xfId="17969"/>
    <cellStyle name="Header2 3 4 4 2" xfId="29786"/>
    <cellStyle name="Header2 3 4 4 2 2" xfId="39785"/>
    <cellStyle name="Header2 3 4 4 3" xfId="25544"/>
    <cellStyle name="Header2 3 4 4 4" xfId="34634"/>
    <cellStyle name="Header2 3 4 5" xfId="20590"/>
    <cellStyle name="Header2 3 4 5 2" xfId="32407"/>
    <cellStyle name="Header2 3 4 5 2 2" xfId="42406"/>
    <cellStyle name="Header2 3 4 5 3" xfId="37255"/>
    <cellStyle name="Header2 3 4 6" xfId="23496"/>
    <cellStyle name="Header2 3 4 6 2" xfId="21045"/>
    <cellStyle name="Header2 3 4 7" xfId="22863"/>
    <cellStyle name="Header2 3 4 7 2" xfId="22182"/>
    <cellStyle name="Header2 3 4 8" xfId="21624"/>
    <cellStyle name="Header2 3 5" xfId="16199"/>
    <cellStyle name="Header2 3 5 2" xfId="19468"/>
    <cellStyle name="Header2 3 5 2 2" xfId="31285"/>
    <cellStyle name="Header2 3 5 2 2 2" xfId="41284"/>
    <cellStyle name="Header2 3 5 2 3" xfId="26943"/>
    <cellStyle name="Header2 3 5 2 4" xfId="36133"/>
    <cellStyle name="Header2 3 5 3" xfId="20074"/>
    <cellStyle name="Header2 3 5 3 2" xfId="31891"/>
    <cellStyle name="Header2 3 5 3 2 2" xfId="41890"/>
    <cellStyle name="Header2 3 5 3 3" xfId="27549"/>
    <cellStyle name="Header2 3 5 3 4" xfId="36739"/>
    <cellStyle name="Header2 3 5 4" xfId="18060"/>
    <cellStyle name="Header2 3 5 4 2" xfId="29877"/>
    <cellStyle name="Header2 3 5 4 2 2" xfId="39876"/>
    <cellStyle name="Header2 3 5 4 3" xfId="25635"/>
    <cellStyle name="Header2 3 5 4 4" xfId="34725"/>
    <cellStyle name="Header2 3 5 5" xfId="20883"/>
    <cellStyle name="Header2 3 5 5 2" xfId="32700"/>
    <cellStyle name="Header2 3 5 5 2 2" xfId="42699"/>
    <cellStyle name="Header2 3 5 5 3" xfId="37548"/>
    <cellStyle name="Header2 3 5 6" xfId="28016"/>
    <cellStyle name="Header2 3 5 6 2" xfId="38015"/>
    <cellStyle name="Header2 3 5 7" xfId="21485"/>
    <cellStyle name="Header2 3 6" xfId="15916"/>
    <cellStyle name="Header2 3 6 2" xfId="27733"/>
    <cellStyle name="Header2 3 6 2 2" xfId="37732"/>
    <cellStyle name="Header2 3 6 3" xfId="23794"/>
    <cellStyle name="Header2 3 6 4" xfId="32884"/>
    <cellStyle name="Header2 3 7" xfId="16651"/>
    <cellStyle name="Header2 3 7 2" xfId="28468"/>
    <cellStyle name="Header2 3 7 2 2" xfId="38467"/>
    <cellStyle name="Header2 3 7 3" xfId="24226"/>
    <cellStyle name="Header2 3 7 4" xfId="33316"/>
    <cellStyle name="Header2 3 8" xfId="16944"/>
    <cellStyle name="Header2 3 8 2" xfId="28761"/>
    <cellStyle name="Header2 3 8 2 2" xfId="38760"/>
    <cellStyle name="Header2 3 8 3" xfId="24519"/>
    <cellStyle name="Header2 3 8 4" xfId="33609"/>
    <cellStyle name="Header2 3 9" xfId="17133"/>
    <cellStyle name="Header2 3 9 2" xfId="28950"/>
    <cellStyle name="Header2 3 9 2 2" xfId="38949"/>
    <cellStyle name="Header2 3 9 3" xfId="24708"/>
    <cellStyle name="Header2 3 9 4" xfId="33798"/>
    <cellStyle name="Header2 4" xfId="7912"/>
    <cellStyle name="Header2 4 10" xfId="7913"/>
    <cellStyle name="Header2 4 10 10" xfId="17235"/>
    <cellStyle name="Header2 4 10 10 2" xfId="29052"/>
    <cellStyle name="Header2 4 10 10 2 2" xfId="39051"/>
    <cellStyle name="Header2 4 10 10 3" xfId="24810"/>
    <cellStyle name="Header2 4 10 10 4" xfId="33900"/>
    <cellStyle name="Header2 4 10 11" xfId="17538"/>
    <cellStyle name="Header2 4 10 11 2" xfId="29355"/>
    <cellStyle name="Header2 4 10 11 2 2" xfId="39354"/>
    <cellStyle name="Header2 4 10 11 3" xfId="25113"/>
    <cellStyle name="Header2 4 10 11 4" xfId="34203"/>
    <cellStyle name="Header2 4 10 12" xfId="18397"/>
    <cellStyle name="Header2 4 10 12 2" xfId="30214"/>
    <cellStyle name="Header2 4 10 12 2 2" xfId="40213"/>
    <cellStyle name="Header2 4 10 12 3" xfId="25872"/>
    <cellStyle name="Header2 4 10 12 4" xfId="35062"/>
    <cellStyle name="Header2 4 10 13" xfId="18696"/>
    <cellStyle name="Header2 4 10 13 2" xfId="30513"/>
    <cellStyle name="Header2 4 10 13 2 2" xfId="40512"/>
    <cellStyle name="Header2 4 10 13 3" xfId="26171"/>
    <cellStyle name="Header2 4 10 13 4" xfId="35361"/>
    <cellStyle name="Header2 4 10 14" xfId="20296"/>
    <cellStyle name="Header2 4 10 14 2" xfId="32113"/>
    <cellStyle name="Header2 4 10 14 2 2" xfId="42112"/>
    <cellStyle name="Header2 4 10 14 3" xfId="36961"/>
    <cellStyle name="Header2 4 10 15" xfId="23189"/>
    <cellStyle name="Header2 4 10 15 2" xfId="21235"/>
    <cellStyle name="Header2 4 10 16" xfId="22583"/>
    <cellStyle name="Header2 4 10 2" xfId="7914"/>
    <cellStyle name="Header2 4 10 2 10" xfId="18695"/>
    <cellStyle name="Header2 4 10 2 10 2" xfId="30512"/>
    <cellStyle name="Header2 4 10 2 10 2 2" xfId="40511"/>
    <cellStyle name="Header2 4 10 2 10 3" xfId="26170"/>
    <cellStyle name="Header2 4 10 2 10 4" xfId="35360"/>
    <cellStyle name="Header2 4 10 2 11" xfId="18267"/>
    <cellStyle name="Header2 4 10 2 11 2" xfId="30084"/>
    <cellStyle name="Header2 4 10 2 11 2 2" xfId="40083"/>
    <cellStyle name="Header2 4 10 2 11 3" xfId="34932"/>
    <cellStyle name="Header2 4 10 2 12" xfId="23188"/>
    <cellStyle name="Header2 4 10 2 12 2" xfId="21236"/>
    <cellStyle name="Header2 4 10 2 13" xfId="22582"/>
    <cellStyle name="Header2 4 10 2 2" xfId="15721"/>
    <cellStyle name="Header2 4 10 2 2 2" xfId="19072"/>
    <cellStyle name="Header2 4 10 2 2 2 2" xfId="30889"/>
    <cellStyle name="Header2 4 10 2 2 2 2 2" xfId="40888"/>
    <cellStyle name="Header2 4 10 2 2 2 3" xfId="26547"/>
    <cellStyle name="Header2 4 10 2 2 2 4" xfId="35737"/>
    <cellStyle name="Header2 4 10 2 2 3" xfId="19678"/>
    <cellStyle name="Header2 4 10 2 2 3 2" xfId="31495"/>
    <cellStyle name="Header2 4 10 2 2 3 2 2" xfId="41494"/>
    <cellStyle name="Header2 4 10 2 2 3 3" xfId="27153"/>
    <cellStyle name="Header2 4 10 2 2 3 4" xfId="36343"/>
    <cellStyle name="Header2 4 10 2 2 4" xfId="17825"/>
    <cellStyle name="Header2 4 10 2 2 4 2" xfId="29642"/>
    <cellStyle name="Header2 4 10 2 2 4 2 2" xfId="39641"/>
    <cellStyle name="Header2 4 10 2 2 4 3" xfId="25400"/>
    <cellStyle name="Header2 4 10 2 2 4 4" xfId="34490"/>
    <cellStyle name="Header2 4 10 2 2 5" xfId="20487"/>
    <cellStyle name="Header2 4 10 2 2 5 2" xfId="32304"/>
    <cellStyle name="Header2 4 10 2 2 5 2 2" xfId="42303"/>
    <cellStyle name="Header2 4 10 2 2 5 3" xfId="37152"/>
    <cellStyle name="Header2 4 10 2 2 6" xfId="23599"/>
    <cellStyle name="Header2 4 10 2 2 6 2" xfId="21816"/>
    <cellStyle name="Header2 4 10 2 2 7" xfId="22980"/>
    <cellStyle name="Header2 4 10 2 2 7 2" xfId="22115"/>
    <cellStyle name="Header2 4 10 2 2 8" xfId="22446"/>
    <cellStyle name="Header2 4 10 2 3" xfId="16302"/>
    <cellStyle name="Header2 4 10 2 3 2" xfId="19371"/>
    <cellStyle name="Header2 4 10 2 3 2 2" xfId="31188"/>
    <cellStyle name="Header2 4 10 2 3 2 2 2" xfId="41187"/>
    <cellStyle name="Header2 4 10 2 3 2 3" xfId="26846"/>
    <cellStyle name="Header2 4 10 2 3 2 4" xfId="36036"/>
    <cellStyle name="Header2 4 10 2 3 3" xfId="19977"/>
    <cellStyle name="Header2 4 10 2 3 3 2" xfId="31794"/>
    <cellStyle name="Header2 4 10 2 3 3 2 2" xfId="41793"/>
    <cellStyle name="Header2 4 10 2 3 3 3" xfId="27452"/>
    <cellStyle name="Header2 4 10 2 3 3 4" xfId="36642"/>
    <cellStyle name="Header2 4 10 2 3 4" xfId="18857"/>
    <cellStyle name="Header2 4 10 2 3 4 2" xfId="30674"/>
    <cellStyle name="Header2 4 10 2 3 4 2 2" xfId="40673"/>
    <cellStyle name="Header2 4 10 2 3 4 3" xfId="26332"/>
    <cellStyle name="Header2 4 10 2 3 4 4" xfId="35522"/>
    <cellStyle name="Header2 4 10 2 3 5" xfId="20786"/>
    <cellStyle name="Header2 4 10 2 3 5 2" xfId="32603"/>
    <cellStyle name="Header2 4 10 2 3 5 2 2" xfId="42602"/>
    <cellStyle name="Header2 4 10 2 3 5 3" xfId="37451"/>
    <cellStyle name="Header2 4 10 2 3 6" xfId="28119"/>
    <cellStyle name="Header2 4 10 2 3 6 2" xfId="38118"/>
    <cellStyle name="Header2 4 10 2 3 7" xfId="22269"/>
    <cellStyle name="Header2 4 10 2 4" xfId="16007"/>
    <cellStyle name="Header2 4 10 2 4 2" xfId="27824"/>
    <cellStyle name="Header2 4 10 2 4 2 2" xfId="37823"/>
    <cellStyle name="Header2 4 10 2 4 3" xfId="23885"/>
    <cellStyle name="Header2 4 10 2 4 4" xfId="32975"/>
    <cellStyle name="Header2 4 10 2 5" xfId="16548"/>
    <cellStyle name="Header2 4 10 2 5 2" xfId="28365"/>
    <cellStyle name="Header2 4 10 2 5 2 2" xfId="38364"/>
    <cellStyle name="Header2 4 10 2 5 3" xfId="24123"/>
    <cellStyle name="Header2 4 10 2 5 4" xfId="33213"/>
    <cellStyle name="Header2 4 10 2 6" xfId="16847"/>
    <cellStyle name="Header2 4 10 2 6 2" xfId="28664"/>
    <cellStyle name="Header2 4 10 2 6 2 2" xfId="38663"/>
    <cellStyle name="Header2 4 10 2 6 3" xfId="24422"/>
    <cellStyle name="Header2 4 10 2 6 4" xfId="33512"/>
    <cellStyle name="Header2 4 10 2 7" xfId="17236"/>
    <cellStyle name="Header2 4 10 2 7 2" xfId="29053"/>
    <cellStyle name="Header2 4 10 2 7 2 2" xfId="39052"/>
    <cellStyle name="Header2 4 10 2 7 3" xfId="24811"/>
    <cellStyle name="Header2 4 10 2 7 4" xfId="33901"/>
    <cellStyle name="Header2 4 10 2 8" xfId="17539"/>
    <cellStyle name="Header2 4 10 2 8 2" xfId="29356"/>
    <cellStyle name="Header2 4 10 2 8 2 2" xfId="39355"/>
    <cellStyle name="Header2 4 10 2 8 3" xfId="25114"/>
    <cellStyle name="Header2 4 10 2 8 4" xfId="34204"/>
    <cellStyle name="Header2 4 10 2 9" xfId="18396"/>
    <cellStyle name="Header2 4 10 2 9 2" xfId="30213"/>
    <cellStyle name="Header2 4 10 2 9 2 2" xfId="40212"/>
    <cellStyle name="Header2 4 10 2 9 3" xfId="25871"/>
    <cellStyle name="Header2 4 10 2 9 4" xfId="35061"/>
    <cellStyle name="Header2 4 10 3" xfId="7915"/>
    <cellStyle name="Header2 4 10 3 10" xfId="18694"/>
    <cellStyle name="Header2 4 10 3 10 2" xfId="30511"/>
    <cellStyle name="Header2 4 10 3 10 2 2" xfId="40510"/>
    <cellStyle name="Header2 4 10 3 10 3" xfId="26169"/>
    <cellStyle name="Header2 4 10 3 10 4" xfId="35359"/>
    <cellStyle name="Header2 4 10 3 11" xfId="18268"/>
    <cellStyle name="Header2 4 10 3 11 2" xfId="30085"/>
    <cellStyle name="Header2 4 10 3 11 2 2" xfId="40084"/>
    <cellStyle name="Header2 4 10 3 11 3" xfId="34933"/>
    <cellStyle name="Header2 4 10 3 12" xfId="23187"/>
    <cellStyle name="Header2 4 10 3 12 2" xfId="21998"/>
    <cellStyle name="Header2 4 10 3 13" xfId="22581"/>
    <cellStyle name="Header2 4 10 3 2" xfId="15722"/>
    <cellStyle name="Header2 4 10 3 2 2" xfId="19071"/>
    <cellStyle name="Header2 4 10 3 2 2 2" xfId="30888"/>
    <cellStyle name="Header2 4 10 3 2 2 2 2" xfId="40887"/>
    <cellStyle name="Header2 4 10 3 2 2 3" xfId="26546"/>
    <cellStyle name="Header2 4 10 3 2 2 4" xfId="35736"/>
    <cellStyle name="Header2 4 10 3 2 3" xfId="19677"/>
    <cellStyle name="Header2 4 10 3 2 3 2" xfId="31494"/>
    <cellStyle name="Header2 4 10 3 2 3 2 2" xfId="41493"/>
    <cellStyle name="Header2 4 10 3 2 3 3" xfId="27152"/>
    <cellStyle name="Header2 4 10 3 2 3 4" xfId="36342"/>
    <cellStyle name="Header2 4 10 3 2 4" xfId="18000"/>
    <cellStyle name="Header2 4 10 3 2 4 2" xfId="29817"/>
    <cellStyle name="Header2 4 10 3 2 4 2 2" xfId="39816"/>
    <cellStyle name="Header2 4 10 3 2 4 3" xfId="25575"/>
    <cellStyle name="Header2 4 10 3 2 4 4" xfId="34665"/>
    <cellStyle name="Header2 4 10 3 2 5" xfId="20486"/>
    <cellStyle name="Header2 4 10 3 2 5 2" xfId="32303"/>
    <cellStyle name="Header2 4 10 3 2 5 2 2" xfId="42302"/>
    <cellStyle name="Header2 4 10 3 2 5 3" xfId="37151"/>
    <cellStyle name="Header2 4 10 3 2 6" xfId="23600"/>
    <cellStyle name="Header2 4 10 3 2 6 2" xfId="21815"/>
    <cellStyle name="Header2 4 10 3 2 7" xfId="22979"/>
    <cellStyle name="Header2 4 10 3 2 7 2" xfId="22116"/>
    <cellStyle name="Header2 4 10 3 2 8" xfId="22447"/>
    <cellStyle name="Header2 4 10 3 3" xfId="16303"/>
    <cellStyle name="Header2 4 10 3 3 2" xfId="19370"/>
    <cellStyle name="Header2 4 10 3 3 2 2" xfId="31187"/>
    <cellStyle name="Header2 4 10 3 3 2 2 2" xfId="41186"/>
    <cellStyle name="Header2 4 10 3 3 2 3" xfId="26845"/>
    <cellStyle name="Header2 4 10 3 3 2 4" xfId="36035"/>
    <cellStyle name="Header2 4 10 3 3 3" xfId="19976"/>
    <cellStyle name="Header2 4 10 3 3 3 2" xfId="31793"/>
    <cellStyle name="Header2 4 10 3 3 3 2 2" xfId="41792"/>
    <cellStyle name="Header2 4 10 3 3 3 3" xfId="27451"/>
    <cellStyle name="Header2 4 10 3 3 3 4" xfId="36641"/>
    <cellStyle name="Header2 4 10 3 3 4" xfId="18094"/>
    <cellStyle name="Header2 4 10 3 3 4 2" xfId="29911"/>
    <cellStyle name="Header2 4 10 3 3 4 2 2" xfId="39910"/>
    <cellStyle name="Header2 4 10 3 3 4 3" xfId="25669"/>
    <cellStyle name="Header2 4 10 3 3 4 4" xfId="34759"/>
    <cellStyle name="Header2 4 10 3 3 5" xfId="20785"/>
    <cellStyle name="Header2 4 10 3 3 5 2" xfId="32602"/>
    <cellStyle name="Header2 4 10 3 3 5 2 2" xfId="42601"/>
    <cellStyle name="Header2 4 10 3 3 5 3" xfId="37450"/>
    <cellStyle name="Header2 4 10 3 3 6" xfId="28120"/>
    <cellStyle name="Header2 4 10 3 3 6 2" xfId="38119"/>
    <cellStyle name="Header2 4 10 3 3 7" xfId="22270"/>
    <cellStyle name="Header2 4 10 3 4" xfId="16008"/>
    <cellStyle name="Header2 4 10 3 4 2" xfId="27825"/>
    <cellStyle name="Header2 4 10 3 4 2 2" xfId="37824"/>
    <cellStyle name="Header2 4 10 3 4 3" xfId="23886"/>
    <cellStyle name="Header2 4 10 3 4 4" xfId="32976"/>
    <cellStyle name="Header2 4 10 3 5" xfId="16547"/>
    <cellStyle name="Header2 4 10 3 5 2" xfId="28364"/>
    <cellStyle name="Header2 4 10 3 5 2 2" xfId="38363"/>
    <cellStyle name="Header2 4 10 3 5 3" xfId="24122"/>
    <cellStyle name="Header2 4 10 3 5 4" xfId="33212"/>
    <cellStyle name="Header2 4 10 3 6" xfId="16846"/>
    <cellStyle name="Header2 4 10 3 6 2" xfId="28663"/>
    <cellStyle name="Header2 4 10 3 6 2 2" xfId="38662"/>
    <cellStyle name="Header2 4 10 3 6 3" xfId="24421"/>
    <cellStyle name="Header2 4 10 3 6 4" xfId="33511"/>
    <cellStyle name="Header2 4 10 3 7" xfId="17237"/>
    <cellStyle name="Header2 4 10 3 7 2" xfId="29054"/>
    <cellStyle name="Header2 4 10 3 7 2 2" xfId="39053"/>
    <cellStyle name="Header2 4 10 3 7 3" xfId="24812"/>
    <cellStyle name="Header2 4 10 3 7 4" xfId="33902"/>
    <cellStyle name="Header2 4 10 3 8" xfId="17540"/>
    <cellStyle name="Header2 4 10 3 8 2" xfId="29357"/>
    <cellStyle name="Header2 4 10 3 8 2 2" xfId="39356"/>
    <cellStyle name="Header2 4 10 3 8 3" xfId="25115"/>
    <cellStyle name="Header2 4 10 3 8 4" xfId="34205"/>
    <cellStyle name="Header2 4 10 3 9" xfId="18395"/>
    <cellStyle name="Header2 4 10 3 9 2" xfId="30212"/>
    <cellStyle name="Header2 4 10 3 9 2 2" xfId="40211"/>
    <cellStyle name="Header2 4 10 3 9 3" xfId="25870"/>
    <cellStyle name="Header2 4 10 3 9 4" xfId="35060"/>
    <cellStyle name="Header2 4 10 4" xfId="7916"/>
    <cellStyle name="Header2 4 10 4 10" xfId="18693"/>
    <cellStyle name="Header2 4 10 4 10 2" xfId="30510"/>
    <cellStyle name="Header2 4 10 4 10 2 2" xfId="40509"/>
    <cellStyle name="Header2 4 10 4 10 3" xfId="26168"/>
    <cellStyle name="Header2 4 10 4 10 4" xfId="35358"/>
    <cellStyle name="Header2 4 10 4 11" xfId="20191"/>
    <cellStyle name="Header2 4 10 4 11 2" xfId="32008"/>
    <cellStyle name="Header2 4 10 4 11 2 2" xfId="42007"/>
    <cellStyle name="Header2 4 10 4 11 3" xfId="36856"/>
    <cellStyle name="Header2 4 10 4 12" xfId="23186"/>
    <cellStyle name="Header2 4 10 4 12 2" xfId="21237"/>
    <cellStyle name="Header2 4 10 4 13" xfId="22580"/>
    <cellStyle name="Header2 4 10 4 2" xfId="15723"/>
    <cellStyle name="Header2 4 10 4 2 2" xfId="19070"/>
    <cellStyle name="Header2 4 10 4 2 2 2" xfId="30887"/>
    <cellStyle name="Header2 4 10 4 2 2 2 2" xfId="40886"/>
    <cellStyle name="Header2 4 10 4 2 2 3" xfId="26545"/>
    <cellStyle name="Header2 4 10 4 2 2 4" xfId="35735"/>
    <cellStyle name="Header2 4 10 4 2 3" xfId="19676"/>
    <cellStyle name="Header2 4 10 4 2 3 2" xfId="31493"/>
    <cellStyle name="Header2 4 10 4 2 3 2 2" xfId="41492"/>
    <cellStyle name="Header2 4 10 4 2 3 3" xfId="27151"/>
    <cellStyle name="Header2 4 10 4 2 3 4" xfId="36341"/>
    <cellStyle name="Header2 4 10 4 2 4" xfId="17712"/>
    <cellStyle name="Header2 4 10 4 2 4 2" xfId="29529"/>
    <cellStyle name="Header2 4 10 4 2 4 2 2" xfId="39528"/>
    <cellStyle name="Header2 4 10 4 2 4 3" xfId="25287"/>
    <cellStyle name="Header2 4 10 4 2 4 4" xfId="34377"/>
    <cellStyle name="Header2 4 10 4 2 5" xfId="20485"/>
    <cellStyle name="Header2 4 10 4 2 5 2" xfId="32302"/>
    <cellStyle name="Header2 4 10 4 2 5 2 2" xfId="42301"/>
    <cellStyle name="Header2 4 10 4 2 5 3" xfId="37150"/>
    <cellStyle name="Header2 4 10 4 2 6" xfId="23601"/>
    <cellStyle name="Header2 4 10 4 2 6 2" xfId="21814"/>
    <cellStyle name="Header2 4 10 4 2 7" xfId="22978"/>
    <cellStyle name="Header2 4 10 4 2 7 2" xfId="22117"/>
    <cellStyle name="Header2 4 10 4 2 8" xfId="22448"/>
    <cellStyle name="Header2 4 10 4 3" xfId="16304"/>
    <cellStyle name="Header2 4 10 4 3 2" xfId="19369"/>
    <cellStyle name="Header2 4 10 4 3 2 2" xfId="31186"/>
    <cellStyle name="Header2 4 10 4 3 2 2 2" xfId="41185"/>
    <cellStyle name="Header2 4 10 4 3 2 3" xfId="26844"/>
    <cellStyle name="Header2 4 10 4 3 2 4" xfId="36034"/>
    <cellStyle name="Header2 4 10 4 3 3" xfId="19975"/>
    <cellStyle name="Header2 4 10 4 3 3 2" xfId="31792"/>
    <cellStyle name="Header2 4 10 4 3 3 2 2" xfId="41791"/>
    <cellStyle name="Header2 4 10 4 3 3 3" xfId="27450"/>
    <cellStyle name="Header2 4 10 4 3 3 4" xfId="36640"/>
    <cellStyle name="Header2 4 10 4 3 4" xfId="18095"/>
    <cellStyle name="Header2 4 10 4 3 4 2" xfId="29912"/>
    <cellStyle name="Header2 4 10 4 3 4 2 2" xfId="39911"/>
    <cellStyle name="Header2 4 10 4 3 4 3" xfId="25670"/>
    <cellStyle name="Header2 4 10 4 3 4 4" xfId="34760"/>
    <cellStyle name="Header2 4 10 4 3 5" xfId="20784"/>
    <cellStyle name="Header2 4 10 4 3 5 2" xfId="32601"/>
    <cellStyle name="Header2 4 10 4 3 5 2 2" xfId="42600"/>
    <cellStyle name="Header2 4 10 4 3 5 3" xfId="37449"/>
    <cellStyle name="Header2 4 10 4 3 6" xfId="28121"/>
    <cellStyle name="Header2 4 10 4 3 6 2" xfId="38120"/>
    <cellStyle name="Header2 4 10 4 3 7" xfId="22271"/>
    <cellStyle name="Header2 4 10 4 4" xfId="16009"/>
    <cellStyle name="Header2 4 10 4 4 2" xfId="27826"/>
    <cellStyle name="Header2 4 10 4 4 2 2" xfId="37825"/>
    <cellStyle name="Header2 4 10 4 4 3" xfId="23887"/>
    <cellStyle name="Header2 4 10 4 4 4" xfId="32977"/>
    <cellStyle name="Header2 4 10 4 5" xfId="16546"/>
    <cellStyle name="Header2 4 10 4 5 2" xfId="28363"/>
    <cellStyle name="Header2 4 10 4 5 2 2" xfId="38362"/>
    <cellStyle name="Header2 4 10 4 5 3" xfId="24121"/>
    <cellStyle name="Header2 4 10 4 5 4" xfId="33211"/>
    <cellStyle name="Header2 4 10 4 6" xfId="16845"/>
    <cellStyle name="Header2 4 10 4 6 2" xfId="28662"/>
    <cellStyle name="Header2 4 10 4 6 2 2" xfId="38661"/>
    <cellStyle name="Header2 4 10 4 6 3" xfId="24420"/>
    <cellStyle name="Header2 4 10 4 6 4" xfId="33510"/>
    <cellStyle name="Header2 4 10 4 7" xfId="17238"/>
    <cellStyle name="Header2 4 10 4 7 2" xfId="29055"/>
    <cellStyle name="Header2 4 10 4 7 2 2" xfId="39054"/>
    <cellStyle name="Header2 4 10 4 7 3" xfId="24813"/>
    <cellStyle name="Header2 4 10 4 7 4" xfId="33903"/>
    <cellStyle name="Header2 4 10 4 8" xfId="17541"/>
    <cellStyle name="Header2 4 10 4 8 2" xfId="29358"/>
    <cellStyle name="Header2 4 10 4 8 2 2" xfId="39357"/>
    <cellStyle name="Header2 4 10 4 8 3" xfId="25116"/>
    <cellStyle name="Header2 4 10 4 8 4" xfId="34206"/>
    <cellStyle name="Header2 4 10 4 9" xfId="18394"/>
    <cellStyle name="Header2 4 10 4 9 2" xfId="30211"/>
    <cellStyle name="Header2 4 10 4 9 2 2" xfId="40210"/>
    <cellStyle name="Header2 4 10 4 9 3" xfId="25869"/>
    <cellStyle name="Header2 4 10 4 9 4" xfId="35059"/>
    <cellStyle name="Header2 4 10 5" xfId="15720"/>
    <cellStyle name="Header2 4 10 5 2" xfId="19073"/>
    <cellStyle name="Header2 4 10 5 2 2" xfId="30890"/>
    <cellStyle name="Header2 4 10 5 2 2 2" xfId="40889"/>
    <cellStyle name="Header2 4 10 5 2 3" xfId="26548"/>
    <cellStyle name="Header2 4 10 5 2 4" xfId="35738"/>
    <cellStyle name="Header2 4 10 5 3" xfId="19679"/>
    <cellStyle name="Header2 4 10 5 3 2" xfId="31496"/>
    <cellStyle name="Header2 4 10 5 3 2 2" xfId="41495"/>
    <cellStyle name="Header2 4 10 5 3 3" xfId="27154"/>
    <cellStyle name="Header2 4 10 5 3 4" xfId="36344"/>
    <cellStyle name="Header2 4 10 5 4" xfId="17711"/>
    <cellStyle name="Header2 4 10 5 4 2" xfId="29528"/>
    <cellStyle name="Header2 4 10 5 4 2 2" xfId="39527"/>
    <cellStyle name="Header2 4 10 5 4 3" xfId="25286"/>
    <cellStyle name="Header2 4 10 5 4 4" xfId="34376"/>
    <cellStyle name="Header2 4 10 5 5" xfId="20488"/>
    <cellStyle name="Header2 4 10 5 5 2" xfId="32305"/>
    <cellStyle name="Header2 4 10 5 5 2 2" xfId="42304"/>
    <cellStyle name="Header2 4 10 5 5 3" xfId="37153"/>
    <cellStyle name="Header2 4 10 5 6" xfId="23598"/>
    <cellStyle name="Header2 4 10 5 6 2" xfId="21817"/>
    <cellStyle name="Header2 4 10 5 7" xfId="22981"/>
    <cellStyle name="Header2 4 10 5 7 2" xfId="22114"/>
    <cellStyle name="Header2 4 10 5 8" xfId="22445"/>
    <cellStyle name="Header2 4 10 6" xfId="16301"/>
    <cellStyle name="Header2 4 10 6 2" xfId="19372"/>
    <cellStyle name="Header2 4 10 6 2 2" xfId="31189"/>
    <cellStyle name="Header2 4 10 6 2 2 2" xfId="41188"/>
    <cellStyle name="Header2 4 10 6 2 3" xfId="26847"/>
    <cellStyle name="Header2 4 10 6 2 4" xfId="36037"/>
    <cellStyle name="Header2 4 10 6 3" xfId="19978"/>
    <cellStyle name="Header2 4 10 6 3 2" xfId="31795"/>
    <cellStyle name="Header2 4 10 6 3 2 2" xfId="41794"/>
    <cellStyle name="Header2 4 10 6 3 3" xfId="27453"/>
    <cellStyle name="Header2 4 10 6 3 4" xfId="36643"/>
    <cellStyle name="Header2 4 10 6 4" xfId="18093"/>
    <cellStyle name="Header2 4 10 6 4 2" xfId="29910"/>
    <cellStyle name="Header2 4 10 6 4 2 2" xfId="39909"/>
    <cellStyle name="Header2 4 10 6 4 3" xfId="25668"/>
    <cellStyle name="Header2 4 10 6 4 4" xfId="34758"/>
    <cellStyle name="Header2 4 10 6 5" xfId="20787"/>
    <cellStyle name="Header2 4 10 6 5 2" xfId="32604"/>
    <cellStyle name="Header2 4 10 6 5 2 2" xfId="42603"/>
    <cellStyle name="Header2 4 10 6 5 3" xfId="37452"/>
    <cellStyle name="Header2 4 10 6 6" xfId="28118"/>
    <cellStyle name="Header2 4 10 6 6 2" xfId="38117"/>
    <cellStyle name="Header2 4 10 6 7" xfId="21547"/>
    <cellStyle name="Header2 4 10 7" xfId="16006"/>
    <cellStyle name="Header2 4 10 7 2" xfId="27823"/>
    <cellStyle name="Header2 4 10 7 2 2" xfId="37822"/>
    <cellStyle name="Header2 4 10 7 3" xfId="23884"/>
    <cellStyle name="Header2 4 10 7 4" xfId="32974"/>
    <cellStyle name="Header2 4 10 8" xfId="16549"/>
    <cellStyle name="Header2 4 10 8 2" xfId="28366"/>
    <cellStyle name="Header2 4 10 8 2 2" xfId="38365"/>
    <cellStyle name="Header2 4 10 8 3" xfId="24124"/>
    <cellStyle name="Header2 4 10 8 4" xfId="33214"/>
    <cellStyle name="Header2 4 10 9" xfId="16848"/>
    <cellStyle name="Header2 4 10 9 2" xfId="28665"/>
    <cellStyle name="Header2 4 10 9 2 2" xfId="38664"/>
    <cellStyle name="Header2 4 10 9 3" xfId="24423"/>
    <cellStyle name="Header2 4 10 9 4" xfId="33513"/>
    <cellStyle name="Header2 4 11" xfId="7917"/>
    <cellStyle name="Header2 4 11 10" xfId="17239"/>
    <cellStyle name="Header2 4 11 10 2" xfId="29056"/>
    <cellStyle name="Header2 4 11 10 2 2" xfId="39055"/>
    <cellStyle name="Header2 4 11 10 3" xfId="24814"/>
    <cellStyle name="Header2 4 11 10 4" xfId="33904"/>
    <cellStyle name="Header2 4 11 11" xfId="17542"/>
    <cellStyle name="Header2 4 11 11 2" xfId="29359"/>
    <cellStyle name="Header2 4 11 11 2 2" xfId="39358"/>
    <cellStyle name="Header2 4 11 11 3" xfId="25117"/>
    <cellStyle name="Header2 4 11 11 4" xfId="34207"/>
    <cellStyle name="Header2 4 11 12" xfId="18393"/>
    <cellStyle name="Header2 4 11 12 2" xfId="30210"/>
    <cellStyle name="Header2 4 11 12 2 2" xfId="40209"/>
    <cellStyle name="Header2 4 11 12 3" xfId="25868"/>
    <cellStyle name="Header2 4 11 12 4" xfId="35058"/>
    <cellStyle name="Header2 4 11 13" xfId="18692"/>
    <cellStyle name="Header2 4 11 13 2" xfId="30509"/>
    <cellStyle name="Header2 4 11 13 2 2" xfId="40508"/>
    <cellStyle name="Header2 4 11 13 3" xfId="26167"/>
    <cellStyle name="Header2 4 11 13 4" xfId="35357"/>
    <cellStyle name="Header2 4 11 14" xfId="20292"/>
    <cellStyle name="Header2 4 11 14 2" xfId="32109"/>
    <cellStyle name="Header2 4 11 14 2 2" xfId="42108"/>
    <cellStyle name="Header2 4 11 14 3" xfId="36957"/>
    <cellStyle name="Header2 4 11 15" xfId="23185"/>
    <cellStyle name="Header2 4 11 15 2" xfId="21238"/>
    <cellStyle name="Header2 4 11 16" xfId="22579"/>
    <cellStyle name="Header2 4 11 2" xfId="7918"/>
    <cellStyle name="Header2 4 11 2 10" xfId="18691"/>
    <cellStyle name="Header2 4 11 2 10 2" xfId="30508"/>
    <cellStyle name="Header2 4 11 2 10 2 2" xfId="40507"/>
    <cellStyle name="Header2 4 11 2 10 3" xfId="26166"/>
    <cellStyle name="Header2 4 11 2 10 4" xfId="35356"/>
    <cellStyle name="Header2 4 11 2 11" xfId="18269"/>
    <cellStyle name="Header2 4 11 2 11 2" xfId="30086"/>
    <cellStyle name="Header2 4 11 2 11 2 2" xfId="40085"/>
    <cellStyle name="Header2 4 11 2 11 3" xfId="34934"/>
    <cellStyle name="Header2 4 11 2 12" xfId="23184"/>
    <cellStyle name="Header2 4 11 2 12 2" xfId="21239"/>
    <cellStyle name="Header2 4 11 2 13" xfId="22578"/>
    <cellStyle name="Header2 4 11 2 2" xfId="15725"/>
    <cellStyle name="Header2 4 11 2 2 2" xfId="19068"/>
    <cellStyle name="Header2 4 11 2 2 2 2" xfId="30885"/>
    <cellStyle name="Header2 4 11 2 2 2 2 2" xfId="40884"/>
    <cellStyle name="Header2 4 11 2 2 2 3" xfId="26543"/>
    <cellStyle name="Header2 4 11 2 2 2 4" xfId="35733"/>
    <cellStyle name="Header2 4 11 2 2 3" xfId="19674"/>
    <cellStyle name="Header2 4 11 2 2 3 2" xfId="31491"/>
    <cellStyle name="Header2 4 11 2 2 3 2 2" xfId="41490"/>
    <cellStyle name="Header2 4 11 2 2 3 3" xfId="27149"/>
    <cellStyle name="Header2 4 11 2 2 3 4" xfId="36339"/>
    <cellStyle name="Header2 4 11 2 2 4" xfId="18160"/>
    <cellStyle name="Header2 4 11 2 2 4 2" xfId="29977"/>
    <cellStyle name="Header2 4 11 2 2 4 2 2" xfId="39976"/>
    <cellStyle name="Header2 4 11 2 2 4 3" xfId="25735"/>
    <cellStyle name="Header2 4 11 2 2 4 4" xfId="34825"/>
    <cellStyle name="Header2 4 11 2 2 5" xfId="20483"/>
    <cellStyle name="Header2 4 11 2 2 5 2" xfId="32300"/>
    <cellStyle name="Header2 4 11 2 2 5 2 2" xfId="42299"/>
    <cellStyle name="Header2 4 11 2 2 5 3" xfId="37148"/>
    <cellStyle name="Header2 4 11 2 2 6" xfId="23603"/>
    <cellStyle name="Header2 4 11 2 2 6 2" xfId="21006"/>
    <cellStyle name="Header2 4 11 2 2 7" xfId="22824"/>
    <cellStyle name="Header2 4 11 2 2 7 2" xfId="22195"/>
    <cellStyle name="Header2 4 11 2 2 8" xfId="21669"/>
    <cellStyle name="Header2 4 11 2 3" xfId="16306"/>
    <cellStyle name="Header2 4 11 2 3 2" xfId="19367"/>
    <cellStyle name="Header2 4 11 2 3 2 2" xfId="31184"/>
    <cellStyle name="Header2 4 11 2 3 2 2 2" xfId="41183"/>
    <cellStyle name="Header2 4 11 2 3 2 3" xfId="26842"/>
    <cellStyle name="Header2 4 11 2 3 2 4" xfId="36032"/>
    <cellStyle name="Header2 4 11 2 3 3" xfId="19973"/>
    <cellStyle name="Header2 4 11 2 3 3 2" xfId="31790"/>
    <cellStyle name="Header2 4 11 2 3 3 2 2" xfId="41789"/>
    <cellStyle name="Header2 4 11 2 3 3 3" xfId="27448"/>
    <cellStyle name="Header2 4 11 2 3 3 4" xfId="36638"/>
    <cellStyle name="Header2 4 11 2 3 4" xfId="17916"/>
    <cellStyle name="Header2 4 11 2 3 4 2" xfId="29733"/>
    <cellStyle name="Header2 4 11 2 3 4 2 2" xfId="39732"/>
    <cellStyle name="Header2 4 11 2 3 4 3" xfId="25491"/>
    <cellStyle name="Header2 4 11 2 3 4 4" xfId="34581"/>
    <cellStyle name="Header2 4 11 2 3 5" xfId="20782"/>
    <cellStyle name="Header2 4 11 2 3 5 2" xfId="32599"/>
    <cellStyle name="Header2 4 11 2 3 5 2 2" xfId="42598"/>
    <cellStyle name="Header2 4 11 2 3 5 3" xfId="37447"/>
    <cellStyle name="Header2 4 11 2 3 6" xfId="28123"/>
    <cellStyle name="Header2 4 11 2 3 6 2" xfId="38122"/>
    <cellStyle name="Header2 4 11 2 3 7" xfId="22273"/>
    <cellStyle name="Header2 4 11 2 4" xfId="16011"/>
    <cellStyle name="Header2 4 11 2 4 2" xfId="27828"/>
    <cellStyle name="Header2 4 11 2 4 2 2" xfId="37827"/>
    <cellStyle name="Header2 4 11 2 4 3" xfId="23889"/>
    <cellStyle name="Header2 4 11 2 4 4" xfId="32979"/>
    <cellStyle name="Header2 4 11 2 5" xfId="16544"/>
    <cellStyle name="Header2 4 11 2 5 2" xfId="28361"/>
    <cellStyle name="Header2 4 11 2 5 2 2" xfId="38360"/>
    <cellStyle name="Header2 4 11 2 5 3" xfId="24119"/>
    <cellStyle name="Header2 4 11 2 5 4" xfId="33209"/>
    <cellStyle name="Header2 4 11 2 6" xfId="16843"/>
    <cellStyle name="Header2 4 11 2 6 2" xfId="28660"/>
    <cellStyle name="Header2 4 11 2 6 2 2" xfId="38659"/>
    <cellStyle name="Header2 4 11 2 6 3" xfId="24418"/>
    <cellStyle name="Header2 4 11 2 6 4" xfId="33508"/>
    <cellStyle name="Header2 4 11 2 7" xfId="17240"/>
    <cellStyle name="Header2 4 11 2 7 2" xfId="29057"/>
    <cellStyle name="Header2 4 11 2 7 2 2" xfId="39056"/>
    <cellStyle name="Header2 4 11 2 7 3" xfId="24815"/>
    <cellStyle name="Header2 4 11 2 7 4" xfId="33905"/>
    <cellStyle name="Header2 4 11 2 8" xfId="17543"/>
    <cellStyle name="Header2 4 11 2 8 2" xfId="29360"/>
    <cellStyle name="Header2 4 11 2 8 2 2" xfId="39359"/>
    <cellStyle name="Header2 4 11 2 8 3" xfId="25118"/>
    <cellStyle name="Header2 4 11 2 8 4" xfId="34208"/>
    <cellStyle name="Header2 4 11 2 9" xfId="18392"/>
    <cellStyle name="Header2 4 11 2 9 2" xfId="30209"/>
    <cellStyle name="Header2 4 11 2 9 2 2" xfId="40208"/>
    <cellStyle name="Header2 4 11 2 9 3" xfId="25867"/>
    <cellStyle name="Header2 4 11 2 9 4" xfId="35057"/>
    <cellStyle name="Header2 4 11 3" xfId="7919"/>
    <cellStyle name="Header2 4 11 3 10" xfId="18690"/>
    <cellStyle name="Header2 4 11 3 10 2" xfId="30507"/>
    <cellStyle name="Header2 4 11 3 10 2 2" xfId="40506"/>
    <cellStyle name="Header2 4 11 3 10 3" xfId="26165"/>
    <cellStyle name="Header2 4 11 3 10 4" xfId="35355"/>
    <cellStyle name="Header2 4 11 3 11" xfId="20190"/>
    <cellStyle name="Header2 4 11 3 11 2" xfId="32007"/>
    <cellStyle name="Header2 4 11 3 11 2 2" xfId="42006"/>
    <cellStyle name="Header2 4 11 3 11 3" xfId="36855"/>
    <cellStyle name="Header2 4 11 3 12" xfId="23183"/>
    <cellStyle name="Header2 4 11 3 12 2" xfId="21240"/>
    <cellStyle name="Header2 4 11 3 13" xfId="22577"/>
    <cellStyle name="Header2 4 11 3 2" xfId="15726"/>
    <cellStyle name="Header2 4 11 3 2 2" xfId="19067"/>
    <cellStyle name="Header2 4 11 3 2 2 2" xfId="30884"/>
    <cellStyle name="Header2 4 11 3 2 2 2 2" xfId="40883"/>
    <cellStyle name="Header2 4 11 3 2 2 3" xfId="26542"/>
    <cellStyle name="Header2 4 11 3 2 2 4" xfId="35732"/>
    <cellStyle name="Header2 4 11 3 2 3" xfId="19673"/>
    <cellStyle name="Header2 4 11 3 2 3 2" xfId="31490"/>
    <cellStyle name="Header2 4 11 3 2 3 2 2" xfId="41489"/>
    <cellStyle name="Header2 4 11 3 2 3 3" xfId="27148"/>
    <cellStyle name="Header2 4 11 3 2 3 4" xfId="36338"/>
    <cellStyle name="Header2 4 11 3 2 4" xfId="18002"/>
    <cellStyle name="Header2 4 11 3 2 4 2" xfId="29819"/>
    <cellStyle name="Header2 4 11 3 2 4 2 2" xfId="39818"/>
    <cellStyle name="Header2 4 11 3 2 4 3" xfId="25577"/>
    <cellStyle name="Header2 4 11 3 2 4 4" xfId="34667"/>
    <cellStyle name="Header2 4 11 3 2 5" xfId="20482"/>
    <cellStyle name="Header2 4 11 3 2 5 2" xfId="32299"/>
    <cellStyle name="Header2 4 11 3 2 5 2 2" xfId="42298"/>
    <cellStyle name="Header2 4 11 3 2 5 3" xfId="37147"/>
    <cellStyle name="Header2 4 11 3 2 6" xfId="23604"/>
    <cellStyle name="Header2 4 11 3 2 6 2" xfId="21812"/>
    <cellStyle name="Header2 4 11 3 2 7" xfId="22976"/>
    <cellStyle name="Header2 4 11 3 2 7 2" xfId="22118"/>
    <cellStyle name="Header2 4 11 3 2 8" xfId="21670"/>
    <cellStyle name="Header2 4 11 3 3" xfId="16307"/>
    <cellStyle name="Header2 4 11 3 3 2" xfId="19366"/>
    <cellStyle name="Header2 4 11 3 3 2 2" xfId="31183"/>
    <cellStyle name="Header2 4 11 3 3 2 2 2" xfId="41182"/>
    <cellStyle name="Header2 4 11 3 3 2 3" xfId="26841"/>
    <cellStyle name="Header2 4 11 3 3 2 4" xfId="36031"/>
    <cellStyle name="Header2 4 11 3 3 3" xfId="19972"/>
    <cellStyle name="Header2 4 11 3 3 3 2" xfId="31789"/>
    <cellStyle name="Header2 4 11 3 3 3 2 2" xfId="41788"/>
    <cellStyle name="Header2 4 11 3 3 3 3" xfId="27447"/>
    <cellStyle name="Header2 4 11 3 3 3 4" xfId="36637"/>
    <cellStyle name="Header2 4 11 3 3 4" xfId="18867"/>
    <cellStyle name="Header2 4 11 3 3 4 2" xfId="30684"/>
    <cellStyle name="Header2 4 11 3 3 4 2 2" xfId="40683"/>
    <cellStyle name="Header2 4 11 3 3 4 3" xfId="26342"/>
    <cellStyle name="Header2 4 11 3 3 4 4" xfId="35532"/>
    <cellStyle name="Header2 4 11 3 3 5" xfId="20781"/>
    <cellStyle name="Header2 4 11 3 3 5 2" xfId="32598"/>
    <cellStyle name="Header2 4 11 3 3 5 2 2" xfId="42597"/>
    <cellStyle name="Header2 4 11 3 3 5 3" xfId="37446"/>
    <cellStyle name="Header2 4 11 3 3 6" xfId="28124"/>
    <cellStyle name="Header2 4 11 3 3 6 2" xfId="38123"/>
    <cellStyle name="Header2 4 11 3 3 7" xfId="21548"/>
    <cellStyle name="Header2 4 11 3 4" xfId="16012"/>
    <cellStyle name="Header2 4 11 3 4 2" xfId="27829"/>
    <cellStyle name="Header2 4 11 3 4 2 2" xfId="37828"/>
    <cellStyle name="Header2 4 11 3 4 3" xfId="23890"/>
    <cellStyle name="Header2 4 11 3 4 4" xfId="32980"/>
    <cellStyle name="Header2 4 11 3 5" xfId="16543"/>
    <cellStyle name="Header2 4 11 3 5 2" xfId="28360"/>
    <cellStyle name="Header2 4 11 3 5 2 2" xfId="38359"/>
    <cellStyle name="Header2 4 11 3 5 3" xfId="24118"/>
    <cellStyle name="Header2 4 11 3 5 4" xfId="33208"/>
    <cellStyle name="Header2 4 11 3 6" xfId="16842"/>
    <cellStyle name="Header2 4 11 3 6 2" xfId="28659"/>
    <cellStyle name="Header2 4 11 3 6 2 2" xfId="38658"/>
    <cellStyle name="Header2 4 11 3 6 3" xfId="24417"/>
    <cellStyle name="Header2 4 11 3 6 4" xfId="33507"/>
    <cellStyle name="Header2 4 11 3 7" xfId="17241"/>
    <cellStyle name="Header2 4 11 3 7 2" xfId="29058"/>
    <cellStyle name="Header2 4 11 3 7 2 2" xfId="39057"/>
    <cellStyle name="Header2 4 11 3 7 3" xfId="24816"/>
    <cellStyle name="Header2 4 11 3 7 4" xfId="33906"/>
    <cellStyle name="Header2 4 11 3 8" xfId="17544"/>
    <cellStyle name="Header2 4 11 3 8 2" xfId="29361"/>
    <cellStyle name="Header2 4 11 3 8 2 2" xfId="39360"/>
    <cellStyle name="Header2 4 11 3 8 3" xfId="25119"/>
    <cellStyle name="Header2 4 11 3 8 4" xfId="34209"/>
    <cellStyle name="Header2 4 11 3 9" xfId="18391"/>
    <cellStyle name="Header2 4 11 3 9 2" xfId="30208"/>
    <cellStyle name="Header2 4 11 3 9 2 2" xfId="40207"/>
    <cellStyle name="Header2 4 11 3 9 3" xfId="25866"/>
    <cellStyle name="Header2 4 11 3 9 4" xfId="35056"/>
    <cellStyle name="Header2 4 11 4" xfId="7920"/>
    <cellStyle name="Header2 4 11 4 10" xfId="18689"/>
    <cellStyle name="Header2 4 11 4 10 2" xfId="30506"/>
    <cellStyle name="Header2 4 11 4 10 2 2" xfId="40505"/>
    <cellStyle name="Header2 4 11 4 10 3" xfId="26164"/>
    <cellStyle name="Header2 4 11 4 10 4" xfId="35354"/>
    <cellStyle name="Header2 4 11 4 11" xfId="20291"/>
    <cellStyle name="Header2 4 11 4 11 2" xfId="32108"/>
    <cellStyle name="Header2 4 11 4 11 2 2" xfId="42107"/>
    <cellStyle name="Header2 4 11 4 11 3" xfId="36956"/>
    <cellStyle name="Header2 4 11 4 12" xfId="23182"/>
    <cellStyle name="Header2 4 11 4 12 2" xfId="21241"/>
    <cellStyle name="Header2 4 11 4 13" xfId="22576"/>
    <cellStyle name="Header2 4 11 4 2" xfId="15727"/>
    <cellStyle name="Header2 4 11 4 2 2" xfId="19066"/>
    <cellStyle name="Header2 4 11 4 2 2 2" xfId="30883"/>
    <cellStyle name="Header2 4 11 4 2 2 2 2" xfId="40882"/>
    <cellStyle name="Header2 4 11 4 2 2 3" xfId="26541"/>
    <cellStyle name="Header2 4 11 4 2 2 4" xfId="35731"/>
    <cellStyle name="Header2 4 11 4 2 3" xfId="19672"/>
    <cellStyle name="Header2 4 11 4 2 3 2" xfId="31489"/>
    <cellStyle name="Header2 4 11 4 2 3 2 2" xfId="41488"/>
    <cellStyle name="Header2 4 11 4 2 3 3" xfId="27147"/>
    <cellStyle name="Header2 4 11 4 2 3 4" xfId="36337"/>
    <cellStyle name="Header2 4 11 4 2 4" xfId="18161"/>
    <cellStyle name="Header2 4 11 4 2 4 2" xfId="29978"/>
    <cellStyle name="Header2 4 11 4 2 4 2 2" xfId="39977"/>
    <cellStyle name="Header2 4 11 4 2 4 3" xfId="25736"/>
    <cellStyle name="Header2 4 11 4 2 4 4" xfId="34826"/>
    <cellStyle name="Header2 4 11 4 2 5" xfId="20481"/>
    <cellStyle name="Header2 4 11 4 2 5 2" xfId="32298"/>
    <cellStyle name="Header2 4 11 4 2 5 2 2" xfId="42297"/>
    <cellStyle name="Header2 4 11 4 2 5 3" xfId="37146"/>
    <cellStyle name="Header2 4 11 4 2 6" xfId="23605"/>
    <cellStyle name="Header2 4 11 4 2 6 2" xfId="21811"/>
    <cellStyle name="Header2 4 11 4 2 7" xfId="22975"/>
    <cellStyle name="Header2 4 11 4 2 7 2" xfId="22119"/>
    <cellStyle name="Header2 4 11 4 2 8" xfId="21671"/>
    <cellStyle name="Header2 4 11 4 3" xfId="16308"/>
    <cellStyle name="Header2 4 11 4 3 2" xfId="19365"/>
    <cellStyle name="Header2 4 11 4 3 2 2" xfId="31182"/>
    <cellStyle name="Header2 4 11 4 3 2 2 2" xfId="41181"/>
    <cellStyle name="Header2 4 11 4 3 2 3" xfId="26840"/>
    <cellStyle name="Header2 4 11 4 3 2 4" xfId="36030"/>
    <cellStyle name="Header2 4 11 4 3 3" xfId="19971"/>
    <cellStyle name="Header2 4 11 4 3 3 2" xfId="31788"/>
    <cellStyle name="Header2 4 11 4 3 3 2 2" xfId="41787"/>
    <cellStyle name="Header2 4 11 4 3 3 3" xfId="27446"/>
    <cellStyle name="Header2 4 11 4 3 3 4" xfId="36636"/>
    <cellStyle name="Header2 4 11 4 3 4" xfId="17660"/>
    <cellStyle name="Header2 4 11 4 3 4 2" xfId="29477"/>
    <cellStyle name="Header2 4 11 4 3 4 2 2" xfId="39476"/>
    <cellStyle name="Header2 4 11 4 3 4 3" xfId="25235"/>
    <cellStyle name="Header2 4 11 4 3 4 4" xfId="34325"/>
    <cellStyle name="Header2 4 11 4 3 5" xfId="20780"/>
    <cellStyle name="Header2 4 11 4 3 5 2" xfId="32597"/>
    <cellStyle name="Header2 4 11 4 3 5 2 2" xfId="42596"/>
    <cellStyle name="Header2 4 11 4 3 5 3" xfId="37445"/>
    <cellStyle name="Header2 4 11 4 3 6" xfId="28125"/>
    <cellStyle name="Header2 4 11 4 3 6 2" xfId="38124"/>
    <cellStyle name="Header2 4 11 4 3 7" xfId="21549"/>
    <cellStyle name="Header2 4 11 4 4" xfId="16013"/>
    <cellStyle name="Header2 4 11 4 4 2" xfId="27830"/>
    <cellStyle name="Header2 4 11 4 4 2 2" xfId="37829"/>
    <cellStyle name="Header2 4 11 4 4 3" xfId="23891"/>
    <cellStyle name="Header2 4 11 4 4 4" xfId="32981"/>
    <cellStyle name="Header2 4 11 4 5" xfId="16542"/>
    <cellStyle name="Header2 4 11 4 5 2" xfId="28359"/>
    <cellStyle name="Header2 4 11 4 5 2 2" xfId="38358"/>
    <cellStyle name="Header2 4 11 4 5 3" xfId="24117"/>
    <cellStyle name="Header2 4 11 4 5 4" xfId="33207"/>
    <cellStyle name="Header2 4 11 4 6" xfId="16841"/>
    <cellStyle name="Header2 4 11 4 6 2" xfId="28658"/>
    <cellStyle name="Header2 4 11 4 6 2 2" xfId="38657"/>
    <cellStyle name="Header2 4 11 4 6 3" xfId="24416"/>
    <cellStyle name="Header2 4 11 4 6 4" xfId="33506"/>
    <cellStyle name="Header2 4 11 4 7" xfId="17242"/>
    <cellStyle name="Header2 4 11 4 7 2" xfId="29059"/>
    <cellStyle name="Header2 4 11 4 7 2 2" xfId="39058"/>
    <cellStyle name="Header2 4 11 4 7 3" xfId="24817"/>
    <cellStyle name="Header2 4 11 4 7 4" xfId="33907"/>
    <cellStyle name="Header2 4 11 4 8" xfId="17545"/>
    <cellStyle name="Header2 4 11 4 8 2" xfId="29362"/>
    <cellStyle name="Header2 4 11 4 8 2 2" xfId="39361"/>
    <cellStyle name="Header2 4 11 4 8 3" xfId="25120"/>
    <cellStyle name="Header2 4 11 4 8 4" xfId="34210"/>
    <cellStyle name="Header2 4 11 4 9" xfId="18390"/>
    <cellStyle name="Header2 4 11 4 9 2" xfId="30207"/>
    <cellStyle name="Header2 4 11 4 9 2 2" xfId="40206"/>
    <cellStyle name="Header2 4 11 4 9 3" xfId="25865"/>
    <cellStyle name="Header2 4 11 4 9 4" xfId="35055"/>
    <cellStyle name="Header2 4 11 5" xfId="15724"/>
    <cellStyle name="Header2 4 11 5 2" xfId="19069"/>
    <cellStyle name="Header2 4 11 5 2 2" xfId="30886"/>
    <cellStyle name="Header2 4 11 5 2 2 2" xfId="40885"/>
    <cellStyle name="Header2 4 11 5 2 3" xfId="26544"/>
    <cellStyle name="Header2 4 11 5 2 4" xfId="35734"/>
    <cellStyle name="Header2 4 11 5 3" xfId="19675"/>
    <cellStyle name="Header2 4 11 5 3 2" xfId="31492"/>
    <cellStyle name="Header2 4 11 5 3 2 2" xfId="41491"/>
    <cellStyle name="Header2 4 11 5 3 3" xfId="27150"/>
    <cellStyle name="Header2 4 11 5 3 4" xfId="36340"/>
    <cellStyle name="Header2 4 11 5 4" xfId="18001"/>
    <cellStyle name="Header2 4 11 5 4 2" xfId="29818"/>
    <cellStyle name="Header2 4 11 5 4 2 2" xfId="39817"/>
    <cellStyle name="Header2 4 11 5 4 3" xfId="25576"/>
    <cellStyle name="Header2 4 11 5 4 4" xfId="34666"/>
    <cellStyle name="Header2 4 11 5 5" xfId="20484"/>
    <cellStyle name="Header2 4 11 5 5 2" xfId="32301"/>
    <cellStyle name="Header2 4 11 5 5 2 2" xfId="42300"/>
    <cellStyle name="Header2 4 11 5 5 3" xfId="37149"/>
    <cellStyle name="Header2 4 11 5 6" xfId="23602"/>
    <cellStyle name="Header2 4 11 5 6 2" xfId="21813"/>
    <cellStyle name="Header2 4 11 5 7" xfId="22977"/>
    <cellStyle name="Header2 4 11 5 7 2" xfId="21326"/>
    <cellStyle name="Header2 4 11 5 8" xfId="22449"/>
    <cellStyle name="Header2 4 11 6" xfId="16305"/>
    <cellStyle name="Header2 4 11 6 2" xfId="19368"/>
    <cellStyle name="Header2 4 11 6 2 2" xfId="31185"/>
    <cellStyle name="Header2 4 11 6 2 2 2" xfId="41184"/>
    <cellStyle name="Header2 4 11 6 2 3" xfId="26843"/>
    <cellStyle name="Header2 4 11 6 2 4" xfId="36033"/>
    <cellStyle name="Header2 4 11 6 3" xfId="19974"/>
    <cellStyle name="Header2 4 11 6 3 2" xfId="31791"/>
    <cellStyle name="Header2 4 11 6 3 2 2" xfId="41790"/>
    <cellStyle name="Header2 4 11 6 3 3" xfId="27449"/>
    <cellStyle name="Header2 4 11 6 3 4" xfId="36639"/>
    <cellStyle name="Header2 4 11 6 4" xfId="18096"/>
    <cellStyle name="Header2 4 11 6 4 2" xfId="29913"/>
    <cellStyle name="Header2 4 11 6 4 2 2" xfId="39912"/>
    <cellStyle name="Header2 4 11 6 4 3" xfId="25671"/>
    <cellStyle name="Header2 4 11 6 4 4" xfId="34761"/>
    <cellStyle name="Header2 4 11 6 5" xfId="20783"/>
    <cellStyle name="Header2 4 11 6 5 2" xfId="32600"/>
    <cellStyle name="Header2 4 11 6 5 2 2" xfId="42599"/>
    <cellStyle name="Header2 4 11 6 5 3" xfId="37448"/>
    <cellStyle name="Header2 4 11 6 6" xfId="28122"/>
    <cellStyle name="Header2 4 11 6 6 2" xfId="38121"/>
    <cellStyle name="Header2 4 11 6 7" xfId="22272"/>
    <cellStyle name="Header2 4 11 7" xfId="16010"/>
    <cellStyle name="Header2 4 11 7 2" xfId="27827"/>
    <cellStyle name="Header2 4 11 7 2 2" xfId="37826"/>
    <cellStyle name="Header2 4 11 7 3" xfId="23888"/>
    <cellStyle name="Header2 4 11 7 4" xfId="32978"/>
    <cellStyle name="Header2 4 11 8" xfId="16545"/>
    <cellStyle name="Header2 4 11 8 2" xfId="28362"/>
    <cellStyle name="Header2 4 11 8 2 2" xfId="38361"/>
    <cellStyle name="Header2 4 11 8 3" xfId="24120"/>
    <cellStyle name="Header2 4 11 8 4" xfId="33210"/>
    <cellStyle name="Header2 4 11 9" xfId="16844"/>
    <cellStyle name="Header2 4 11 9 2" xfId="28661"/>
    <cellStyle name="Header2 4 11 9 2 2" xfId="38660"/>
    <cellStyle name="Header2 4 11 9 3" xfId="24419"/>
    <cellStyle name="Header2 4 11 9 4" xfId="33509"/>
    <cellStyle name="Header2 4 12" xfId="7921"/>
    <cellStyle name="Header2 4 12 10" xfId="18688"/>
    <cellStyle name="Header2 4 12 10 2" xfId="30505"/>
    <cellStyle name="Header2 4 12 10 2 2" xfId="40504"/>
    <cellStyle name="Header2 4 12 10 3" xfId="26163"/>
    <cellStyle name="Header2 4 12 10 4" xfId="35353"/>
    <cellStyle name="Header2 4 12 11" xfId="18270"/>
    <cellStyle name="Header2 4 12 11 2" xfId="30087"/>
    <cellStyle name="Header2 4 12 11 2 2" xfId="40086"/>
    <cellStyle name="Header2 4 12 11 3" xfId="34935"/>
    <cellStyle name="Header2 4 12 12" xfId="23181"/>
    <cellStyle name="Header2 4 12 12 2" xfId="21242"/>
    <cellStyle name="Header2 4 12 13" xfId="22575"/>
    <cellStyle name="Header2 4 12 2" xfId="15728"/>
    <cellStyle name="Header2 4 12 2 2" xfId="19065"/>
    <cellStyle name="Header2 4 12 2 2 2" xfId="30882"/>
    <cellStyle name="Header2 4 12 2 2 2 2" xfId="40881"/>
    <cellStyle name="Header2 4 12 2 2 3" xfId="26540"/>
    <cellStyle name="Header2 4 12 2 2 4" xfId="35730"/>
    <cellStyle name="Header2 4 12 2 3" xfId="19671"/>
    <cellStyle name="Header2 4 12 2 3 2" xfId="31488"/>
    <cellStyle name="Header2 4 12 2 3 2 2" xfId="41487"/>
    <cellStyle name="Header2 4 12 2 3 3" xfId="27146"/>
    <cellStyle name="Header2 4 12 2 3 4" xfId="36336"/>
    <cellStyle name="Header2 4 12 2 4" xfId="18003"/>
    <cellStyle name="Header2 4 12 2 4 2" xfId="29820"/>
    <cellStyle name="Header2 4 12 2 4 2 2" xfId="39819"/>
    <cellStyle name="Header2 4 12 2 4 3" xfId="25578"/>
    <cellStyle name="Header2 4 12 2 4 4" xfId="34668"/>
    <cellStyle name="Header2 4 12 2 5" xfId="20480"/>
    <cellStyle name="Header2 4 12 2 5 2" xfId="32297"/>
    <cellStyle name="Header2 4 12 2 5 2 2" xfId="42296"/>
    <cellStyle name="Header2 4 12 2 5 3" xfId="37145"/>
    <cellStyle name="Header2 4 12 2 6" xfId="23606"/>
    <cellStyle name="Header2 4 12 2 6 2" xfId="21810"/>
    <cellStyle name="Header2 4 12 2 7" xfId="22974"/>
    <cellStyle name="Header2 4 12 2 7 2" xfId="22120"/>
    <cellStyle name="Header2 4 12 2 8" xfId="21672"/>
    <cellStyle name="Header2 4 12 3" xfId="16309"/>
    <cellStyle name="Header2 4 12 3 2" xfId="19364"/>
    <cellStyle name="Header2 4 12 3 2 2" xfId="31181"/>
    <cellStyle name="Header2 4 12 3 2 2 2" xfId="41180"/>
    <cellStyle name="Header2 4 12 3 2 3" xfId="26839"/>
    <cellStyle name="Header2 4 12 3 2 4" xfId="36029"/>
    <cellStyle name="Header2 4 12 3 3" xfId="19970"/>
    <cellStyle name="Header2 4 12 3 3 2" xfId="31787"/>
    <cellStyle name="Header2 4 12 3 3 2 2" xfId="41786"/>
    <cellStyle name="Header2 4 12 3 3 3" xfId="27445"/>
    <cellStyle name="Header2 4 12 3 3 4" xfId="36635"/>
    <cellStyle name="Header2 4 12 3 4" xfId="18097"/>
    <cellStyle name="Header2 4 12 3 4 2" xfId="29914"/>
    <cellStyle name="Header2 4 12 3 4 2 2" xfId="39913"/>
    <cellStyle name="Header2 4 12 3 4 3" xfId="25672"/>
    <cellStyle name="Header2 4 12 3 4 4" xfId="34762"/>
    <cellStyle name="Header2 4 12 3 5" xfId="20779"/>
    <cellStyle name="Header2 4 12 3 5 2" xfId="32596"/>
    <cellStyle name="Header2 4 12 3 5 2 2" xfId="42595"/>
    <cellStyle name="Header2 4 12 3 5 3" xfId="37444"/>
    <cellStyle name="Header2 4 12 3 6" xfId="28126"/>
    <cellStyle name="Header2 4 12 3 6 2" xfId="38125"/>
    <cellStyle name="Header2 4 12 3 7" xfId="22274"/>
    <cellStyle name="Header2 4 12 4" xfId="16014"/>
    <cellStyle name="Header2 4 12 4 2" xfId="27831"/>
    <cellStyle name="Header2 4 12 4 2 2" xfId="37830"/>
    <cellStyle name="Header2 4 12 4 3" xfId="23892"/>
    <cellStyle name="Header2 4 12 4 4" xfId="32982"/>
    <cellStyle name="Header2 4 12 5" xfId="16541"/>
    <cellStyle name="Header2 4 12 5 2" xfId="28358"/>
    <cellStyle name="Header2 4 12 5 2 2" xfId="38357"/>
    <cellStyle name="Header2 4 12 5 3" xfId="24116"/>
    <cellStyle name="Header2 4 12 5 4" xfId="33206"/>
    <cellStyle name="Header2 4 12 6" xfId="16840"/>
    <cellStyle name="Header2 4 12 6 2" xfId="28657"/>
    <cellStyle name="Header2 4 12 6 2 2" xfId="38656"/>
    <cellStyle name="Header2 4 12 6 3" xfId="24415"/>
    <cellStyle name="Header2 4 12 6 4" xfId="33505"/>
    <cellStyle name="Header2 4 12 7" xfId="17243"/>
    <cellStyle name="Header2 4 12 7 2" xfId="29060"/>
    <cellStyle name="Header2 4 12 7 2 2" xfId="39059"/>
    <cellStyle name="Header2 4 12 7 3" xfId="24818"/>
    <cellStyle name="Header2 4 12 7 4" xfId="33908"/>
    <cellStyle name="Header2 4 12 8" xfId="17546"/>
    <cellStyle name="Header2 4 12 8 2" xfId="29363"/>
    <cellStyle name="Header2 4 12 8 2 2" xfId="39362"/>
    <cellStyle name="Header2 4 12 8 3" xfId="25121"/>
    <cellStyle name="Header2 4 12 8 4" xfId="34211"/>
    <cellStyle name="Header2 4 12 9" xfId="18389"/>
    <cellStyle name="Header2 4 12 9 2" xfId="30206"/>
    <cellStyle name="Header2 4 12 9 2 2" xfId="40205"/>
    <cellStyle name="Header2 4 12 9 3" xfId="25864"/>
    <cellStyle name="Header2 4 12 9 4" xfId="35054"/>
    <cellStyle name="Header2 4 13" xfId="15719"/>
    <cellStyle name="Header2 4 13 2" xfId="19074"/>
    <cellStyle name="Header2 4 13 2 2" xfId="30891"/>
    <cellStyle name="Header2 4 13 2 2 2" xfId="40890"/>
    <cellStyle name="Header2 4 13 2 3" xfId="26549"/>
    <cellStyle name="Header2 4 13 2 4" xfId="35739"/>
    <cellStyle name="Header2 4 13 3" xfId="19680"/>
    <cellStyle name="Header2 4 13 3 2" xfId="31497"/>
    <cellStyle name="Header2 4 13 3 2 2" xfId="41496"/>
    <cellStyle name="Header2 4 13 3 3" xfId="27155"/>
    <cellStyle name="Header2 4 13 3 4" xfId="36345"/>
    <cellStyle name="Header2 4 13 4" xfId="17999"/>
    <cellStyle name="Header2 4 13 4 2" xfId="29816"/>
    <cellStyle name="Header2 4 13 4 2 2" xfId="39815"/>
    <cellStyle name="Header2 4 13 4 3" xfId="25574"/>
    <cellStyle name="Header2 4 13 4 4" xfId="34664"/>
    <cellStyle name="Header2 4 13 5" xfId="20489"/>
    <cellStyle name="Header2 4 13 5 2" xfId="32306"/>
    <cellStyle name="Header2 4 13 5 2 2" xfId="42305"/>
    <cellStyle name="Header2 4 13 5 3" xfId="37154"/>
    <cellStyle name="Header2 4 13 6" xfId="23597"/>
    <cellStyle name="Header2 4 13 6 2" xfId="21007"/>
    <cellStyle name="Header2 4 13 7" xfId="22825"/>
    <cellStyle name="Header2 4 13 7 2" xfId="22194"/>
    <cellStyle name="Header2 4 13 8" xfId="21668"/>
    <cellStyle name="Header2 4 14" xfId="16300"/>
    <cellStyle name="Header2 4 14 2" xfId="19373"/>
    <cellStyle name="Header2 4 14 2 2" xfId="31190"/>
    <cellStyle name="Header2 4 14 2 2 2" xfId="41189"/>
    <cellStyle name="Header2 4 14 2 3" xfId="26848"/>
    <cellStyle name="Header2 4 14 2 4" xfId="36038"/>
    <cellStyle name="Header2 4 14 3" xfId="19979"/>
    <cellStyle name="Header2 4 14 3 2" xfId="31796"/>
    <cellStyle name="Header2 4 14 3 2 2" xfId="41795"/>
    <cellStyle name="Header2 4 14 3 3" xfId="27454"/>
    <cellStyle name="Header2 4 14 3 4" xfId="36644"/>
    <cellStyle name="Header2 4 14 4" xfId="18866"/>
    <cellStyle name="Header2 4 14 4 2" xfId="30683"/>
    <cellStyle name="Header2 4 14 4 2 2" xfId="40682"/>
    <cellStyle name="Header2 4 14 4 3" xfId="26341"/>
    <cellStyle name="Header2 4 14 4 4" xfId="35531"/>
    <cellStyle name="Header2 4 14 5" xfId="20788"/>
    <cellStyle name="Header2 4 14 5 2" xfId="32605"/>
    <cellStyle name="Header2 4 14 5 2 2" xfId="42604"/>
    <cellStyle name="Header2 4 14 5 3" xfId="37453"/>
    <cellStyle name="Header2 4 14 6" xfId="28117"/>
    <cellStyle name="Header2 4 14 6 2" xfId="38116"/>
    <cellStyle name="Header2 4 14 7" xfId="22268"/>
    <cellStyle name="Header2 4 15" xfId="16005"/>
    <cellStyle name="Header2 4 15 2" xfId="27822"/>
    <cellStyle name="Header2 4 15 2 2" xfId="37821"/>
    <cellStyle name="Header2 4 15 3" xfId="23883"/>
    <cellStyle name="Header2 4 15 4" xfId="32973"/>
    <cellStyle name="Header2 4 16" xfId="16550"/>
    <cellStyle name="Header2 4 16 2" xfId="28367"/>
    <cellStyle name="Header2 4 16 2 2" xfId="38366"/>
    <cellStyle name="Header2 4 16 3" xfId="24125"/>
    <cellStyle name="Header2 4 16 4" xfId="33215"/>
    <cellStyle name="Header2 4 17" xfId="16849"/>
    <cellStyle name="Header2 4 17 2" xfId="28666"/>
    <cellStyle name="Header2 4 17 2 2" xfId="38665"/>
    <cellStyle name="Header2 4 17 3" xfId="24424"/>
    <cellStyle name="Header2 4 17 4" xfId="33514"/>
    <cellStyle name="Header2 4 18" xfId="17234"/>
    <cellStyle name="Header2 4 18 2" xfId="29051"/>
    <cellStyle name="Header2 4 18 2 2" xfId="39050"/>
    <cellStyle name="Header2 4 18 3" xfId="24809"/>
    <cellStyle name="Header2 4 18 4" xfId="33899"/>
    <cellStyle name="Header2 4 19" xfId="17537"/>
    <cellStyle name="Header2 4 19 2" xfId="29354"/>
    <cellStyle name="Header2 4 19 2 2" xfId="39353"/>
    <cellStyle name="Header2 4 19 3" xfId="25112"/>
    <cellStyle name="Header2 4 19 4" xfId="34202"/>
    <cellStyle name="Header2 4 2" xfId="7922"/>
    <cellStyle name="Header2 4 2 10" xfId="16839"/>
    <cellStyle name="Header2 4 2 10 2" xfId="28656"/>
    <cellStyle name="Header2 4 2 10 2 2" xfId="38655"/>
    <cellStyle name="Header2 4 2 10 3" xfId="24414"/>
    <cellStyle name="Header2 4 2 10 4" xfId="33504"/>
    <cellStyle name="Header2 4 2 11" xfId="17244"/>
    <cellStyle name="Header2 4 2 11 2" xfId="29061"/>
    <cellStyle name="Header2 4 2 11 2 2" xfId="39060"/>
    <cellStyle name="Header2 4 2 11 3" xfId="24819"/>
    <cellStyle name="Header2 4 2 11 4" xfId="33909"/>
    <cellStyle name="Header2 4 2 12" xfId="17547"/>
    <cellStyle name="Header2 4 2 12 2" xfId="29364"/>
    <cellStyle name="Header2 4 2 12 2 2" xfId="39363"/>
    <cellStyle name="Header2 4 2 12 3" xfId="25122"/>
    <cellStyle name="Header2 4 2 12 4" xfId="34212"/>
    <cellStyle name="Header2 4 2 13" xfId="18388"/>
    <cellStyle name="Header2 4 2 13 2" xfId="30205"/>
    <cellStyle name="Header2 4 2 13 2 2" xfId="40204"/>
    <cellStyle name="Header2 4 2 13 3" xfId="25863"/>
    <cellStyle name="Header2 4 2 13 4" xfId="35053"/>
    <cellStyle name="Header2 4 2 14" xfId="18687"/>
    <cellStyle name="Header2 4 2 14 2" xfId="30504"/>
    <cellStyle name="Header2 4 2 14 2 2" xfId="40503"/>
    <cellStyle name="Header2 4 2 14 3" xfId="26162"/>
    <cellStyle name="Header2 4 2 14 4" xfId="35352"/>
    <cellStyle name="Header2 4 2 15" xfId="20189"/>
    <cellStyle name="Header2 4 2 15 2" xfId="32006"/>
    <cellStyle name="Header2 4 2 15 2 2" xfId="42005"/>
    <cellStyle name="Header2 4 2 15 3" xfId="36854"/>
    <cellStyle name="Header2 4 2 16" xfId="23180"/>
    <cellStyle name="Header2 4 2 16 2" xfId="21243"/>
    <cellStyle name="Header2 4 2 17" xfId="22574"/>
    <cellStyle name="Header2 4 2 2" xfId="7923"/>
    <cellStyle name="Header2 4 2 2 10" xfId="17245"/>
    <cellStyle name="Header2 4 2 2 10 2" xfId="29062"/>
    <cellStyle name="Header2 4 2 2 10 2 2" xfId="39061"/>
    <cellStyle name="Header2 4 2 2 10 3" xfId="24820"/>
    <cellStyle name="Header2 4 2 2 10 4" xfId="33910"/>
    <cellStyle name="Header2 4 2 2 11" xfId="17548"/>
    <cellStyle name="Header2 4 2 2 11 2" xfId="29365"/>
    <cellStyle name="Header2 4 2 2 11 2 2" xfId="39364"/>
    <cellStyle name="Header2 4 2 2 11 3" xfId="25123"/>
    <cellStyle name="Header2 4 2 2 11 4" xfId="34213"/>
    <cellStyle name="Header2 4 2 2 12" xfId="18387"/>
    <cellStyle name="Header2 4 2 2 12 2" xfId="30204"/>
    <cellStyle name="Header2 4 2 2 12 2 2" xfId="40203"/>
    <cellStyle name="Header2 4 2 2 12 3" xfId="25862"/>
    <cellStyle name="Header2 4 2 2 12 4" xfId="35052"/>
    <cellStyle name="Header2 4 2 2 13" xfId="18686"/>
    <cellStyle name="Header2 4 2 2 13 2" xfId="30503"/>
    <cellStyle name="Header2 4 2 2 13 2 2" xfId="40502"/>
    <cellStyle name="Header2 4 2 2 13 3" xfId="26161"/>
    <cellStyle name="Header2 4 2 2 13 4" xfId="35351"/>
    <cellStyle name="Header2 4 2 2 14" xfId="20290"/>
    <cellStyle name="Header2 4 2 2 14 2" xfId="32107"/>
    <cellStyle name="Header2 4 2 2 14 2 2" xfId="42106"/>
    <cellStyle name="Header2 4 2 2 14 3" xfId="36955"/>
    <cellStyle name="Header2 4 2 2 15" xfId="23179"/>
    <cellStyle name="Header2 4 2 2 15 2" xfId="21244"/>
    <cellStyle name="Header2 4 2 2 16" xfId="22573"/>
    <cellStyle name="Header2 4 2 2 2" xfId="7924"/>
    <cellStyle name="Header2 4 2 2 2 10" xfId="17246"/>
    <cellStyle name="Header2 4 2 2 2 10 2" xfId="29063"/>
    <cellStyle name="Header2 4 2 2 2 10 2 2" xfId="39062"/>
    <cellStyle name="Header2 4 2 2 2 10 3" xfId="24821"/>
    <cellStyle name="Header2 4 2 2 2 10 4" xfId="33911"/>
    <cellStyle name="Header2 4 2 2 2 11" xfId="17549"/>
    <cellStyle name="Header2 4 2 2 2 11 2" xfId="29366"/>
    <cellStyle name="Header2 4 2 2 2 11 2 2" xfId="39365"/>
    <cellStyle name="Header2 4 2 2 2 11 3" xfId="25124"/>
    <cellStyle name="Header2 4 2 2 2 11 4" xfId="34214"/>
    <cellStyle name="Header2 4 2 2 2 12" xfId="18386"/>
    <cellStyle name="Header2 4 2 2 2 12 2" xfId="30203"/>
    <cellStyle name="Header2 4 2 2 2 12 2 2" xfId="40202"/>
    <cellStyle name="Header2 4 2 2 2 12 3" xfId="25861"/>
    <cellStyle name="Header2 4 2 2 2 12 4" xfId="35051"/>
    <cellStyle name="Header2 4 2 2 2 13" xfId="18685"/>
    <cellStyle name="Header2 4 2 2 2 13 2" xfId="30502"/>
    <cellStyle name="Header2 4 2 2 2 13 2 2" xfId="40501"/>
    <cellStyle name="Header2 4 2 2 2 13 3" xfId="26160"/>
    <cellStyle name="Header2 4 2 2 2 13 4" xfId="35350"/>
    <cellStyle name="Header2 4 2 2 2 14" xfId="20192"/>
    <cellStyle name="Header2 4 2 2 2 14 2" xfId="32009"/>
    <cellStyle name="Header2 4 2 2 2 14 2 2" xfId="42008"/>
    <cellStyle name="Header2 4 2 2 2 14 3" xfId="36857"/>
    <cellStyle name="Header2 4 2 2 2 15" xfId="23178"/>
    <cellStyle name="Header2 4 2 2 2 15 2" xfId="21245"/>
    <cellStyle name="Header2 4 2 2 2 16" xfId="22572"/>
    <cellStyle name="Header2 4 2 2 2 2" xfId="7925"/>
    <cellStyle name="Header2 4 2 2 2 2 10" xfId="18684"/>
    <cellStyle name="Header2 4 2 2 2 2 10 2" xfId="30501"/>
    <cellStyle name="Header2 4 2 2 2 2 10 2 2" xfId="40500"/>
    <cellStyle name="Header2 4 2 2 2 2 10 3" xfId="26159"/>
    <cellStyle name="Header2 4 2 2 2 2 10 4" xfId="35349"/>
    <cellStyle name="Header2 4 2 2 2 2 11" xfId="20293"/>
    <cellStyle name="Header2 4 2 2 2 2 11 2" xfId="32110"/>
    <cellStyle name="Header2 4 2 2 2 2 11 2 2" xfId="42109"/>
    <cellStyle name="Header2 4 2 2 2 2 11 3" xfId="36958"/>
    <cellStyle name="Header2 4 2 2 2 2 12" xfId="23177"/>
    <cellStyle name="Header2 4 2 2 2 2 12 2" xfId="21999"/>
    <cellStyle name="Header2 4 2 2 2 2 13" xfId="22571"/>
    <cellStyle name="Header2 4 2 2 2 2 2" xfId="15732"/>
    <cellStyle name="Header2 4 2 2 2 2 2 2" xfId="19061"/>
    <cellStyle name="Header2 4 2 2 2 2 2 2 2" xfId="30878"/>
    <cellStyle name="Header2 4 2 2 2 2 2 2 2 2" xfId="40877"/>
    <cellStyle name="Header2 4 2 2 2 2 2 2 3" xfId="26536"/>
    <cellStyle name="Header2 4 2 2 2 2 2 2 4" xfId="35726"/>
    <cellStyle name="Header2 4 2 2 2 2 2 3" xfId="19667"/>
    <cellStyle name="Header2 4 2 2 2 2 2 3 2" xfId="31484"/>
    <cellStyle name="Header2 4 2 2 2 2 2 3 2 2" xfId="41483"/>
    <cellStyle name="Header2 4 2 2 2 2 2 3 3" xfId="27142"/>
    <cellStyle name="Header2 4 2 2 2 2 2 3 4" xfId="36332"/>
    <cellStyle name="Header2 4 2 2 2 2 2 4" xfId="18004"/>
    <cellStyle name="Header2 4 2 2 2 2 2 4 2" xfId="29821"/>
    <cellStyle name="Header2 4 2 2 2 2 2 4 2 2" xfId="39820"/>
    <cellStyle name="Header2 4 2 2 2 2 2 4 3" xfId="25579"/>
    <cellStyle name="Header2 4 2 2 2 2 2 4 4" xfId="34669"/>
    <cellStyle name="Header2 4 2 2 2 2 2 5" xfId="20476"/>
    <cellStyle name="Header2 4 2 2 2 2 2 5 2" xfId="32293"/>
    <cellStyle name="Header2 4 2 2 2 2 2 5 2 2" xfId="42292"/>
    <cellStyle name="Header2 4 2 2 2 2 2 5 3" xfId="37141"/>
    <cellStyle name="Header2 4 2 2 2 2 2 6" xfId="23610"/>
    <cellStyle name="Header2 4 2 2 2 2 2 6 2" xfId="21807"/>
    <cellStyle name="Header2 4 2 2 2 2 2 7" xfId="22971"/>
    <cellStyle name="Header2 4 2 2 2 2 2 7 2" xfId="21327"/>
    <cellStyle name="Header2 4 2 2 2 2 2 8" xfId="21675"/>
    <cellStyle name="Header2 4 2 2 2 2 3" xfId="16313"/>
    <cellStyle name="Header2 4 2 2 2 2 3 2" xfId="19360"/>
    <cellStyle name="Header2 4 2 2 2 2 3 2 2" xfId="31177"/>
    <cellStyle name="Header2 4 2 2 2 2 3 2 2 2" xfId="41176"/>
    <cellStyle name="Header2 4 2 2 2 2 3 2 3" xfId="26835"/>
    <cellStyle name="Header2 4 2 2 2 2 3 2 4" xfId="36025"/>
    <cellStyle name="Header2 4 2 2 2 2 3 3" xfId="19966"/>
    <cellStyle name="Header2 4 2 2 2 2 3 3 2" xfId="31783"/>
    <cellStyle name="Header2 4 2 2 2 2 3 3 2 2" xfId="41782"/>
    <cellStyle name="Header2 4 2 2 2 2 3 3 3" xfId="27441"/>
    <cellStyle name="Header2 4 2 2 2 2 3 3 4" xfId="36631"/>
    <cellStyle name="Header2 4 2 2 2 2 3 4" xfId="18098"/>
    <cellStyle name="Header2 4 2 2 2 2 3 4 2" xfId="29915"/>
    <cellStyle name="Header2 4 2 2 2 2 3 4 2 2" xfId="39914"/>
    <cellStyle name="Header2 4 2 2 2 2 3 4 3" xfId="25673"/>
    <cellStyle name="Header2 4 2 2 2 2 3 4 4" xfId="34763"/>
    <cellStyle name="Header2 4 2 2 2 2 3 5" xfId="20775"/>
    <cellStyle name="Header2 4 2 2 2 2 3 5 2" xfId="32592"/>
    <cellStyle name="Header2 4 2 2 2 2 3 5 2 2" xfId="42591"/>
    <cellStyle name="Header2 4 2 2 2 2 3 5 3" xfId="37440"/>
    <cellStyle name="Header2 4 2 2 2 2 3 6" xfId="28130"/>
    <cellStyle name="Header2 4 2 2 2 2 3 6 2" xfId="38129"/>
    <cellStyle name="Header2 4 2 2 2 2 3 7" xfId="21552"/>
    <cellStyle name="Header2 4 2 2 2 2 4" xfId="16017"/>
    <cellStyle name="Header2 4 2 2 2 2 4 2" xfId="27834"/>
    <cellStyle name="Header2 4 2 2 2 2 4 2 2" xfId="37833"/>
    <cellStyle name="Header2 4 2 2 2 2 4 3" xfId="23895"/>
    <cellStyle name="Header2 4 2 2 2 2 4 4" xfId="32985"/>
    <cellStyle name="Header2 4 2 2 2 2 5" xfId="16537"/>
    <cellStyle name="Header2 4 2 2 2 2 5 2" xfId="28354"/>
    <cellStyle name="Header2 4 2 2 2 2 5 2 2" xfId="38353"/>
    <cellStyle name="Header2 4 2 2 2 2 5 3" xfId="24112"/>
    <cellStyle name="Header2 4 2 2 2 2 5 4" xfId="33202"/>
    <cellStyle name="Header2 4 2 2 2 2 6" xfId="16836"/>
    <cellStyle name="Header2 4 2 2 2 2 6 2" xfId="28653"/>
    <cellStyle name="Header2 4 2 2 2 2 6 2 2" xfId="38652"/>
    <cellStyle name="Header2 4 2 2 2 2 6 3" xfId="24411"/>
    <cellStyle name="Header2 4 2 2 2 2 6 4" xfId="33501"/>
    <cellStyle name="Header2 4 2 2 2 2 7" xfId="17247"/>
    <cellStyle name="Header2 4 2 2 2 2 7 2" xfId="29064"/>
    <cellStyle name="Header2 4 2 2 2 2 7 2 2" xfId="39063"/>
    <cellStyle name="Header2 4 2 2 2 2 7 3" xfId="24822"/>
    <cellStyle name="Header2 4 2 2 2 2 7 4" xfId="33912"/>
    <cellStyle name="Header2 4 2 2 2 2 8" xfId="17550"/>
    <cellStyle name="Header2 4 2 2 2 2 8 2" xfId="29367"/>
    <cellStyle name="Header2 4 2 2 2 2 8 2 2" xfId="39366"/>
    <cellStyle name="Header2 4 2 2 2 2 8 3" xfId="25125"/>
    <cellStyle name="Header2 4 2 2 2 2 8 4" xfId="34215"/>
    <cellStyle name="Header2 4 2 2 2 2 9" xfId="18385"/>
    <cellStyle name="Header2 4 2 2 2 2 9 2" xfId="30202"/>
    <cellStyle name="Header2 4 2 2 2 2 9 2 2" xfId="40201"/>
    <cellStyle name="Header2 4 2 2 2 2 9 3" xfId="25860"/>
    <cellStyle name="Header2 4 2 2 2 2 9 4" xfId="35050"/>
    <cellStyle name="Header2 4 2 2 2 3" xfId="7926"/>
    <cellStyle name="Header2 4 2 2 2 3 10" xfId="18683"/>
    <cellStyle name="Header2 4 2 2 2 3 10 2" xfId="30500"/>
    <cellStyle name="Header2 4 2 2 2 3 10 2 2" xfId="40499"/>
    <cellStyle name="Header2 4 2 2 2 3 10 3" xfId="26158"/>
    <cellStyle name="Header2 4 2 2 2 3 10 4" xfId="35348"/>
    <cellStyle name="Header2 4 2 2 2 3 11" xfId="18271"/>
    <cellStyle name="Header2 4 2 2 2 3 11 2" xfId="30088"/>
    <cellStyle name="Header2 4 2 2 2 3 11 2 2" xfId="40087"/>
    <cellStyle name="Header2 4 2 2 2 3 11 3" xfId="34936"/>
    <cellStyle name="Header2 4 2 2 2 3 12" xfId="23176"/>
    <cellStyle name="Header2 4 2 2 2 3 12 2" xfId="21246"/>
    <cellStyle name="Header2 4 2 2 2 3 13" xfId="22570"/>
    <cellStyle name="Header2 4 2 2 2 3 2" xfId="15733"/>
    <cellStyle name="Header2 4 2 2 2 3 2 2" xfId="19060"/>
    <cellStyle name="Header2 4 2 2 2 3 2 2 2" xfId="30877"/>
    <cellStyle name="Header2 4 2 2 2 3 2 2 2 2" xfId="40876"/>
    <cellStyle name="Header2 4 2 2 2 3 2 2 3" xfId="26535"/>
    <cellStyle name="Header2 4 2 2 2 3 2 2 4" xfId="35725"/>
    <cellStyle name="Header2 4 2 2 2 3 2 3" xfId="19666"/>
    <cellStyle name="Header2 4 2 2 2 3 2 3 2" xfId="31483"/>
    <cellStyle name="Header2 4 2 2 2 3 2 3 2 2" xfId="41482"/>
    <cellStyle name="Header2 4 2 2 2 3 2 3 3" xfId="27141"/>
    <cellStyle name="Header2 4 2 2 2 3 2 3 4" xfId="36331"/>
    <cellStyle name="Header2 4 2 2 2 3 2 4" xfId="18165"/>
    <cellStyle name="Header2 4 2 2 2 3 2 4 2" xfId="29982"/>
    <cellStyle name="Header2 4 2 2 2 3 2 4 2 2" xfId="39981"/>
    <cellStyle name="Header2 4 2 2 2 3 2 4 3" xfId="25740"/>
    <cellStyle name="Header2 4 2 2 2 3 2 4 4" xfId="34830"/>
    <cellStyle name="Header2 4 2 2 2 3 2 5" xfId="20475"/>
    <cellStyle name="Header2 4 2 2 2 3 2 5 2" xfId="32292"/>
    <cellStyle name="Header2 4 2 2 2 3 2 5 2 2" xfId="42291"/>
    <cellStyle name="Header2 4 2 2 2 3 2 5 3" xfId="37140"/>
    <cellStyle name="Header2 4 2 2 2 3 2 6" xfId="23611"/>
    <cellStyle name="Header2 4 2 2 2 3 2 6 2" xfId="21004"/>
    <cellStyle name="Header2 4 2 2 2 3 2 7" xfId="22822"/>
    <cellStyle name="Header2 4 2 2 2 3 2 7 2" xfId="21403"/>
    <cellStyle name="Header2 4 2 2 2 3 2 8" xfId="21676"/>
    <cellStyle name="Header2 4 2 2 2 3 3" xfId="16314"/>
    <cellStyle name="Header2 4 2 2 2 3 3 2" xfId="19359"/>
    <cellStyle name="Header2 4 2 2 2 3 3 2 2" xfId="31176"/>
    <cellStyle name="Header2 4 2 2 2 3 3 2 2 2" xfId="41175"/>
    <cellStyle name="Header2 4 2 2 2 3 3 2 3" xfId="26834"/>
    <cellStyle name="Header2 4 2 2 2 3 3 2 4" xfId="36024"/>
    <cellStyle name="Header2 4 2 2 2 3 3 3" xfId="19965"/>
    <cellStyle name="Header2 4 2 2 2 3 3 3 2" xfId="31782"/>
    <cellStyle name="Header2 4 2 2 2 3 3 3 2 2" xfId="41781"/>
    <cellStyle name="Header2 4 2 2 2 3 3 3 3" xfId="27440"/>
    <cellStyle name="Header2 4 2 2 2 3 3 3 4" xfId="36630"/>
    <cellStyle name="Header2 4 2 2 2 3 3 4" xfId="18099"/>
    <cellStyle name="Header2 4 2 2 2 3 3 4 2" xfId="29916"/>
    <cellStyle name="Header2 4 2 2 2 3 3 4 2 2" xfId="39915"/>
    <cellStyle name="Header2 4 2 2 2 3 3 4 3" xfId="25674"/>
    <cellStyle name="Header2 4 2 2 2 3 3 4 4" xfId="34764"/>
    <cellStyle name="Header2 4 2 2 2 3 3 5" xfId="20774"/>
    <cellStyle name="Header2 4 2 2 2 3 3 5 2" xfId="32591"/>
    <cellStyle name="Header2 4 2 2 2 3 3 5 2 2" xfId="42590"/>
    <cellStyle name="Header2 4 2 2 2 3 3 5 3" xfId="37439"/>
    <cellStyle name="Header2 4 2 2 2 3 3 6" xfId="28131"/>
    <cellStyle name="Header2 4 2 2 2 3 3 6 2" xfId="38130"/>
    <cellStyle name="Header2 4 2 2 2 3 3 7" xfId="21553"/>
    <cellStyle name="Header2 4 2 2 2 3 4" xfId="16018"/>
    <cellStyle name="Header2 4 2 2 2 3 4 2" xfId="27835"/>
    <cellStyle name="Header2 4 2 2 2 3 4 2 2" xfId="37834"/>
    <cellStyle name="Header2 4 2 2 2 3 4 3" xfId="23896"/>
    <cellStyle name="Header2 4 2 2 2 3 4 4" xfId="32986"/>
    <cellStyle name="Header2 4 2 2 2 3 5" xfId="16536"/>
    <cellStyle name="Header2 4 2 2 2 3 5 2" xfId="28353"/>
    <cellStyle name="Header2 4 2 2 2 3 5 2 2" xfId="38352"/>
    <cellStyle name="Header2 4 2 2 2 3 5 3" xfId="24111"/>
    <cellStyle name="Header2 4 2 2 2 3 5 4" xfId="33201"/>
    <cellStyle name="Header2 4 2 2 2 3 6" xfId="16835"/>
    <cellStyle name="Header2 4 2 2 2 3 6 2" xfId="28652"/>
    <cellStyle name="Header2 4 2 2 2 3 6 2 2" xfId="38651"/>
    <cellStyle name="Header2 4 2 2 2 3 6 3" xfId="24410"/>
    <cellStyle name="Header2 4 2 2 2 3 6 4" xfId="33500"/>
    <cellStyle name="Header2 4 2 2 2 3 7" xfId="17248"/>
    <cellStyle name="Header2 4 2 2 2 3 7 2" xfId="29065"/>
    <cellStyle name="Header2 4 2 2 2 3 7 2 2" xfId="39064"/>
    <cellStyle name="Header2 4 2 2 2 3 7 3" xfId="24823"/>
    <cellStyle name="Header2 4 2 2 2 3 7 4" xfId="33913"/>
    <cellStyle name="Header2 4 2 2 2 3 8" xfId="17551"/>
    <cellStyle name="Header2 4 2 2 2 3 8 2" xfId="29368"/>
    <cellStyle name="Header2 4 2 2 2 3 8 2 2" xfId="39367"/>
    <cellStyle name="Header2 4 2 2 2 3 8 3" xfId="25126"/>
    <cellStyle name="Header2 4 2 2 2 3 8 4" xfId="34216"/>
    <cellStyle name="Header2 4 2 2 2 3 9" xfId="18384"/>
    <cellStyle name="Header2 4 2 2 2 3 9 2" xfId="30201"/>
    <cellStyle name="Header2 4 2 2 2 3 9 2 2" xfId="40200"/>
    <cellStyle name="Header2 4 2 2 2 3 9 3" xfId="25859"/>
    <cellStyle name="Header2 4 2 2 2 3 9 4" xfId="35049"/>
    <cellStyle name="Header2 4 2 2 2 4" xfId="7927"/>
    <cellStyle name="Header2 4 2 2 2 4 10" xfId="18682"/>
    <cellStyle name="Header2 4 2 2 2 4 10 2" xfId="30499"/>
    <cellStyle name="Header2 4 2 2 2 4 10 2 2" xfId="40498"/>
    <cellStyle name="Header2 4 2 2 2 4 10 3" xfId="26157"/>
    <cellStyle name="Header2 4 2 2 2 4 10 4" xfId="35347"/>
    <cellStyle name="Header2 4 2 2 2 4 11" xfId="18272"/>
    <cellStyle name="Header2 4 2 2 2 4 11 2" xfId="30089"/>
    <cellStyle name="Header2 4 2 2 2 4 11 2 2" xfId="40088"/>
    <cellStyle name="Header2 4 2 2 2 4 11 3" xfId="34937"/>
    <cellStyle name="Header2 4 2 2 2 4 12" xfId="23175"/>
    <cellStyle name="Header2 4 2 2 2 4 12 2" xfId="21247"/>
    <cellStyle name="Header2 4 2 2 2 4 13" xfId="22569"/>
    <cellStyle name="Header2 4 2 2 2 4 2" xfId="15734"/>
    <cellStyle name="Header2 4 2 2 2 4 2 2" xfId="19059"/>
    <cellStyle name="Header2 4 2 2 2 4 2 2 2" xfId="30876"/>
    <cellStyle name="Header2 4 2 2 2 4 2 2 2 2" xfId="40875"/>
    <cellStyle name="Header2 4 2 2 2 4 2 2 3" xfId="26534"/>
    <cellStyle name="Header2 4 2 2 2 4 2 2 4" xfId="35724"/>
    <cellStyle name="Header2 4 2 2 2 4 2 3" xfId="19665"/>
    <cellStyle name="Header2 4 2 2 2 4 2 3 2" xfId="31482"/>
    <cellStyle name="Header2 4 2 2 2 4 2 3 2 2" xfId="41481"/>
    <cellStyle name="Header2 4 2 2 2 4 2 3 3" xfId="27140"/>
    <cellStyle name="Header2 4 2 2 2 4 2 3 4" xfId="36330"/>
    <cellStyle name="Header2 4 2 2 2 4 2 4" xfId="17826"/>
    <cellStyle name="Header2 4 2 2 2 4 2 4 2" xfId="29643"/>
    <cellStyle name="Header2 4 2 2 2 4 2 4 2 2" xfId="39642"/>
    <cellStyle name="Header2 4 2 2 2 4 2 4 3" xfId="25401"/>
    <cellStyle name="Header2 4 2 2 2 4 2 4 4" xfId="34491"/>
    <cellStyle name="Header2 4 2 2 2 4 2 5" xfId="20474"/>
    <cellStyle name="Header2 4 2 2 2 4 2 5 2" xfId="32291"/>
    <cellStyle name="Header2 4 2 2 2 4 2 5 2 2" xfId="42290"/>
    <cellStyle name="Header2 4 2 2 2 4 2 5 3" xfId="37139"/>
    <cellStyle name="Header2 4 2 2 2 4 2 6" xfId="23612"/>
    <cellStyle name="Header2 4 2 2 2 4 2 6 2" xfId="21806"/>
    <cellStyle name="Header2 4 2 2 2 4 2 7" xfId="22970"/>
    <cellStyle name="Header2 4 2 2 2 4 2 7 2" xfId="21328"/>
    <cellStyle name="Header2 4 2 2 2 4 2 8" xfId="21677"/>
    <cellStyle name="Header2 4 2 2 2 4 3" xfId="16315"/>
    <cellStyle name="Header2 4 2 2 2 4 3 2" xfId="19358"/>
    <cellStyle name="Header2 4 2 2 2 4 3 2 2" xfId="31175"/>
    <cellStyle name="Header2 4 2 2 2 4 3 2 2 2" xfId="41174"/>
    <cellStyle name="Header2 4 2 2 2 4 3 2 3" xfId="26833"/>
    <cellStyle name="Header2 4 2 2 2 4 3 2 4" xfId="36023"/>
    <cellStyle name="Header2 4 2 2 2 4 3 3" xfId="19964"/>
    <cellStyle name="Header2 4 2 2 2 4 3 3 2" xfId="31781"/>
    <cellStyle name="Header2 4 2 2 2 4 3 3 2 2" xfId="41780"/>
    <cellStyle name="Header2 4 2 2 2 4 3 3 3" xfId="27439"/>
    <cellStyle name="Header2 4 2 2 2 4 3 3 4" xfId="36629"/>
    <cellStyle name="Header2 4 2 2 2 4 3 4" xfId="18100"/>
    <cellStyle name="Header2 4 2 2 2 4 3 4 2" xfId="29917"/>
    <cellStyle name="Header2 4 2 2 2 4 3 4 2 2" xfId="39916"/>
    <cellStyle name="Header2 4 2 2 2 4 3 4 3" xfId="25675"/>
    <cellStyle name="Header2 4 2 2 2 4 3 4 4" xfId="34765"/>
    <cellStyle name="Header2 4 2 2 2 4 3 5" xfId="20773"/>
    <cellStyle name="Header2 4 2 2 2 4 3 5 2" xfId="32590"/>
    <cellStyle name="Header2 4 2 2 2 4 3 5 2 2" xfId="42589"/>
    <cellStyle name="Header2 4 2 2 2 4 3 5 3" xfId="37438"/>
    <cellStyle name="Header2 4 2 2 2 4 3 6" xfId="28132"/>
    <cellStyle name="Header2 4 2 2 2 4 3 6 2" xfId="38131"/>
    <cellStyle name="Header2 4 2 2 2 4 3 7" xfId="22276"/>
    <cellStyle name="Header2 4 2 2 2 4 4" xfId="16019"/>
    <cellStyle name="Header2 4 2 2 2 4 4 2" xfId="27836"/>
    <cellStyle name="Header2 4 2 2 2 4 4 2 2" xfId="37835"/>
    <cellStyle name="Header2 4 2 2 2 4 4 3" xfId="23897"/>
    <cellStyle name="Header2 4 2 2 2 4 4 4" xfId="32987"/>
    <cellStyle name="Header2 4 2 2 2 4 5" xfId="16535"/>
    <cellStyle name="Header2 4 2 2 2 4 5 2" xfId="28352"/>
    <cellStyle name="Header2 4 2 2 2 4 5 2 2" xfId="38351"/>
    <cellStyle name="Header2 4 2 2 2 4 5 3" xfId="24110"/>
    <cellStyle name="Header2 4 2 2 2 4 5 4" xfId="33200"/>
    <cellStyle name="Header2 4 2 2 2 4 6" xfId="16834"/>
    <cellStyle name="Header2 4 2 2 2 4 6 2" xfId="28651"/>
    <cellStyle name="Header2 4 2 2 2 4 6 2 2" xfId="38650"/>
    <cellStyle name="Header2 4 2 2 2 4 6 3" xfId="24409"/>
    <cellStyle name="Header2 4 2 2 2 4 6 4" xfId="33499"/>
    <cellStyle name="Header2 4 2 2 2 4 7" xfId="17249"/>
    <cellStyle name="Header2 4 2 2 2 4 7 2" xfId="29066"/>
    <cellStyle name="Header2 4 2 2 2 4 7 2 2" xfId="39065"/>
    <cellStyle name="Header2 4 2 2 2 4 7 3" xfId="24824"/>
    <cellStyle name="Header2 4 2 2 2 4 7 4" xfId="33914"/>
    <cellStyle name="Header2 4 2 2 2 4 8" xfId="17552"/>
    <cellStyle name="Header2 4 2 2 2 4 8 2" xfId="29369"/>
    <cellStyle name="Header2 4 2 2 2 4 8 2 2" xfId="39368"/>
    <cellStyle name="Header2 4 2 2 2 4 8 3" xfId="25127"/>
    <cellStyle name="Header2 4 2 2 2 4 8 4" xfId="34217"/>
    <cellStyle name="Header2 4 2 2 2 4 9" xfId="18383"/>
    <cellStyle name="Header2 4 2 2 2 4 9 2" xfId="30200"/>
    <cellStyle name="Header2 4 2 2 2 4 9 2 2" xfId="40199"/>
    <cellStyle name="Header2 4 2 2 2 4 9 3" xfId="25858"/>
    <cellStyle name="Header2 4 2 2 2 4 9 4" xfId="35048"/>
    <cellStyle name="Header2 4 2 2 2 5" xfId="15731"/>
    <cellStyle name="Header2 4 2 2 2 5 2" xfId="19062"/>
    <cellStyle name="Header2 4 2 2 2 5 2 2" xfId="30879"/>
    <cellStyle name="Header2 4 2 2 2 5 2 2 2" xfId="40878"/>
    <cellStyle name="Header2 4 2 2 2 5 2 3" xfId="26537"/>
    <cellStyle name="Header2 4 2 2 2 5 2 4" xfId="35727"/>
    <cellStyle name="Header2 4 2 2 2 5 3" xfId="19668"/>
    <cellStyle name="Header2 4 2 2 2 5 3 2" xfId="31485"/>
    <cellStyle name="Header2 4 2 2 2 5 3 2 2" xfId="41484"/>
    <cellStyle name="Header2 4 2 2 2 5 3 3" xfId="27143"/>
    <cellStyle name="Header2 4 2 2 2 5 3 4" xfId="36333"/>
    <cellStyle name="Header2 4 2 2 2 5 4" xfId="18164"/>
    <cellStyle name="Header2 4 2 2 2 5 4 2" xfId="29981"/>
    <cellStyle name="Header2 4 2 2 2 5 4 2 2" xfId="39980"/>
    <cellStyle name="Header2 4 2 2 2 5 4 3" xfId="25739"/>
    <cellStyle name="Header2 4 2 2 2 5 4 4" xfId="34829"/>
    <cellStyle name="Header2 4 2 2 2 5 5" xfId="20477"/>
    <cellStyle name="Header2 4 2 2 2 5 5 2" xfId="32294"/>
    <cellStyle name="Header2 4 2 2 2 5 5 2 2" xfId="42293"/>
    <cellStyle name="Header2 4 2 2 2 5 5 3" xfId="37142"/>
    <cellStyle name="Header2 4 2 2 2 5 6" xfId="23609"/>
    <cellStyle name="Header2 4 2 2 2 5 6 2" xfId="21005"/>
    <cellStyle name="Header2 4 2 2 2 5 7" xfId="22823"/>
    <cellStyle name="Header2 4 2 2 2 5 7 2" xfId="21402"/>
    <cellStyle name="Header2 4 2 2 2 5 8" xfId="21674"/>
    <cellStyle name="Header2 4 2 2 2 6" xfId="16312"/>
    <cellStyle name="Header2 4 2 2 2 6 2" xfId="19361"/>
    <cellStyle name="Header2 4 2 2 2 6 2 2" xfId="31178"/>
    <cellStyle name="Header2 4 2 2 2 6 2 2 2" xfId="41177"/>
    <cellStyle name="Header2 4 2 2 2 6 2 3" xfId="26836"/>
    <cellStyle name="Header2 4 2 2 2 6 2 4" xfId="36026"/>
    <cellStyle name="Header2 4 2 2 2 6 3" xfId="19967"/>
    <cellStyle name="Header2 4 2 2 2 6 3 2" xfId="31784"/>
    <cellStyle name="Header2 4 2 2 2 6 3 2 2" xfId="41783"/>
    <cellStyle name="Header2 4 2 2 2 6 3 3" xfId="27442"/>
    <cellStyle name="Header2 4 2 2 2 6 3 4" xfId="36632"/>
    <cellStyle name="Header2 4 2 2 2 6 4" xfId="17661"/>
    <cellStyle name="Header2 4 2 2 2 6 4 2" xfId="29478"/>
    <cellStyle name="Header2 4 2 2 2 6 4 2 2" xfId="39477"/>
    <cellStyle name="Header2 4 2 2 2 6 4 3" xfId="25236"/>
    <cellStyle name="Header2 4 2 2 2 6 4 4" xfId="34326"/>
    <cellStyle name="Header2 4 2 2 2 6 5" xfId="20776"/>
    <cellStyle name="Header2 4 2 2 2 6 5 2" xfId="32593"/>
    <cellStyle name="Header2 4 2 2 2 6 5 2 2" xfId="42592"/>
    <cellStyle name="Header2 4 2 2 2 6 5 3" xfId="37441"/>
    <cellStyle name="Header2 4 2 2 2 6 6" xfId="28129"/>
    <cellStyle name="Header2 4 2 2 2 6 6 2" xfId="38128"/>
    <cellStyle name="Header2 4 2 2 2 6 7" xfId="21551"/>
    <cellStyle name="Header2 4 2 2 2 7" xfId="15856"/>
    <cellStyle name="Header2 4 2 2 2 7 2" xfId="27673"/>
    <cellStyle name="Header2 4 2 2 2 7 2 2" xfId="37672"/>
    <cellStyle name="Header2 4 2 2 2 7 3" xfId="23734"/>
    <cellStyle name="Header2 4 2 2 2 7 4" xfId="32824"/>
    <cellStyle name="Header2 4 2 2 2 8" xfId="16538"/>
    <cellStyle name="Header2 4 2 2 2 8 2" xfId="28355"/>
    <cellStyle name="Header2 4 2 2 2 8 2 2" xfId="38354"/>
    <cellStyle name="Header2 4 2 2 2 8 3" xfId="24113"/>
    <cellStyle name="Header2 4 2 2 2 8 4" xfId="33203"/>
    <cellStyle name="Header2 4 2 2 2 9" xfId="16837"/>
    <cellStyle name="Header2 4 2 2 2 9 2" xfId="28654"/>
    <cellStyle name="Header2 4 2 2 2 9 2 2" xfId="38653"/>
    <cellStyle name="Header2 4 2 2 2 9 3" xfId="24412"/>
    <cellStyle name="Header2 4 2 2 2 9 4" xfId="33502"/>
    <cellStyle name="Header2 4 2 2 3" xfId="7928"/>
    <cellStyle name="Header2 4 2 2 3 10" xfId="17250"/>
    <cellStyle name="Header2 4 2 2 3 10 2" xfId="29067"/>
    <cellStyle name="Header2 4 2 2 3 10 2 2" xfId="39066"/>
    <cellStyle name="Header2 4 2 2 3 10 3" xfId="24825"/>
    <cellStyle name="Header2 4 2 2 3 10 4" xfId="33915"/>
    <cellStyle name="Header2 4 2 2 3 11" xfId="17553"/>
    <cellStyle name="Header2 4 2 2 3 11 2" xfId="29370"/>
    <cellStyle name="Header2 4 2 2 3 11 2 2" xfId="39369"/>
    <cellStyle name="Header2 4 2 2 3 11 3" xfId="25128"/>
    <cellStyle name="Header2 4 2 2 3 11 4" xfId="34218"/>
    <cellStyle name="Header2 4 2 2 3 12" xfId="18382"/>
    <cellStyle name="Header2 4 2 2 3 12 2" xfId="30199"/>
    <cellStyle name="Header2 4 2 2 3 12 2 2" xfId="40198"/>
    <cellStyle name="Header2 4 2 2 3 12 3" xfId="25857"/>
    <cellStyle name="Header2 4 2 2 3 12 4" xfId="35047"/>
    <cellStyle name="Header2 4 2 2 3 13" xfId="18851"/>
    <cellStyle name="Header2 4 2 2 3 13 2" xfId="30668"/>
    <cellStyle name="Header2 4 2 2 3 13 2 2" xfId="40667"/>
    <cellStyle name="Header2 4 2 2 3 13 3" xfId="26326"/>
    <cellStyle name="Header2 4 2 2 3 13 4" xfId="35516"/>
    <cellStyle name="Header2 4 2 2 3 14" xfId="20187"/>
    <cellStyle name="Header2 4 2 2 3 14 2" xfId="32004"/>
    <cellStyle name="Header2 4 2 2 3 14 2 2" xfId="42003"/>
    <cellStyle name="Header2 4 2 2 3 14 3" xfId="36852"/>
    <cellStyle name="Header2 4 2 2 3 15" xfId="23174"/>
    <cellStyle name="Header2 4 2 2 3 15 2" xfId="21248"/>
    <cellStyle name="Header2 4 2 2 3 16" xfId="22568"/>
    <cellStyle name="Header2 4 2 2 3 2" xfId="7929"/>
    <cellStyle name="Header2 4 2 2 3 2 10" xfId="18681"/>
    <cellStyle name="Header2 4 2 2 3 2 10 2" xfId="30498"/>
    <cellStyle name="Header2 4 2 2 3 2 10 2 2" xfId="40497"/>
    <cellStyle name="Header2 4 2 2 3 2 10 3" xfId="26156"/>
    <cellStyle name="Header2 4 2 2 3 2 10 4" xfId="35346"/>
    <cellStyle name="Header2 4 2 2 3 2 11" xfId="20288"/>
    <cellStyle name="Header2 4 2 2 3 2 11 2" xfId="32105"/>
    <cellStyle name="Header2 4 2 2 3 2 11 2 2" xfId="42104"/>
    <cellStyle name="Header2 4 2 2 3 2 11 3" xfId="36953"/>
    <cellStyle name="Header2 4 2 2 3 2 12" xfId="23173"/>
    <cellStyle name="Header2 4 2 2 3 2 12 2" xfId="22000"/>
    <cellStyle name="Header2 4 2 2 3 2 13" xfId="22567"/>
    <cellStyle name="Header2 4 2 2 3 2 2" xfId="15736"/>
    <cellStyle name="Header2 4 2 2 3 2 2 2" xfId="19057"/>
    <cellStyle name="Header2 4 2 2 3 2 2 2 2" xfId="30874"/>
    <cellStyle name="Header2 4 2 2 3 2 2 2 2 2" xfId="40873"/>
    <cellStyle name="Header2 4 2 2 3 2 2 2 3" xfId="26532"/>
    <cellStyle name="Header2 4 2 2 3 2 2 2 4" xfId="35722"/>
    <cellStyle name="Header2 4 2 2 3 2 2 3" xfId="19663"/>
    <cellStyle name="Header2 4 2 2 3 2 2 3 2" xfId="31480"/>
    <cellStyle name="Header2 4 2 2 3 2 2 3 2 2" xfId="41479"/>
    <cellStyle name="Header2 4 2 2 3 2 2 3 3" xfId="27138"/>
    <cellStyle name="Header2 4 2 2 3 2 2 3 4" xfId="36328"/>
    <cellStyle name="Header2 4 2 2 3 2 2 4" xfId="18167"/>
    <cellStyle name="Header2 4 2 2 3 2 2 4 2" xfId="29984"/>
    <cellStyle name="Header2 4 2 2 3 2 2 4 2 2" xfId="39983"/>
    <cellStyle name="Header2 4 2 2 3 2 2 4 3" xfId="25742"/>
    <cellStyle name="Header2 4 2 2 3 2 2 4 4" xfId="34832"/>
    <cellStyle name="Header2 4 2 2 3 2 2 5" xfId="20472"/>
    <cellStyle name="Header2 4 2 2 3 2 2 5 2" xfId="32289"/>
    <cellStyle name="Header2 4 2 2 3 2 2 5 2 2" xfId="42288"/>
    <cellStyle name="Header2 4 2 2 3 2 2 5 3" xfId="37137"/>
    <cellStyle name="Header2 4 2 2 3 2 2 6" xfId="23614"/>
    <cellStyle name="Header2 4 2 2 3 2 2 6 2" xfId="21002"/>
    <cellStyle name="Header2 4 2 2 3 2 2 7" xfId="22820"/>
    <cellStyle name="Header2 4 2 2 3 2 2 7 2" xfId="21404"/>
    <cellStyle name="Header2 4 2 2 3 2 2 8" xfId="21678"/>
    <cellStyle name="Header2 4 2 2 3 2 3" xfId="16317"/>
    <cellStyle name="Header2 4 2 2 3 2 3 2" xfId="19357"/>
    <cellStyle name="Header2 4 2 2 3 2 3 2 2" xfId="31174"/>
    <cellStyle name="Header2 4 2 2 3 2 3 2 2 2" xfId="41173"/>
    <cellStyle name="Header2 4 2 2 3 2 3 2 3" xfId="26832"/>
    <cellStyle name="Header2 4 2 2 3 2 3 2 4" xfId="36022"/>
    <cellStyle name="Header2 4 2 2 3 2 3 3" xfId="19963"/>
    <cellStyle name="Header2 4 2 2 3 2 3 3 2" xfId="31780"/>
    <cellStyle name="Header2 4 2 2 3 2 3 3 2 2" xfId="41779"/>
    <cellStyle name="Header2 4 2 2 3 2 3 3 3" xfId="27438"/>
    <cellStyle name="Header2 4 2 2 3 2 3 3 4" xfId="36628"/>
    <cellStyle name="Header2 4 2 2 3 2 3 4" xfId="18101"/>
    <cellStyle name="Header2 4 2 2 3 2 3 4 2" xfId="29918"/>
    <cellStyle name="Header2 4 2 2 3 2 3 4 2 2" xfId="39917"/>
    <cellStyle name="Header2 4 2 2 3 2 3 4 3" xfId="25676"/>
    <cellStyle name="Header2 4 2 2 3 2 3 4 4" xfId="34766"/>
    <cellStyle name="Header2 4 2 2 3 2 3 5" xfId="20772"/>
    <cellStyle name="Header2 4 2 2 3 2 3 5 2" xfId="32589"/>
    <cellStyle name="Header2 4 2 2 3 2 3 5 2 2" xfId="42588"/>
    <cellStyle name="Header2 4 2 2 3 2 3 5 3" xfId="37437"/>
    <cellStyle name="Header2 4 2 2 3 2 3 6" xfId="28134"/>
    <cellStyle name="Header2 4 2 2 3 2 3 6 2" xfId="38133"/>
    <cellStyle name="Header2 4 2 2 3 2 3 7" xfId="21554"/>
    <cellStyle name="Header2 4 2 2 3 2 4" xfId="16020"/>
    <cellStyle name="Header2 4 2 2 3 2 4 2" xfId="27837"/>
    <cellStyle name="Header2 4 2 2 3 2 4 2 2" xfId="37836"/>
    <cellStyle name="Header2 4 2 2 3 2 4 3" xfId="23898"/>
    <cellStyle name="Header2 4 2 2 3 2 4 4" xfId="32988"/>
    <cellStyle name="Header2 4 2 2 3 2 5" xfId="16533"/>
    <cellStyle name="Header2 4 2 2 3 2 5 2" xfId="28350"/>
    <cellStyle name="Header2 4 2 2 3 2 5 2 2" xfId="38349"/>
    <cellStyle name="Header2 4 2 2 3 2 5 3" xfId="24108"/>
    <cellStyle name="Header2 4 2 2 3 2 5 4" xfId="33198"/>
    <cellStyle name="Header2 4 2 2 3 2 6" xfId="16833"/>
    <cellStyle name="Header2 4 2 2 3 2 6 2" xfId="28650"/>
    <cellStyle name="Header2 4 2 2 3 2 6 2 2" xfId="38649"/>
    <cellStyle name="Header2 4 2 2 3 2 6 3" xfId="24408"/>
    <cellStyle name="Header2 4 2 2 3 2 6 4" xfId="33498"/>
    <cellStyle name="Header2 4 2 2 3 2 7" xfId="17251"/>
    <cellStyle name="Header2 4 2 2 3 2 7 2" xfId="29068"/>
    <cellStyle name="Header2 4 2 2 3 2 7 2 2" xfId="39067"/>
    <cellStyle name="Header2 4 2 2 3 2 7 3" xfId="24826"/>
    <cellStyle name="Header2 4 2 2 3 2 7 4" xfId="33916"/>
    <cellStyle name="Header2 4 2 2 3 2 8" xfId="17554"/>
    <cellStyle name="Header2 4 2 2 3 2 8 2" xfId="29371"/>
    <cellStyle name="Header2 4 2 2 3 2 8 2 2" xfId="39370"/>
    <cellStyle name="Header2 4 2 2 3 2 8 3" xfId="25129"/>
    <cellStyle name="Header2 4 2 2 3 2 8 4" xfId="34219"/>
    <cellStyle name="Header2 4 2 2 3 2 9" xfId="18381"/>
    <cellStyle name="Header2 4 2 2 3 2 9 2" xfId="30198"/>
    <cellStyle name="Header2 4 2 2 3 2 9 2 2" xfId="40197"/>
    <cellStyle name="Header2 4 2 2 3 2 9 3" xfId="25856"/>
    <cellStyle name="Header2 4 2 2 3 2 9 4" xfId="35046"/>
    <cellStyle name="Header2 4 2 2 3 3" xfId="7930"/>
    <cellStyle name="Header2 4 2 2 3 3 10" xfId="18680"/>
    <cellStyle name="Header2 4 2 2 3 3 10 2" xfId="30497"/>
    <cellStyle name="Header2 4 2 2 3 3 10 2 2" xfId="40496"/>
    <cellStyle name="Header2 4 2 2 3 3 10 3" xfId="26155"/>
    <cellStyle name="Header2 4 2 2 3 3 10 4" xfId="35345"/>
    <cellStyle name="Header2 4 2 2 3 3 11" xfId="18273"/>
    <cellStyle name="Header2 4 2 2 3 3 11 2" xfId="30090"/>
    <cellStyle name="Header2 4 2 2 3 3 11 2 2" xfId="40089"/>
    <cellStyle name="Header2 4 2 2 3 3 11 3" xfId="34938"/>
    <cellStyle name="Header2 4 2 2 3 3 12" xfId="23172"/>
    <cellStyle name="Header2 4 2 2 3 3 12 2" xfId="21249"/>
    <cellStyle name="Header2 4 2 2 3 3 13" xfId="22566"/>
    <cellStyle name="Header2 4 2 2 3 3 2" xfId="15737"/>
    <cellStyle name="Header2 4 2 2 3 3 2 2" xfId="19056"/>
    <cellStyle name="Header2 4 2 2 3 3 2 2 2" xfId="30873"/>
    <cellStyle name="Header2 4 2 2 3 3 2 2 2 2" xfId="40872"/>
    <cellStyle name="Header2 4 2 2 3 3 2 2 3" xfId="26531"/>
    <cellStyle name="Header2 4 2 2 3 3 2 2 4" xfId="35721"/>
    <cellStyle name="Header2 4 2 2 3 3 2 3" xfId="19662"/>
    <cellStyle name="Header2 4 2 2 3 3 2 3 2" xfId="31479"/>
    <cellStyle name="Header2 4 2 2 3 3 2 3 2 2" xfId="41478"/>
    <cellStyle name="Header2 4 2 2 3 3 2 3 3" xfId="27137"/>
    <cellStyle name="Header2 4 2 2 3 3 2 3 4" xfId="36327"/>
    <cellStyle name="Header2 4 2 2 3 3 2 4" xfId="18168"/>
    <cellStyle name="Header2 4 2 2 3 3 2 4 2" xfId="29985"/>
    <cellStyle name="Header2 4 2 2 3 3 2 4 2 2" xfId="39984"/>
    <cellStyle name="Header2 4 2 2 3 3 2 4 3" xfId="25743"/>
    <cellStyle name="Header2 4 2 2 3 3 2 4 4" xfId="34833"/>
    <cellStyle name="Header2 4 2 2 3 3 2 5" xfId="20471"/>
    <cellStyle name="Header2 4 2 2 3 3 2 5 2" xfId="32288"/>
    <cellStyle name="Header2 4 2 2 3 3 2 5 2 2" xfId="42287"/>
    <cellStyle name="Header2 4 2 2 3 3 2 5 3" xfId="37136"/>
    <cellStyle name="Header2 4 2 2 3 3 2 6" xfId="23615"/>
    <cellStyle name="Header2 4 2 2 3 3 2 6 2" xfId="21001"/>
    <cellStyle name="Header2 4 2 2 3 3 2 7" xfId="22819"/>
    <cellStyle name="Header2 4 2 2 3 3 2 7 2" xfId="22197"/>
    <cellStyle name="Header2 4 2 2 3 3 2 8" xfId="21679"/>
    <cellStyle name="Header2 4 2 2 3 3 3" xfId="16318"/>
    <cellStyle name="Header2 4 2 2 3 3 3 2" xfId="19356"/>
    <cellStyle name="Header2 4 2 2 3 3 3 2 2" xfId="31173"/>
    <cellStyle name="Header2 4 2 2 3 3 3 2 2 2" xfId="41172"/>
    <cellStyle name="Header2 4 2 2 3 3 3 2 3" xfId="26831"/>
    <cellStyle name="Header2 4 2 2 3 3 3 2 4" xfId="36021"/>
    <cellStyle name="Header2 4 2 2 3 3 3 3" xfId="19962"/>
    <cellStyle name="Header2 4 2 2 3 3 3 3 2" xfId="31779"/>
    <cellStyle name="Header2 4 2 2 3 3 3 3 2 2" xfId="41778"/>
    <cellStyle name="Header2 4 2 2 3 3 3 3 3" xfId="27437"/>
    <cellStyle name="Header2 4 2 2 3 3 3 3 4" xfId="36627"/>
    <cellStyle name="Header2 4 2 2 3 3 3 4" xfId="18102"/>
    <cellStyle name="Header2 4 2 2 3 3 3 4 2" xfId="29919"/>
    <cellStyle name="Header2 4 2 2 3 3 3 4 2 2" xfId="39918"/>
    <cellStyle name="Header2 4 2 2 3 3 3 4 3" xfId="25677"/>
    <cellStyle name="Header2 4 2 2 3 3 3 4 4" xfId="34767"/>
    <cellStyle name="Header2 4 2 2 3 3 3 5" xfId="20771"/>
    <cellStyle name="Header2 4 2 2 3 3 3 5 2" xfId="32588"/>
    <cellStyle name="Header2 4 2 2 3 3 3 5 2 2" xfId="42587"/>
    <cellStyle name="Header2 4 2 2 3 3 3 5 3" xfId="37436"/>
    <cellStyle name="Header2 4 2 2 3 3 3 6" xfId="28135"/>
    <cellStyle name="Header2 4 2 2 3 3 3 6 2" xfId="38134"/>
    <cellStyle name="Header2 4 2 2 3 3 3 7" xfId="22277"/>
    <cellStyle name="Header2 4 2 2 3 3 4" xfId="16021"/>
    <cellStyle name="Header2 4 2 2 3 3 4 2" xfId="27838"/>
    <cellStyle name="Header2 4 2 2 3 3 4 2 2" xfId="37837"/>
    <cellStyle name="Header2 4 2 2 3 3 4 3" xfId="23899"/>
    <cellStyle name="Header2 4 2 2 3 3 4 4" xfId="32989"/>
    <cellStyle name="Header2 4 2 2 3 3 5" xfId="16532"/>
    <cellStyle name="Header2 4 2 2 3 3 5 2" xfId="28349"/>
    <cellStyle name="Header2 4 2 2 3 3 5 2 2" xfId="38348"/>
    <cellStyle name="Header2 4 2 2 3 3 5 3" xfId="24107"/>
    <cellStyle name="Header2 4 2 2 3 3 5 4" xfId="33197"/>
    <cellStyle name="Header2 4 2 2 3 3 6" xfId="16832"/>
    <cellStyle name="Header2 4 2 2 3 3 6 2" xfId="28649"/>
    <cellStyle name="Header2 4 2 2 3 3 6 2 2" xfId="38648"/>
    <cellStyle name="Header2 4 2 2 3 3 6 3" xfId="24407"/>
    <cellStyle name="Header2 4 2 2 3 3 6 4" xfId="33497"/>
    <cellStyle name="Header2 4 2 2 3 3 7" xfId="17252"/>
    <cellStyle name="Header2 4 2 2 3 3 7 2" xfId="29069"/>
    <cellStyle name="Header2 4 2 2 3 3 7 2 2" xfId="39068"/>
    <cellStyle name="Header2 4 2 2 3 3 7 3" xfId="24827"/>
    <cellStyle name="Header2 4 2 2 3 3 7 4" xfId="33917"/>
    <cellStyle name="Header2 4 2 2 3 3 8" xfId="17555"/>
    <cellStyle name="Header2 4 2 2 3 3 8 2" xfId="29372"/>
    <cellStyle name="Header2 4 2 2 3 3 8 2 2" xfId="39371"/>
    <cellStyle name="Header2 4 2 2 3 3 8 3" xfId="25130"/>
    <cellStyle name="Header2 4 2 2 3 3 8 4" xfId="34220"/>
    <cellStyle name="Header2 4 2 2 3 3 9" xfId="18380"/>
    <cellStyle name="Header2 4 2 2 3 3 9 2" xfId="30197"/>
    <cellStyle name="Header2 4 2 2 3 3 9 2 2" xfId="40196"/>
    <cellStyle name="Header2 4 2 2 3 3 9 3" xfId="25855"/>
    <cellStyle name="Header2 4 2 2 3 3 9 4" xfId="35045"/>
    <cellStyle name="Header2 4 2 2 3 4" xfId="7931"/>
    <cellStyle name="Header2 4 2 2 3 4 10" xfId="18679"/>
    <cellStyle name="Header2 4 2 2 3 4 10 2" xfId="30496"/>
    <cellStyle name="Header2 4 2 2 3 4 10 2 2" xfId="40495"/>
    <cellStyle name="Header2 4 2 2 3 4 10 3" xfId="26154"/>
    <cellStyle name="Header2 4 2 2 3 4 10 4" xfId="35344"/>
    <cellStyle name="Header2 4 2 2 3 4 11" xfId="20186"/>
    <cellStyle name="Header2 4 2 2 3 4 11 2" xfId="32003"/>
    <cellStyle name="Header2 4 2 2 3 4 11 2 2" xfId="42002"/>
    <cellStyle name="Header2 4 2 2 3 4 11 3" xfId="36851"/>
    <cellStyle name="Header2 4 2 2 3 4 12" xfId="23171"/>
    <cellStyle name="Header2 4 2 2 3 4 12 2" xfId="21250"/>
    <cellStyle name="Header2 4 2 2 3 4 13" xfId="22565"/>
    <cellStyle name="Header2 4 2 2 3 4 2" xfId="15738"/>
    <cellStyle name="Header2 4 2 2 3 4 2 2" xfId="19055"/>
    <cellStyle name="Header2 4 2 2 3 4 2 2 2" xfId="30872"/>
    <cellStyle name="Header2 4 2 2 3 4 2 2 2 2" xfId="40871"/>
    <cellStyle name="Header2 4 2 2 3 4 2 2 3" xfId="26530"/>
    <cellStyle name="Header2 4 2 2 3 4 2 2 4" xfId="35720"/>
    <cellStyle name="Header2 4 2 2 3 4 2 3" xfId="19661"/>
    <cellStyle name="Header2 4 2 2 3 4 2 3 2" xfId="31478"/>
    <cellStyle name="Header2 4 2 2 3 4 2 3 2 2" xfId="41477"/>
    <cellStyle name="Header2 4 2 2 3 4 2 3 3" xfId="27136"/>
    <cellStyle name="Header2 4 2 2 3 4 2 3 4" xfId="36326"/>
    <cellStyle name="Header2 4 2 2 3 4 2 4" xfId="18005"/>
    <cellStyle name="Header2 4 2 2 3 4 2 4 2" xfId="29822"/>
    <cellStyle name="Header2 4 2 2 3 4 2 4 2 2" xfId="39821"/>
    <cellStyle name="Header2 4 2 2 3 4 2 4 3" xfId="25580"/>
    <cellStyle name="Header2 4 2 2 3 4 2 4 4" xfId="34670"/>
    <cellStyle name="Header2 4 2 2 3 4 2 5" xfId="20470"/>
    <cellStyle name="Header2 4 2 2 3 4 2 5 2" xfId="32287"/>
    <cellStyle name="Header2 4 2 2 3 4 2 5 2 2" xfId="42286"/>
    <cellStyle name="Header2 4 2 2 3 4 2 5 3" xfId="37135"/>
    <cellStyle name="Header2 4 2 2 3 4 2 6" xfId="23616"/>
    <cellStyle name="Header2 4 2 2 3 4 2 6 2" xfId="21805"/>
    <cellStyle name="Header2 4 2 2 3 4 2 7" xfId="22969"/>
    <cellStyle name="Header2 4 2 2 3 4 2 7 2" xfId="21329"/>
    <cellStyle name="Header2 4 2 2 3 4 2 8" xfId="21680"/>
    <cellStyle name="Header2 4 2 2 3 4 3" xfId="16319"/>
    <cellStyle name="Header2 4 2 2 3 4 3 2" xfId="19355"/>
    <cellStyle name="Header2 4 2 2 3 4 3 2 2" xfId="31172"/>
    <cellStyle name="Header2 4 2 2 3 4 3 2 2 2" xfId="41171"/>
    <cellStyle name="Header2 4 2 2 3 4 3 2 3" xfId="26830"/>
    <cellStyle name="Header2 4 2 2 3 4 3 2 4" xfId="36020"/>
    <cellStyle name="Header2 4 2 2 3 4 3 3" xfId="19961"/>
    <cellStyle name="Header2 4 2 2 3 4 3 3 2" xfId="31778"/>
    <cellStyle name="Header2 4 2 2 3 4 3 3 2 2" xfId="41777"/>
    <cellStyle name="Header2 4 2 2 3 4 3 3 3" xfId="27436"/>
    <cellStyle name="Header2 4 2 2 3 4 3 3 4" xfId="36626"/>
    <cellStyle name="Header2 4 2 2 3 4 3 4" xfId="17788"/>
    <cellStyle name="Header2 4 2 2 3 4 3 4 2" xfId="29605"/>
    <cellStyle name="Header2 4 2 2 3 4 3 4 2 2" xfId="39604"/>
    <cellStyle name="Header2 4 2 2 3 4 3 4 3" xfId="25363"/>
    <cellStyle name="Header2 4 2 2 3 4 3 4 4" xfId="34453"/>
    <cellStyle name="Header2 4 2 2 3 4 3 5" xfId="20770"/>
    <cellStyle name="Header2 4 2 2 3 4 3 5 2" xfId="32587"/>
    <cellStyle name="Header2 4 2 2 3 4 3 5 2 2" xfId="42586"/>
    <cellStyle name="Header2 4 2 2 3 4 3 5 3" xfId="37435"/>
    <cellStyle name="Header2 4 2 2 3 4 3 6" xfId="28136"/>
    <cellStyle name="Header2 4 2 2 3 4 3 6 2" xfId="38135"/>
    <cellStyle name="Header2 4 2 2 3 4 3 7" xfId="21555"/>
    <cellStyle name="Header2 4 2 2 3 4 4" xfId="16022"/>
    <cellStyle name="Header2 4 2 2 3 4 4 2" xfId="27839"/>
    <cellStyle name="Header2 4 2 2 3 4 4 2 2" xfId="37838"/>
    <cellStyle name="Header2 4 2 2 3 4 4 3" xfId="23900"/>
    <cellStyle name="Header2 4 2 2 3 4 4 4" xfId="32990"/>
    <cellStyle name="Header2 4 2 2 3 4 5" xfId="16531"/>
    <cellStyle name="Header2 4 2 2 3 4 5 2" xfId="28348"/>
    <cellStyle name="Header2 4 2 2 3 4 5 2 2" xfId="38347"/>
    <cellStyle name="Header2 4 2 2 3 4 5 3" xfId="24106"/>
    <cellStyle name="Header2 4 2 2 3 4 5 4" xfId="33196"/>
    <cellStyle name="Header2 4 2 2 3 4 6" xfId="16831"/>
    <cellStyle name="Header2 4 2 2 3 4 6 2" xfId="28648"/>
    <cellStyle name="Header2 4 2 2 3 4 6 2 2" xfId="38647"/>
    <cellStyle name="Header2 4 2 2 3 4 6 3" xfId="24406"/>
    <cellStyle name="Header2 4 2 2 3 4 6 4" xfId="33496"/>
    <cellStyle name="Header2 4 2 2 3 4 7" xfId="17253"/>
    <cellStyle name="Header2 4 2 2 3 4 7 2" xfId="29070"/>
    <cellStyle name="Header2 4 2 2 3 4 7 2 2" xfId="39069"/>
    <cellStyle name="Header2 4 2 2 3 4 7 3" xfId="24828"/>
    <cellStyle name="Header2 4 2 2 3 4 7 4" xfId="33918"/>
    <cellStyle name="Header2 4 2 2 3 4 8" xfId="17556"/>
    <cellStyle name="Header2 4 2 2 3 4 8 2" xfId="29373"/>
    <cellStyle name="Header2 4 2 2 3 4 8 2 2" xfId="39372"/>
    <cellStyle name="Header2 4 2 2 3 4 8 3" xfId="25131"/>
    <cellStyle name="Header2 4 2 2 3 4 8 4" xfId="34221"/>
    <cellStyle name="Header2 4 2 2 3 4 9" xfId="18379"/>
    <cellStyle name="Header2 4 2 2 3 4 9 2" xfId="30196"/>
    <cellStyle name="Header2 4 2 2 3 4 9 2 2" xfId="40195"/>
    <cellStyle name="Header2 4 2 2 3 4 9 3" xfId="25854"/>
    <cellStyle name="Header2 4 2 2 3 4 9 4" xfId="35044"/>
    <cellStyle name="Header2 4 2 2 3 5" xfId="15735"/>
    <cellStyle name="Header2 4 2 2 3 5 2" xfId="19058"/>
    <cellStyle name="Header2 4 2 2 3 5 2 2" xfId="30875"/>
    <cellStyle name="Header2 4 2 2 3 5 2 2 2" xfId="40874"/>
    <cellStyle name="Header2 4 2 2 3 5 2 3" xfId="26533"/>
    <cellStyle name="Header2 4 2 2 3 5 2 4" xfId="35723"/>
    <cellStyle name="Header2 4 2 2 3 5 3" xfId="19664"/>
    <cellStyle name="Header2 4 2 2 3 5 3 2" xfId="31481"/>
    <cellStyle name="Header2 4 2 2 3 5 3 2 2" xfId="41480"/>
    <cellStyle name="Header2 4 2 2 3 5 3 3" xfId="27139"/>
    <cellStyle name="Header2 4 2 2 3 5 3 4" xfId="36329"/>
    <cellStyle name="Header2 4 2 2 3 5 4" xfId="18166"/>
    <cellStyle name="Header2 4 2 2 3 5 4 2" xfId="29983"/>
    <cellStyle name="Header2 4 2 2 3 5 4 2 2" xfId="39982"/>
    <cellStyle name="Header2 4 2 2 3 5 4 3" xfId="25741"/>
    <cellStyle name="Header2 4 2 2 3 5 4 4" xfId="34831"/>
    <cellStyle name="Header2 4 2 2 3 5 5" xfId="20473"/>
    <cellStyle name="Header2 4 2 2 3 5 5 2" xfId="32290"/>
    <cellStyle name="Header2 4 2 2 3 5 5 2 2" xfId="42289"/>
    <cellStyle name="Header2 4 2 2 3 5 5 3" xfId="37138"/>
    <cellStyle name="Header2 4 2 2 3 5 6" xfId="23613"/>
    <cellStyle name="Header2 4 2 2 3 5 6 2" xfId="21003"/>
    <cellStyle name="Header2 4 2 2 3 5 7" xfId="22821"/>
    <cellStyle name="Header2 4 2 2 3 5 7 2" xfId="22196"/>
    <cellStyle name="Header2 4 2 2 3 5 8" xfId="22451"/>
    <cellStyle name="Header2 4 2 2 3 6" xfId="16316"/>
    <cellStyle name="Header2 4 2 2 3 6 2" xfId="19526"/>
    <cellStyle name="Header2 4 2 2 3 6 2 2" xfId="31343"/>
    <cellStyle name="Header2 4 2 2 3 6 2 2 2" xfId="41342"/>
    <cellStyle name="Header2 4 2 2 3 6 2 3" xfId="27001"/>
    <cellStyle name="Header2 4 2 2 3 6 2 4" xfId="36191"/>
    <cellStyle name="Header2 4 2 2 3 6 3" xfId="20132"/>
    <cellStyle name="Header2 4 2 2 3 6 3 2" xfId="31949"/>
    <cellStyle name="Header2 4 2 2 3 6 3 2 2" xfId="41948"/>
    <cellStyle name="Header2 4 2 2 3 6 3 3" xfId="27607"/>
    <cellStyle name="Header2 4 2 2 3 6 3 4" xfId="36797"/>
    <cellStyle name="Header2 4 2 2 3 6 4" xfId="18040"/>
    <cellStyle name="Header2 4 2 2 3 6 4 2" xfId="29857"/>
    <cellStyle name="Header2 4 2 2 3 6 4 2 2" xfId="39856"/>
    <cellStyle name="Header2 4 2 2 3 6 4 3" xfId="25615"/>
    <cellStyle name="Header2 4 2 2 3 6 4 4" xfId="34705"/>
    <cellStyle name="Header2 4 2 2 3 6 5" xfId="20941"/>
    <cellStyle name="Header2 4 2 2 3 6 5 2" xfId="32758"/>
    <cellStyle name="Header2 4 2 2 3 6 5 2 2" xfId="42757"/>
    <cellStyle name="Header2 4 2 2 3 6 5 3" xfId="37606"/>
    <cellStyle name="Header2 4 2 2 3 6 6" xfId="28133"/>
    <cellStyle name="Header2 4 2 2 3 6 6 2" xfId="38132"/>
    <cellStyle name="Header2 4 2 2 3 6 7" xfId="22218"/>
    <cellStyle name="Header2 4 2 2 3 7" xfId="15870"/>
    <cellStyle name="Header2 4 2 2 3 7 2" xfId="27687"/>
    <cellStyle name="Header2 4 2 2 3 7 2 2" xfId="37686"/>
    <cellStyle name="Header2 4 2 2 3 7 3" xfId="23748"/>
    <cellStyle name="Header2 4 2 2 3 7 4" xfId="32838"/>
    <cellStyle name="Header2 4 2 2 3 8" xfId="16534"/>
    <cellStyle name="Header2 4 2 2 3 8 2" xfId="28351"/>
    <cellStyle name="Header2 4 2 2 3 8 2 2" xfId="38350"/>
    <cellStyle name="Header2 4 2 2 3 8 3" xfId="24109"/>
    <cellStyle name="Header2 4 2 2 3 8 4" xfId="33199"/>
    <cellStyle name="Header2 4 2 2 3 9" xfId="17002"/>
    <cellStyle name="Header2 4 2 2 3 9 2" xfId="28819"/>
    <cellStyle name="Header2 4 2 2 3 9 2 2" xfId="38818"/>
    <cellStyle name="Header2 4 2 2 3 9 3" xfId="24577"/>
    <cellStyle name="Header2 4 2 2 3 9 4" xfId="33667"/>
    <cellStyle name="Header2 4 2 2 4" xfId="7932"/>
    <cellStyle name="Header2 4 2 2 4 10" xfId="18678"/>
    <cellStyle name="Header2 4 2 2 4 10 2" xfId="30495"/>
    <cellStyle name="Header2 4 2 2 4 10 2 2" xfId="40494"/>
    <cellStyle name="Header2 4 2 2 4 10 3" xfId="26153"/>
    <cellStyle name="Header2 4 2 2 4 10 4" xfId="35343"/>
    <cellStyle name="Header2 4 2 2 4 11" xfId="20287"/>
    <cellStyle name="Header2 4 2 2 4 11 2" xfId="32104"/>
    <cellStyle name="Header2 4 2 2 4 11 2 2" xfId="42103"/>
    <cellStyle name="Header2 4 2 2 4 11 3" xfId="36952"/>
    <cellStyle name="Header2 4 2 2 4 12" xfId="23170"/>
    <cellStyle name="Header2 4 2 2 4 12 2" xfId="21251"/>
    <cellStyle name="Header2 4 2 2 4 13" xfId="22564"/>
    <cellStyle name="Header2 4 2 2 4 2" xfId="15739"/>
    <cellStyle name="Header2 4 2 2 4 2 2" xfId="19054"/>
    <cellStyle name="Header2 4 2 2 4 2 2 2" xfId="30871"/>
    <cellStyle name="Header2 4 2 2 4 2 2 2 2" xfId="40870"/>
    <cellStyle name="Header2 4 2 2 4 2 2 3" xfId="26529"/>
    <cellStyle name="Header2 4 2 2 4 2 2 4" xfId="35719"/>
    <cellStyle name="Header2 4 2 2 4 2 3" xfId="19660"/>
    <cellStyle name="Header2 4 2 2 4 2 3 2" xfId="31477"/>
    <cellStyle name="Header2 4 2 2 4 2 3 2 2" xfId="41476"/>
    <cellStyle name="Header2 4 2 2 4 2 3 3" xfId="27135"/>
    <cellStyle name="Header2 4 2 2 4 2 3 4" xfId="36325"/>
    <cellStyle name="Header2 4 2 2 4 2 4" xfId="18006"/>
    <cellStyle name="Header2 4 2 2 4 2 4 2" xfId="29823"/>
    <cellStyle name="Header2 4 2 2 4 2 4 2 2" xfId="39822"/>
    <cellStyle name="Header2 4 2 2 4 2 4 3" xfId="25581"/>
    <cellStyle name="Header2 4 2 2 4 2 4 4" xfId="34671"/>
    <cellStyle name="Header2 4 2 2 4 2 5" xfId="20469"/>
    <cellStyle name="Header2 4 2 2 4 2 5 2" xfId="32286"/>
    <cellStyle name="Header2 4 2 2 4 2 5 2 2" xfId="42285"/>
    <cellStyle name="Header2 4 2 2 4 2 5 3" xfId="37134"/>
    <cellStyle name="Header2 4 2 2 4 2 6" xfId="23617"/>
    <cellStyle name="Header2 4 2 2 4 2 6 2" xfId="21000"/>
    <cellStyle name="Header2 4 2 2 4 2 7" xfId="22818"/>
    <cellStyle name="Header2 4 2 2 4 2 7 2" xfId="21405"/>
    <cellStyle name="Header2 4 2 2 4 2 8" xfId="21681"/>
    <cellStyle name="Header2 4 2 2 4 3" xfId="16320"/>
    <cellStyle name="Header2 4 2 2 4 3 2" xfId="19354"/>
    <cellStyle name="Header2 4 2 2 4 3 2 2" xfId="31171"/>
    <cellStyle name="Header2 4 2 2 4 3 2 2 2" xfId="41170"/>
    <cellStyle name="Header2 4 2 2 4 3 2 3" xfId="26829"/>
    <cellStyle name="Header2 4 2 2 4 3 2 4" xfId="36019"/>
    <cellStyle name="Header2 4 2 2 4 3 3" xfId="19960"/>
    <cellStyle name="Header2 4 2 2 4 3 3 2" xfId="31777"/>
    <cellStyle name="Header2 4 2 2 4 3 3 2 2" xfId="41776"/>
    <cellStyle name="Header2 4 2 2 4 3 3 3" xfId="27435"/>
    <cellStyle name="Header2 4 2 2 4 3 3 4" xfId="36625"/>
    <cellStyle name="Header2 4 2 2 4 3 4" xfId="18869"/>
    <cellStyle name="Header2 4 2 2 4 3 4 2" xfId="30686"/>
    <cellStyle name="Header2 4 2 2 4 3 4 2 2" xfId="40685"/>
    <cellStyle name="Header2 4 2 2 4 3 4 3" xfId="26344"/>
    <cellStyle name="Header2 4 2 2 4 3 4 4" xfId="35534"/>
    <cellStyle name="Header2 4 2 2 4 3 5" xfId="20769"/>
    <cellStyle name="Header2 4 2 2 4 3 5 2" xfId="32586"/>
    <cellStyle name="Header2 4 2 2 4 3 5 2 2" xfId="42585"/>
    <cellStyle name="Header2 4 2 2 4 3 5 3" xfId="37434"/>
    <cellStyle name="Header2 4 2 2 4 3 6" xfId="28137"/>
    <cellStyle name="Header2 4 2 2 4 3 6 2" xfId="38136"/>
    <cellStyle name="Header2 4 2 2 4 3 7" xfId="22278"/>
    <cellStyle name="Header2 4 2 2 4 4" xfId="16023"/>
    <cellStyle name="Header2 4 2 2 4 4 2" xfId="27840"/>
    <cellStyle name="Header2 4 2 2 4 4 2 2" xfId="37839"/>
    <cellStyle name="Header2 4 2 2 4 4 3" xfId="23901"/>
    <cellStyle name="Header2 4 2 2 4 4 4" xfId="32991"/>
    <cellStyle name="Header2 4 2 2 4 5" xfId="16530"/>
    <cellStyle name="Header2 4 2 2 4 5 2" xfId="28347"/>
    <cellStyle name="Header2 4 2 2 4 5 2 2" xfId="38346"/>
    <cellStyle name="Header2 4 2 2 4 5 3" xfId="24105"/>
    <cellStyle name="Header2 4 2 2 4 5 4" xfId="33195"/>
    <cellStyle name="Header2 4 2 2 4 6" xfId="16830"/>
    <cellStyle name="Header2 4 2 2 4 6 2" xfId="28647"/>
    <cellStyle name="Header2 4 2 2 4 6 2 2" xfId="38646"/>
    <cellStyle name="Header2 4 2 2 4 6 3" xfId="24405"/>
    <cellStyle name="Header2 4 2 2 4 6 4" xfId="33495"/>
    <cellStyle name="Header2 4 2 2 4 7" xfId="17254"/>
    <cellStyle name="Header2 4 2 2 4 7 2" xfId="29071"/>
    <cellStyle name="Header2 4 2 2 4 7 2 2" xfId="39070"/>
    <cellStyle name="Header2 4 2 2 4 7 3" xfId="24829"/>
    <cellStyle name="Header2 4 2 2 4 7 4" xfId="33919"/>
    <cellStyle name="Header2 4 2 2 4 8" xfId="17557"/>
    <cellStyle name="Header2 4 2 2 4 8 2" xfId="29374"/>
    <cellStyle name="Header2 4 2 2 4 8 2 2" xfId="39373"/>
    <cellStyle name="Header2 4 2 2 4 8 3" xfId="25132"/>
    <cellStyle name="Header2 4 2 2 4 8 4" xfId="34222"/>
    <cellStyle name="Header2 4 2 2 4 9" xfId="18378"/>
    <cellStyle name="Header2 4 2 2 4 9 2" xfId="30195"/>
    <cellStyle name="Header2 4 2 2 4 9 2 2" xfId="40194"/>
    <cellStyle name="Header2 4 2 2 4 9 3" xfId="25853"/>
    <cellStyle name="Header2 4 2 2 4 9 4" xfId="35043"/>
    <cellStyle name="Header2 4 2 2 5" xfId="15730"/>
    <cellStyle name="Header2 4 2 2 5 2" xfId="19063"/>
    <cellStyle name="Header2 4 2 2 5 2 2" xfId="30880"/>
    <cellStyle name="Header2 4 2 2 5 2 2 2" xfId="40879"/>
    <cellStyle name="Header2 4 2 2 5 2 3" xfId="26538"/>
    <cellStyle name="Header2 4 2 2 5 2 4" xfId="35728"/>
    <cellStyle name="Header2 4 2 2 5 3" xfId="19669"/>
    <cellStyle name="Header2 4 2 2 5 3 2" xfId="31486"/>
    <cellStyle name="Header2 4 2 2 5 3 2 2" xfId="41485"/>
    <cellStyle name="Header2 4 2 2 5 3 3" xfId="27144"/>
    <cellStyle name="Header2 4 2 2 5 3 4" xfId="36334"/>
    <cellStyle name="Header2 4 2 2 5 4" xfId="18163"/>
    <cellStyle name="Header2 4 2 2 5 4 2" xfId="29980"/>
    <cellStyle name="Header2 4 2 2 5 4 2 2" xfId="39979"/>
    <cellStyle name="Header2 4 2 2 5 4 3" xfId="25738"/>
    <cellStyle name="Header2 4 2 2 5 4 4" xfId="34828"/>
    <cellStyle name="Header2 4 2 2 5 5" xfId="20478"/>
    <cellStyle name="Header2 4 2 2 5 5 2" xfId="32295"/>
    <cellStyle name="Header2 4 2 2 5 5 2 2" xfId="42294"/>
    <cellStyle name="Header2 4 2 2 5 5 3" xfId="37143"/>
    <cellStyle name="Header2 4 2 2 5 6" xfId="23608"/>
    <cellStyle name="Header2 4 2 2 5 6 2" xfId="21808"/>
    <cellStyle name="Header2 4 2 2 5 7" xfId="22972"/>
    <cellStyle name="Header2 4 2 2 5 7 2" xfId="22122"/>
    <cellStyle name="Header2 4 2 2 5 8" xfId="21673"/>
    <cellStyle name="Header2 4 2 2 6" xfId="16311"/>
    <cellStyle name="Header2 4 2 2 6 2" xfId="19362"/>
    <cellStyle name="Header2 4 2 2 6 2 2" xfId="31179"/>
    <cellStyle name="Header2 4 2 2 6 2 2 2" xfId="41178"/>
    <cellStyle name="Header2 4 2 2 6 2 3" xfId="26837"/>
    <cellStyle name="Header2 4 2 2 6 2 4" xfId="36027"/>
    <cellStyle name="Header2 4 2 2 6 3" xfId="19968"/>
    <cellStyle name="Header2 4 2 2 6 3 2" xfId="31785"/>
    <cellStyle name="Header2 4 2 2 6 3 2 2" xfId="41784"/>
    <cellStyle name="Header2 4 2 2 6 3 3" xfId="27443"/>
    <cellStyle name="Header2 4 2 2 6 3 4" xfId="36633"/>
    <cellStyle name="Header2 4 2 2 6 4" xfId="17787"/>
    <cellStyle name="Header2 4 2 2 6 4 2" xfId="29604"/>
    <cellStyle name="Header2 4 2 2 6 4 2 2" xfId="39603"/>
    <cellStyle name="Header2 4 2 2 6 4 3" xfId="25362"/>
    <cellStyle name="Header2 4 2 2 6 4 4" xfId="34452"/>
    <cellStyle name="Header2 4 2 2 6 5" xfId="20777"/>
    <cellStyle name="Header2 4 2 2 6 5 2" xfId="32594"/>
    <cellStyle name="Header2 4 2 2 6 5 2 2" xfId="42593"/>
    <cellStyle name="Header2 4 2 2 6 5 3" xfId="37442"/>
    <cellStyle name="Header2 4 2 2 6 6" xfId="28128"/>
    <cellStyle name="Header2 4 2 2 6 6 2" xfId="38127"/>
    <cellStyle name="Header2 4 2 2 6 7" xfId="22275"/>
    <cellStyle name="Header2 4 2 2 7" xfId="16016"/>
    <cellStyle name="Header2 4 2 2 7 2" xfId="27833"/>
    <cellStyle name="Header2 4 2 2 7 2 2" xfId="37832"/>
    <cellStyle name="Header2 4 2 2 7 3" xfId="23894"/>
    <cellStyle name="Header2 4 2 2 7 4" xfId="32984"/>
    <cellStyle name="Header2 4 2 2 8" xfId="16539"/>
    <cellStyle name="Header2 4 2 2 8 2" xfId="28356"/>
    <cellStyle name="Header2 4 2 2 8 2 2" xfId="38355"/>
    <cellStyle name="Header2 4 2 2 8 3" xfId="24114"/>
    <cellStyle name="Header2 4 2 2 8 4" xfId="33204"/>
    <cellStyle name="Header2 4 2 2 9" xfId="16838"/>
    <cellStyle name="Header2 4 2 2 9 2" xfId="28655"/>
    <cellStyle name="Header2 4 2 2 9 2 2" xfId="38654"/>
    <cellStyle name="Header2 4 2 2 9 3" xfId="24413"/>
    <cellStyle name="Header2 4 2 2 9 4" xfId="33503"/>
    <cellStyle name="Header2 4 2 3" xfId="7933"/>
    <cellStyle name="Header2 4 2 3 10" xfId="17255"/>
    <cellStyle name="Header2 4 2 3 10 2" xfId="29072"/>
    <cellStyle name="Header2 4 2 3 10 2 2" xfId="39071"/>
    <cellStyle name="Header2 4 2 3 10 3" xfId="24830"/>
    <cellStyle name="Header2 4 2 3 10 4" xfId="33920"/>
    <cellStyle name="Header2 4 2 3 11" xfId="17558"/>
    <cellStyle name="Header2 4 2 3 11 2" xfId="29375"/>
    <cellStyle name="Header2 4 2 3 11 2 2" xfId="39374"/>
    <cellStyle name="Header2 4 2 3 11 3" xfId="25133"/>
    <cellStyle name="Header2 4 2 3 11 4" xfId="34223"/>
    <cellStyle name="Header2 4 2 3 12" xfId="18377"/>
    <cellStyle name="Header2 4 2 3 12 2" xfId="30194"/>
    <cellStyle name="Header2 4 2 3 12 2 2" xfId="40193"/>
    <cellStyle name="Header2 4 2 3 12 3" xfId="25852"/>
    <cellStyle name="Header2 4 2 3 12 4" xfId="35042"/>
    <cellStyle name="Header2 4 2 3 13" xfId="18677"/>
    <cellStyle name="Header2 4 2 3 13 2" xfId="30494"/>
    <cellStyle name="Header2 4 2 3 13 2 2" xfId="40493"/>
    <cellStyle name="Header2 4 2 3 13 3" xfId="26152"/>
    <cellStyle name="Header2 4 2 3 13 4" xfId="35342"/>
    <cellStyle name="Header2 4 2 3 14" xfId="18274"/>
    <cellStyle name="Header2 4 2 3 14 2" xfId="30091"/>
    <cellStyle name="Header2 4 2 3 14 2 2" xfId="40090"/>
    <cellStyle name="Header2 4 2 3 14 3" xfId="34939"/>
    <cellStyle name="Header2 4 2 3 15" xfId="23169"/>
    <cellStyle name="Header2 4 2 3 15 2" xfId="22001"/>
    <cellStyle name="Header2 4 2 3 16" xfId="22563"/>
    <cellStyle name="Header2 4 2 3 2" xfId="7934"/>
    <cellStyle name="Header2 4 2 3 2 10" xfId="18676"/>
    <cellStyle name="Header2 4 2 3 2 10 2" xfId="30493"/>
    <cellStyle name="Header2 4 2 3 2 10 2 2" xfId="40492"/>
    <cellStyle name="Header2 4 2 3 2 10 3" xfId="26151"/>
    <cellStyle name="Header2 4 2 3 2 10 4" xfId="35341"/>
    <cellStyle name="Header2 4 2 3 2 11" xfId="20185"/>
    <cellStyle name="Header2 4 2 3 2 11 2" xfId="32002"/>
    <cellStyle name="Header2 4 2 3 2 11 2 2" xfId="42001"/>
    <cellStyle name="Header2 4 2 3 2 11 3" xfId="36850"/>
    <cellStyle name="Header2 4 2 3 2 12" xfId="23168"/>
    <cellStyle name="Header2 4 2 3 2 12 2" xfId="21252"/>
    <cellStyle name="Header2 4 2 3 2 13" xfId="22562"/>
    <cellStyle name="Header2 4 2 3 2 2" xfId="15741"/>
    <cellStyle name="Header2 4 2 3 2 2 2" xfId="19052"/>
    <cellStyle name="Header2 4 2 3 2 2 2 2" xfId="30869"/>
    <cellStyle name="Header2 4 2 3 2 2 2 2 2" xfId="40868"/>
    <cellStyle name="Header2 4 2 3 2 2 2 3" xfId="26527"/>
    <cellStyle name="Header2 4 2 3 2 2 2 4" xfId="35717"/>
    <cellStyle name="Header2 4 2 3 2 2 3" xfId="19658"/>
    <cellStyle name="Header2 4 2 3 2 2 3 2" xfId="31475"/>
    <cellStyle name="Header2 4 2 3 2 2 3 2 2" xfId="41474"/>
    <cellStyle name="Header2 4 2 3 2 2 3 3" xfId="27133"/>
    <cellStyle name="Header2 4 2 3 2 2 3 4" xfId="36323"/>
    <cellStyle name="Header2 4 2 3 2 2 4" xfId="18007"/>
    <cellStyle name="Header2 4 2 3 2 2 4 2" xfId="29824"/>
    <cellStyle name="Header2 4 2 3 2 2 4 2 2" xfId="39823"/>
    <cellStyle name="Header2 4 2 3 2 2 4 3" xfId="25582"/>
    <cellStyle name="Header2 4 2 3 2 2 4 4" xfId="34672"/>
    <cellStyle name="Header2 4 2 3 2 2 5" xfId="20467"/>
    <cellStyle name="Header2 4 2 3 2 2 5 2" xfId="32284"/>
    <cellStyle name="Header2 4 2 3 2 2 5 2 2" xfId="42283"/>
    <cellStyle name="Header2 4 2 3 2 2 5 3" xfId="37132"/>
    <cellStyle name="Header2 4 2 3 2 2 6" xfId="23619"/>
    <cellStyle name="Header2 4 2 3 2 2 6 2" xfId="20999"/>
    <cellStyle name="Header2 4 2 3 2 2 7" xfId="22817"/>
    <cellStyle name="Header2 4 2 3 2 2 7 2" xfId="22198"/>
    <cellStyle name="Header2 4 2 3 2 2 8" xfId="21683"/>
    <cellStyle name="Header2 4 2 3 2 3" xfId="16322"/>
    <cellStyle name="Header2 4 2 3 2 3 2" xfId="19352"/>
    <cellStyle name="Header2 4 2 3 2 3 2 2" xfId="31169"/>
    <cellStyle name="Header2 4 2 3 2 3 2 2 2" xfId="41168"/>
    <cellStyle name="Header2 4 2 3 2 3 2 3" xfId="26827"/>
    <cellStyle name="Header2 4 2 3 2 3 2 4" xfId="36017"/>
    <cellStyle name="Header2 4 2 3 2 3 3" xfId="19958"/>
    <cellStyle name="Header2 4 2 3 2 3 3 2" xfId="31775"/>
    <cellStyle name="Header2 4 2 3 2 3 3 2 2" xfId="41774"/>
    <cellStyle name="Header2 4 2 3 2 3 3 3" xfId="27433"/>
    <cellStyle name="Header2 4 2 3 2 3 3 4" xfId="36623"/>
    <cellStyle name="Header2 4 2 3 2 3 4" xfId="18103"/>
    <cellStyle name="Header2 4 2 3 2 3 4 2" xfId="29920"/>
    <cellStyle name="Header2 4 2 3 2 3 4 2 2" xfId="39919"/>
    <cellStyle name="Header2 4 2 3 2 3 4 3" xfId="25678"/>
    <cellStyle name="Header2 4 2 3 2 3 4 4" xfId="34768"/>
    <cellStyle name="Header2 4 2 3 2 3 5" xfId="20767"/>
    <cellStyle name="Header2 4 2 3 2 3 5 2" xfId="32584"/>
    <cellStyle name="Header2 4 2 3 2 3 5 2 2" xfId="42583"/>
    <cellStyle name="Header2 4 2 3 2 3 5 3" xfId="37432"/>
    <cellStyle name="Header2 4 2 3 2 3 6" xfId="28139"/>
    <cellStyle name="Header2 4 2 3 2 3 6 2" xfId="38138"/>
    <cellStyle name="Header2 4 2 3 2 3 7" xfId="22280"/>
    <cellStyle name="Header2 4 2 3 2 4" xfId="16025"/>
    <cellStyle name="Header2 4 2 3 2 4 2" xfId="27842"/>
    <cellStyle name="Header2 4 2 3 2 4 2 2" xfId="37841"/>
    <cellStyle name="Header2 4 2 3 2 4 3" xfId="23903"/>
    <cellStyle name="Header2 4 2 3 2 4 4" xfId="32993"/>
    <cellStyle name="Header2 4 2 3 2 5" xfId="16528"/>
    <cellStyle name="Header2 4 2 3 2 5 2" xfId="28345"/>
    <cellStyle name="Header2 4 2 3 2 5 2 2" xfId="38344"/>
    <cellStyle name="Header2 4 2 3 2 5 3" xfId="24103"/>
    <cellStyle name="Header2 4 2 3 2 5 4" xfId="33193"/>
    <cellStyle name="Header2 4 2 3 2 6" xfId="16828"/>
    <cellStyle name="Header2 4 2 3 2 6 2" xfId="28645"/>
    <cellStyle name="Header2 4 2 3 2 6 2 2" xfId="38644"/>
    <cellStyle name="Header2 4 2 3 2 6 3" xfId="24403"/>
    <cellStyle name="Header2 4 2 3 2 6 4" xfId="33493"/>
    <cellStyle name="Header2 4 2 3 2 7" xfId="17256"/>
    <cellStyle name="Header2 4 2 3 2 7 2" xfId="29073"/>
    <cellStyle name="Header2 4 2 3 2 7 2 2" xfId="39072"/>
    <cellStyle name="Header2 4 2 3 2 7 3" xfId="24831"/>
    <cellStyle name="Header2 4 2 3 2 7 4" xfId="33921"/>
    <cellStyle name="Header2 4 2 3 2 8" xfId="17559"/>
    <cellStyle name="Header2 4 2 3 2 8 2" xfId="29376"/>
    <cellStyle name="Header2 4 2 3 2 8 2 2" xfId="39375"/>
    <cellStyle name="Header2 4 2 3 2 8 3" xfId="25134"/>
    <cellStyle name="Header2 4 2 3 2 8 4" xfId="34224"/>
    <cellStyle name="Header2 4 2 3 2 9" xfId="18376"/>
    <cellStyle name="Header2 4 2 3 2 9 2" xfId="30193"/>
    <cellStyle name="Header2 4 2 3 2 9 2 2" xfId="40192"/>
    <cellStyle name="Header2 4 2 3 2 9 3" xfId="25851"/>
    <cellStyle name="Header2 4 2 3 2 9 4" xfId="35041"/>
    <cellStyle name="Header2 4 2 3 3" xfId="7935"/>
    <cellStyle name="Header2 4 2 3 3 10" xfId="18675"/>
    <cellStyle name="Header2 4 2 3 3 10 2" xfId="30492"/>
    <cellStyle name="Header2 4 2 3 3 10 2 2" xfId="40491"/>
    <cellStyle name="Header2 4 2 3 3 10 3" xfId="26150"/>
    <cellStyle name="Header2 4 2 3 3 10 4" xfId="35340"/>
    <cellStyle name="Header2 4 2 3 3 11" xfId="20286"/>
    <cellStyle name="Header2 4 2 3 3 11 2" xfId="32103"/>
    <cellStyle name="Header2 4 2 3 3 11 2 2" xfId="42102"/>
    <cellStyle name="Header2 4 2 3 3 11 3" xfId="36951"/>
    <cellStyle name="Header2 4 2 3 3 12" xfId="23167"/>
    <cellStyle name="Header2 4 2 3 3 12 2" xfId="22002"/>
    <cellStyle name="Header2 4 2 3 3 13" xfId="22561"/>
    <cellStyle name="Header2 4 2 3 3 2" xfId="15742"/>
    <cellStyle name="Header2 4 2 3 3 2 2" xfId="19051"/>
    <cellStyle name="Header2 4 2 3 3 2 2 2" xfId="30868"/>
    <cellStyle name="Header2 4 2 3 3 2 2 2 2" xfId="40867"/>
    <cellStyle name="Header2 4 2 3 3 2 2 3" xfId="26526"/>
    <cellStyle name="Header2 4 2 3 3 2 2 4" xfId="35716"/>
    <cellStyle name="Header2 4 2 3 3 2 3" xfId="19657"/>
    <cellStyle name="Header2 4 2 3 3 2 3 2" xfId="31474"/>
    <cellStyle name="Header2 4 2 3 3 2 3 2 2" xfId="41473"/>
    <cellStyle name="Header2 4 2 3 3 2 3 3" xfId="27132"/>
    <cellStyle name="Header2 4 2 3 3 2 3 4" xfId="36322"/>
    <cellStyle name="Header2 4 2 3 3 2 4" xfId="18169"/>
    <cellStyle name="Header2 4 2 3 3 2 4 2" xfId="29986"/>
    <cellStyle name="Header2 4 2 3 3 2 4 2 2" xfId="39985"/>
    <cellStyle name="Header2 4 2 3 3 2 4 3" xfId="25744"/>
    <cellStyle name="Header2 4 2 3 3 2 4 4" xfId="34834"/>
    <cellStyle name="Header2 4 2 3 3 2 5" xfId="20466"/>
    <cellStyle name="Header2 4 2 3 3 2 5 2" xfId="32283"/>
    <cellStyle name="Header2 4 2 3 3 2 5 2 2" xfId="42282"/>
    <cellStyle name="Header2 4 2 3 3 2 5 3" xfId="37131"/>
    <cellStyle name="Header2 4 2 3 3 2 6" xfId="23620"/>
    <cellStyle name="Header2 4 2 3 3 2 6 2" xfId="20991"/>
    <cellStyle name="Header2 4 2 3 3 2 7" xfId="22816"/>
    <cellStyle name="Header2 4 2 3 3 2 7 2" xfId="21406"/>
    <cellStyle name="Header2 4 2 3 3 2 8" xfId="21684"/>
    <cellStyle name="Header2 4 2 3 3 3" xfId="16323"/>
    <cellStyle name="Header2 4 2 3 3 3 2" xfId="19351"/>
    <cellStyle name="Header2 4 2 3 3 3 2 2" xfId="31168"/>
    <cellStyle name="Header2 4 2 3 3 3 2 2 2" xfId="41167"/>
    <cellStyle name="Header2 4 2 3 3 3 2 3" xfId="26826"/>
    <cellStyle name="Header2 4 2 3 3 3 2 4" xfId="36016"/>
    <cellStyle name="Header2 4 2 3 3 3 3" xfId="19957"/>
    <cellStyle name="Header2 4 2 3 3 3 3 2" xfId="31774"/>
    <cellStyle name="Header2 4 2 3 3 3 3 2 2" xfId="41773"/>
    <cellStyle name="Header2 4 2 3 3 3 3 3" xfId="27432"/>
    <cellStyle name="Header2 4 2 3 3 3 3 4" xfId="36622"/>
    <cellStyle name="Header2 4 2 3 3 3 4" xfId="17790"/>
    <cellStyle name="Header2 4 2 3 3 3 4 2" xfId="29607"/>
    <cellStyle name="Header2 4 2 3 3 3 4 2 2" xfId="39606"/>
    <cellStyle name="Header2 4 2 3 3 3 4 3" xfId="25365"/>
    <cellStyle name="Header2 4 2 3 3 3 4 4" xfId="34455"/>
    <cellStyle name="Header2 4 2 3 3 3 5" xfId="20766"/>
    <cellStyle name="Header2 4 2 3 3 3 5 2" xfId="32583"/>
    <cellStyle name="Header2 4 2 3 3 3 5 2 2" xfId="42582"/>
    <cellStyle name="Header2 4 2 3 3 3 5 3" xfId="37431"/>
    <cellStyle name="Header2 4 2 3 3 3 6" xfId="28140"/>
    <cellStyle name="Header2 4 2 3 3 3 6 2" xfId="38139"/>
    <cellStyle name="Header2 4 2 3 3 3 7" xfId="22281"/>
    <cellStyle name="Header2 4 2 3 3 4" xfId="16026"/>
    <cellStyle name="Header2 4 2 3 3 4 2" xfId="27843"/>
    <cellStyle name="Header2 4 2 3 3 4 2 2" xfId="37842"/>
    <cellStyle name="Header2 4 2 3 3 4 3" xfId="23904"/>
    <cellStyle name="Header2 4 2 3 3 4 4" xfId="32994"/>
    <cellStyle name="Header2 4 2 3 3 5" xfId="16527"/>
    <cellStyle name="Header2 4 2 3 3 5 2" xfId="28344"/>
    <cellStyle name="Header2 4 2 3 3 5 2 2" xfId="38343"/>
    <cellStyle name="Header2 4 2 3 3 5 3" xfId="24102"/>
    <cellStyle name="Header2 4 2 3 3 5 4" xfId="33192"/>
    <cellStyle name="Header2 4 2 3 3 6" xfId="16827"/>
    <cellStyle name="Header2 4 2 3 3 6 2" xfId="28644"/>
    <cellStyle name="Header2 4 2 3 3 6 2 2" xfId="38643"/>
    <cellStyle name="Header2 4 2 3 3 6 3" xfId="24402"/>
    <cellStyle name="Header2 4 2 3 3 6 4" xfId="33492"/>
    <cellStyle name="Header2 4 2 3 3 7" xfId="17257"/>
    <cellStyle name="Header2 4 2 3 3 7 2" xfId="29074"/>
    <cellStyle name="Header2 4 2 3 3 7 2 2" xfId="39073"/>
    <cellStyle name="Header2 4 2 3 3 7 3" xfId="24832"/>
    <cellStyle name="Header2 4 2 3 3 7 4" xfId="33922"/>
    <cellStyle name="Header2 4 2 3 3 8" xfId="17560"/>
    <cellStyle name="Header2 4 2 3 3 8 2" xfId="29377"/>
    <cellStyle name="Header2 4 2 3 3 8 2 2" xfId="39376"/>
    <cellStyle name="Header2 4 2 3 3 8 3" xfId="25135"/>
    <cellStyle name="Header2 4 2 3 3 8 4" xfId="34225"/>
    <cellStyle name="Header2 4 2 3 3 9" xfId="18375"/>
    <cellStyle name="Header2 4 2 3 3 9 2" xfId="30192"/>
    <cellStyle name="Header2 4 2 3 3 9 2 2" xfId="40191"/>
    <cellStyle name="Header2 4 2 3 3 9 3" xfId="25850"/>
    <cellStyle name="Header2 4 2 3 3 9 4" xfId="35040"/>
    <cellStyle name="Header2 4 2 3 4" xfId="7936"/>
    <cellStyle name="Header2 4 2 3 4 10" xfId="18674"/>
    <cellStyle name="Header2 4 2 3 4 10 2" xfId="30491"/>
    <cellStyle name="Header2 4 2 3 4 10 2 2" xfId="40490"/>
    <cellStyle name="Header2 4 2 3 4 10 3" xfId="26149"/>
    <cellStyle name="Header2 4 2 3 4 10 4" xfId="35339"/>
    <cellStyle name="Header2 4 2 3 4 11" xfId="20188"/>
    <cellStyle name="Header2 4 2 3 4 11 2" xfId="32005"/>
    <cellStyle name="Header2 4 2 3 4 11 2 2" xfId="42004"/>
    <cellStyle name="Header2 4 2 3 4 11 3" xfId="36853"/>
    <cellStyle name="Header2 4 2 3 4 12" xfId="23166"/>
    <cellStyle name="Header2 4 2 3 4 12 2" xfId="21253"/>
    <cellStyle name="Header2 4 2 3 4 13" xfId="22560"/>
    <cellStyle name="Header2 4 2 3 4 2" xfId="15743"/>
    <cellStyle name="Header2 4 2 3 4 2 2" xfId="19050"/>
    <cellStyle name="Header2 4 2 3 4 2 2 2" xfId="30867"/>
    <cellStyle name="Header2 4 2 3 4 2 2 2 2" xfId="40866"/>
    <cellStyle name="Header2 4 2 3 4 2 2 3" xfId="26525"/>
    <cellStyle name="Header2 4 2 3 4 2 2 4" xfId="35715"/>
    <cellStyle name="Header2 4 2 3 4 2 3" xfId="19656"/>
    <cellStyle name="Header2 4 2 3 4 2 3 2" xfId="31473"/>
    <cellStyle name="Header2 4 2 3 4 2 3 2 2" xfId="41472"/>
    <cellStyle name="Header2 4 2 3 4 2 3 3" xfId="27131"/>
    <cellStyle name="Header2 4 2 3 4 2 3 4" xfId="36321"/>
    <cellStyle name="Header2 4 2 3 4 2 4" xfId="18008"/>
    <cellStyle name="Header2 4 2 3 4 2 4 2" xfId="29825"/>
    <cellStyle name="Header2 4 2 3 4 2 4 2 2" xfId="39824"/>
    <cellStyle name="Header2 4 2 3 4 2 4 3" xfId="25583"/>
    <cellStyle name="Header2 4 2 3 4 2 4 4" xfId="34673"/>
    <cellStyle name="Header2 4 2 3 4 2 5" xfId="20465"/>
    <cellStyle name="Header2 4 2 3 4 2 5 2" xfId="32282"/>
    <cellStyle name="Header2 4 2 3 4 2 5 2 2" xfId="42281"/>
    <cellStyle name="Header2 4 2 3 4 2 5 3" xfId="37130"/>
    <cellStyle name="Header2 4 2 3 4 2 6" xfId="23621"/>
    <cellStyle name="Header2 4 2 3 4 2 6 2" xfId="21803"/>
    <cellStyle name="Header2 4 2 3 4 2 7" xfId="22967"/>
    <cellStyle name="Header2 4 2 3 4 2 7 2" xfId="21330"/>
    <cellStyle name="Header2 4 2 3 4 2 8" xfId="21685"/>
    <cellStyle name="Header2 4 2 3 4 3" xfId="16324"/>
    <cellStyle name="Header2 4 2 3 4 3 2" xfId="19350"/>
    <cellStyle name="Header2 4 2 3 4 3 2 2" xfId="31167"/>
    <cellStyle name="Header2 4 2 3 4 3 2 2 2" xfId="41166"/>
    <cellStyle name="Header2 4 2 3 4 3 2 3" xfId="26825"/>
    <cellStyle name="Header2 4 2 3 4 3 2 4" xfId="36015"/>
    <cellStyle name="Header2 4 2 3 4 3 3" xfId="19956"/>
    <cellStyle name="Header2 4 2 3 4 3 3 2" xfId="31773"/>
    <cellStyle name="Header2 4 2 3 4 3 3 2 2" xfId="41772"/>
    <cellStyle name="Header2 4 2 3 4 3 3 3" xfId="27431"/>
    <cellStyle name="Header2 4 2 3 4 3 3 4" xfId="36621"/>
    <cellStyle name="Header2 4 2 3 4 3 4" xfId="18104"/>
    <cellStyle name="Header2 4 2 3 4 3 4 2" xfId="29921"/>
    <cellStyle name="Header2 4 2 3 4 3 4 2 2" xfId="39920"/>
    <cellStyle name="Header2 4 2 3 4 3 4 3" xfId="25679"/>
    <cellStyle name="Header2 4 2 3 4 3 4 4" xfId="34769"/>
    <cellStyle name="Header2 4 2 3 4 3 5" xfId="20765"/>
    <cellStyle name="Header2 4 2 3 4 3 5 2" xfId="32582"/>
    <cellStyle name="Header2 4 2 3 4 3 5 2 2" xfId="42581"/>
    <cellStyle name="Header2 4 2 3 4 3 5 3" xfId="37430"/>
    <cellStyle name="Header2 4 2 3 4 3 6" xfId="28141"/>
    <cellStyle name="Header2 4 2 3 4 3 6 2" xfId="38140"/>
    <cellStyle name="Header2 4 2 3 4 3 7" xfId="22282"/>
    <cellStyle name="Header2 4 2 3 4 4" xfId="16027"/>
    <cellStyle name="Header2 4 2 3 4 4 2" xfId="27844"/>
    <cellStyle name="Header2 4 2 3 4 4 2 2" xfId="37843"/>
    <cellStyle name="Header2 4 2 3 4 4 3" xfId="23905"/>
    <cellStyle name="Header2 4 2 3 4 4 4" xfId="32995"/>
    <cellStyle name="Header2 4 2 3 4 5" xfId="16526"/>
    <cellStyle name="Header2 4 2 3 4 5 2" xfId="28343"/>
    <cellStyle name="Header2 4 2 3 4 5 2 2" xfId="38342"/>
    <cellStyle name="Header2 4 2 3 4 5 3" xfId="24101"/>
    <cellStyle name="Header2 4 2 3 4 5 4" xfId="33191"/>
    <cellStyle name="Header2 4 2 3 4 6" xfId="16826"/>
    <cellStyle name="Header2 4 2 3 4 6 2" xfId="28643"/>
    <cellStyle name="Header2 4 2 3 4 6 2 2" xfId="38642"/>
    <cellStyle name="Header2 4 2 3 4 6 3" xfId="24401"/>
    <cellStyle name="Header2 4 2 3 4 6 4" xfId="33491"/>
    <cellStyle name="Header2 4 2 3 4 7" xfId="17258"/>
    <cellStyle name="Header2 4 2 3 4 7 2" xfId="29075"/>
    <cellStyle name="Header2 4 2 3 4 7 2 2" xfId="39074"/>
    <cellStyle name="Header2 4 2 3 4 7 3" xfId="24833"/>
    <cellStyle name="Header2 4 2 3 4 7 4" xfId="33923"/>
    <cellStyle name="Header2 4 2 3 4 8" xfId="17561"/>
    <cellStyle name="Header2 4 2 3 4 8 2" xfId="29378"/>
    <cellStyle name="Header2 4 2 3 4 8 2 2" xfId="39377"/>
    <cellStyle name="Header2 4 2 3 4 8 3" xfId="25136"/>
    <cellStyle name="Header2 4 2 3 4 8 4" xfId="34226"/>
    <cellStyle name="Header2 4 2 3 4 9" xfId="18374"/>
    <cellStyle name="Header2 4 2 3 4 9 2" xfId="30191"/>
    <cellStyle name="Header2 4 2 3 4 9 2 2" xfId="40190"/>
    <cellStyle name="Header2 4 2 3 4 9 3" xfId="25849"/>
    <cellStyle name="Header2 4 2 3 4 9 4" xfId="35039"/>
    <cellStyle name="Header2 4 2 3 5" xfId="15740"/>
    <cellStyle name="Header2 4 2 3 5 2" xfId="19053"/>
    <cellStyle name="Header2 4 2 3 5 2 2" xfId="30870"/>
    <cellStyle name="Header2 4 2 3 5 2 2 2" xfId="40869"/>
    <cellStyle name="Header2 4 2 3 5 2 3" xfId="26528"/>
    <cellStyle name="Header2 4 2 3 5 2 4" xfId="35718"/>
    <cellStyle name="Header2 4 2 3 5 3" xfId="19659"/>
    <cellStyle name="Header2 4 2 3 5 3 2" xfId="31476"/>
    <cellStyle name="Header2 4 2 3 5 3 2 2" xfId="41475"/>
    <cellStyle name="Header2 4 2 3 5 3 3" xfId="27134"/>
    <cellStyle name="Header2 4 2 3 5 3 4" xfId="36324"/>
    <cellStyle name="Header2 4 2 3 5 4" xfId="17713"/>
    <cellStyle name="Header2 4 2 3 5 4 2" xfId="29530"/>
    <cellStyle name="Header2 4 2 3 5 4 2 2" xfId="39529"/>
    <cellStyle name="Header2 4 2 3 5 4 3" xfId="25288"/>
    <cellStyle name="Header2 4 2 3 5 4 4" xfId="34378"/>
    <cellStyle name="Header2 4 2 3 5 5" xfId="20468"/>
    <cellStyle name="Header2 4 2 3 5 5 2" xfId="32285"/>
    <cellStyle name="Header2 4 2 3 5 5 2 2" xfId="42284"/>
    <cellStyle name="Header2 4 2 3 5 5 3" xfId="37133"/>
    <cellStyle name="Header2 4 2 3 5 6" xfId="23618"/>
    <cellStyle name="Header2 4 2 3 5 6 2" xfId="21804"/>
    <cellStyle name="Header2 4 2 3 5 7" xfId="22968"/>
    <cellStyle name="Header2 4 2 3 5 7 2" xfId="22123"/>
    <cellStyle name="Header2 4 2 3 5 8" xfId="21682"/>
    <cellStyle name="Header2 4 2 3 6" xfId="16321"/>
    <cellStyle name="Header2 4 2 3 6 2" xfId="19353"/>
    <cellStyle name="Header2 4 2 3 6 2 2" xfId="31170"/>
    <cellStyle name="Header2 4 2 3 6 2 2 2" xfId="41169"/>
    <cellStyle name="Header2 4 2 3 6 2 3" xfId="26828"/>
    <cellStyle name="Header2 4 2 3 6 2 4" xfId="36018"/>
    <cellStyle name="Header2 4 2 3 6 3" xfId="19959"/>
    <cellStyle name="Header2 4 2 3 6 3 2" xfId="31776"/>
    <cellStyle name="Header2 4 2 3 6 3 2 2" xfId="41775"/>
    <cellStyle name="Header2 4 2 3 6 3 3" xfId="27434"/>
    <cellStyle name="Header2 4 2 3 6 3 4" xfId="36624"/>
    <cellStyle name="Header2 4 2 3 6 4" xfId="17789"/>
    <cellStyle name="Header2 4 2 3 6 4 2" xfId="29606"/>
    <cellStyle name="Header2 4 2 3 6 4 2 2" xfId="39605"/>
    <cellStyle name="Header2 4 2 3 6 4 3" xfId="25364"/>
    <cellStyle name="Header2 4 2 3 6 4 4" xfId="34454"/>
    <cellStyle name="Header2 4 2 3 6 5" xfId="20768"/>
    <cellStyle name="Header2 4 2 3 6 5 2" xfId="32585"/>
    <cellStyle name="Header2 4 2 3 6 5 2 2" xfId="42584"/>
    <cellStyle name="Header2 4 2 3 6 5 3" xfId="37433"/>
    <cellStyle name="Header2 4 2 3 6 6" xfId="28138"/>
    <cellStyle name="Header2 4 2 3 6 6 2" xfId="38137"/>
    <cellStyle name="Header2 4 2 3 6 7" xfId="22279"/>
    <cellStyle name="Header2 4 2 3 7" xfId="16024"/>
    <cellStyle name="Header2 4 2 3 7 2" xfId="27841"/>
    <cellStyle name="Header2 4 2 3 7 2 2" xfId="37840"/>
    <cellStyle name="Header2 4 2 3 7 3" xfId="23902"/>
    <cellStyle name="Header2 4 2 3 7 4" xfId="32992"/>
    <cellStyle name="Header2 4 2 3 8" xfId="16529"/>
    <cellStyle name="Header2 4 2 3 8 2" xfId="28346"/>
    <cellStyle name="Header2 4 2 3 8 2 2" xfId="38345"/>
    <cellStyle name="Header2 4 2 3 8 3" xfId="24104"/>
    <cellStyle name="Header2 4 2 3 8 4" xfId="33194"/>
    <cellStyle name="Header2 4 2 3 9" xfId="16829"/>
    <cellStyle name="Header2 4 2 3 9 2" xfId="28646"/>
    <cellStyle name="Header2 4 2 3 9 2 2" xfId="38645"/>
    <cellStyle name="Header2 4 2 3 9 3" xfId="24404"/>
    <cellStyle name="Header2 4 2 3 9 4" xfId="33494"/>
    <cellStyle name="Header2 4 2 4" xfId="7937"/>
    <cellStyle name="Header2 4 2 4 10" xfId="17259"/>
    <cellStyle name="Header2 4 2 4 10 2" xfId="29076"/>
    <cellStyle name="Header2 4 2 4 10 2 2" xfId="39075"/>
    <cellStyle name="Header2 4 2 4 10 3" xfId="24834"/>
    <cellStyle name="Header2 4 2 4 10 4" xfId="33924"/>
    <cellStyle name="Header2 4 2 4 11" xfId="17562"/>
    <cellStyle name="Header2 4 2 4 11 2" xfId="29379"/>
    <cellStyle name="Header2 4 2 4 11 2 2" xfId="39378"/>
    <cellStyle name="Header2 4 2 4 11 3" xfId="25137"/>
    <cellStyle name="Header2 4 2 4 11 4" xfId="34227"/>
    <cellStyle name="Header2 4 2 4 12" xfId="18373"/>
    <cellStyle name="Header2 4 2 4 12 2" xfId="30190"/>
    <cellStyle name="Header2 4 2 4 12 2 2" xfId="40189"/>
    <cellStyle name="Header2 4 2 4 12 3" xfId="25848"/>
    <cellStyle name="Header2 4 2 4 12 4" xfId="35038"/>
    <cellStyle name="Header2 4 2 4 13" xfId="18673"/>
    <cellStyle name="Header2 4 2 4 13 2" xfId="30490"/>
    <cellStyle name="Header2 4 2 4 13 2 2" xfId="40489"/>
    <cellStyle name="Header2 4 2 4 13 3" xfId="26148"/>
    <cellStyle name="Header2 4 2 4 13 4" xfId="35338"/>
    <cellStyle name="Header2 4 2 4 14" xfId="20289"/>
    <cellStyle name="Header2 4 2 4 14 2" xfId="32106"/>
    <cellStyle name="Header2 4 2 4 14 2 2" xfId="42105"/>
    <cellStyle name="Header2 4 2 4 14 3" xfId="36954"/>
    <cellStyle name="Header2 4 2 4 15" xfId="23165"/>
    <cellStyle name="Header2 4 2 4 15 2" xfId="22003"/>
    <cellStyle name="Header2 4 2 4 16" xfId="22559"/>
    <cellStyle name="Header2 4 2 4 2" xfId="7938"/>
    <cellStyle name="Header2 4 2 4 2 10" xfId="18672"/>
    <cellStyle name="Header2 4 2 4 2 10 2" xfId="30489"/>
    <cellStyle name="Header2 4 2 4 2 10 2 2" xfId="40488"/>
    <cellStyle name="Header2 4 2 4 2 10 3" xfId="26147"/>
    <cellStyle name="Header2 4 2 4 2 10 4" xfId="35337"/>
    <cellStyle name="Header2 4 2 4 2 11" xfId="18275"/>
    <cellStyle name="Header2 4 2 4 2 11 2" xfId="30092"/>
    <cellStyle name="Header2 4 2 4 2 11 2 2" xfId="40091"/>
    <cellStyle name="Header2 4 2 4 2 11 3" xfId="34940"/>
    <cellStyle name="Header2 4 2 4 2 12" xfId="23164"/>
    <cellStyle name="Header2 4 2 4 2 12 2" xfId="22004"/>
    <cellStyle name="Header2 4 2 4 2 13" xfId="22558"/>
    <cellStyle name="Header2 4 2 4 2 2" xfId="15745"/>
    <cellStyle name="Header2 4 2 4 2 2 2" xfId="19048"/>
    <cellStyle name="Header2 4 2 4 2 2 2 2" xfId="30865"/>
    <cellStyle name="Header2 4 2 4 2 2 2 2 2" xfId="40864"/>
    <cellStyle name="Header2 4 2 4 2 2 2 3" xfId="26523"/>
    <cellStyle name="Header2 4 2 4 2 2 2 4" xfId="35713"/>
    <cellStyle name="Header2 4 2 4 2 2 3" xfId="19654"/>
    <cellStyle name="Header2 4 2 4 2 2 3 2" xfId="31471"/>
    <cellStyle name="Header2 4 2 4 2 2 3 2 2" xfId="41470"/>
    <cellStyle name="Header2 4 2 4 2 2 3 3" xfId="27129"/>
    <cellStyle name="Header2 4 2 4 2 2 3 4" xfId="36319"/>
    <cellStyle name="Header2 4 2 4 2 2 4" xfId="18010"/>
    <cellStyle name="Header2 4 2 4 2 2 4 2" xfId="29827"/>
    <cellStyle name="Header2 4 2 4 2 2 4 2 2" xfId="39826"/>
    <cellStyle name="Header2 4 2 4 2 2 4 3" xfId="25585"/>
    <cellStyle name="Header2 4 2 4 2 2 4 4" xfId="34675"/>
    <cellStyle name="Header2 4 2 4 2 2 5" xfId="20463"/>
    <cellStyle name="Header2 4 2 4 2 2 5 2" xfId="32280"/>
    <cellStyle name="Header2 4 2 4 2 2 5 2 2" xfId="42279"/>
    <cellStyle name="Header2 4 2 4 2 2 5 3" xfId="37128"/>
    <cellStyle name="Header2 4 2 4 2 2 6" xfId="23623"/>
    <cellStyle name="Header2 4 2 4 2 2 6 2" xfId="21801"/>
    <cellStyle name="Header2 4 2 4 2 2 7" xfId="22965"/>
    <cellStyle name="Header2 4 2 4 2 2 7 2" xfId="21331"/>
    <cellStyle name="Header2 4 2 4 2 2 8" xfId="22452"/>
    <cellStyle name="Header2 4 2 4 2 3" xfId="16326"/>
    <cellStyle name="Header2 4 2 4 2 3 2" xfId="19348"/>
    <cellStyle name="Header2 4 2 4 2 3 2 2" xfId="31165"/>
    <cellStyle name="Header2 4 2 4 2 3 2 2 2" xfId="41164"/>
    <cellStyle name="Header2 4 2 4 2 3 2 3" xfId="26823"/>
    <cellStyle name="Header2 4 2 4 2 3 2 4" xfId="36013"/>
    <cellStyle name="Header2 4 2 4 2 3 3" xfId="19954"/>
    <cellStyle name="Header2 4 2 4 2 3 3 2" xfId="31771"/>
    <cellStyle name="Header2 4 2 4 2 3 3 2 2" xfId="41770"/>
    <cellStyle name="Header2 4 2 4 2 3 3 3" xfId="27429"/>
    <cellStyle name="Header2 4 2 4 2 3 3 4" xfId="36619"/>
    <cellStyle name="Header2 4 2 4 2 3 4" xfId="18870"/>
    <cellStyle name="Header2 4 2 4 2 3 4 2" xfId="30687"/>
    <cellStyle name="Header2 4 2 4 2 3 4 2 2" xfId="40686"/>
    <cellStyle name="Header2 4 2 4 2 3 4 3" xfId="26345"/>
    <cellStyle name="Header2 4 2 4 2 3 4 4" xfId="35535"/>
    <cellStyle name="Header2 4 2 4 2 3 5" xfId="20763"/>
    <cellStyle name="Header2 4 2 4 2 3 5 2" xfId="32580"/>
    <cellStyle name="Header2 4 2 4 2 3 5 2 2" xfId="42579"/>
    <cellStyle name="Header2 4 2 4 2 3 5 3" xfId="37428"/>
    <cellStyle name="Header2 4 2 4 2 3 6" xfId="28143"/>
    <cellStyle name="Header2 4 2 4 2 3 6 2" xfId="38142"/>
    <cellStyle name="Header2 4 2 4 2 3 7" xfId="21556"/>
    <cellStyle name="Header2 4 2 4 2 4" xfId="16029"/>
    <cellStyle name="Header2 4 2 4 2 4 2" xfId="27846"/>
    <cellStyle name="Header2 4 2 4 2 4 2 2" xfId="37845"/>
    <cellStyle name="Header2 4 2 4 2 4 3" xfId="23907"/>
    <cellStyle name="Header2 4 2 4 2 4 4" xfId="32997"/>
    <cellStyle name="Header2 4 2 4 2 5" xfId="16524"/>
    <cellStyle name="Header2 4 2 4 2 5 2" xfId="28341"/>
    <cellStyle name="Header2 4 2 4 2 5 2 2" xfId="38340"/>
    <cellStyle name="Header2 4 2 4 2 5 3" xfId="24099"/>
    <cellStyle name="Header2 4 2 4 2 5 4" xfId="33189"/>
    <cellStyle name="Header2 4 2 4 2 6" xfId="16824"/>
    <cellStyle name="Header2 4 2 4 2 6 2" xfId="28641"/>
    <cellStyle name="Header2 4 2 4 2 6 2 2" xfId="38640"/>
    <cellStyle name="Header2 4 2 4 2 6 3" xfId="24399"/>
    <cellStyle name="Header2 4 2 4 2 6 4" xfId="33489"/>
    <cellStyle name="Header2 4 2 4 2 7" xfId="17260"/>
    <cellStyle name="Header2 4 2 4 2 7 2" xfId="29077"/>
    <cellStyle name="Header2 4 2 4 2 7 2 2" xfId="39076"/>
    <cellStyle name="Header2 4 2 4 2 7 3" xfId="24835"/>
    <cellStyle name="Header2 4 2 4 2 7 4" xfId="33925"/>
    <cellStyle name="Header2 4 2 4 2 8" xfId="17563"/>
    <cellStyle name="Header2 4 2 4 2 8 2" xfId="29380"/>
    <cellStyle name="Header2 4 2 4 2 8 2 2" xfId="39379"/>
    <cellStyle name="Header2 4 2 4 2 8 3" xfId="25138"/>
    <cellStyle name="Header2 4 2 4 2 8 4" xfId="34228"/>
    <cellStyle name="Header2 4 2 4 2 9" xfId="18372"/>
    <cellStyle name="Header2 4 2 4 2 9 2" xfId="30189"/>
    <cellStyle name="Header2 4 2 4 2 9 2 2" xfId="40188"/>
    <cellStyle name="Header2 4 2 4 2 9 3" xfId="25847"/>
    <cellStyle name="Header2 4 2 4 2 9 4" xfId="35037"/>
    <cellStyle name="Header2 4 2 4 3" xfId="7939"/>
    <cellStyle name="Header2 4 2 4 3 10" xfId="18671"/>
    <cellStyle name="Header2 4 2 4 3 10 2" xfId="30488"/>
    <cellStyle name="Header2 4 2 4 3 10 2 2" xfId="40487"/>
    <cellStyle name="Header2 4 2 4 3 10 3" xfId="26146"/>
    <cellStyle name="Header2 4 2 4 3 10 4" xfId="35336"/>
    <cellStyle name="Header2 4 2 4 3 11" xfId="18276"/>
    <cellStyle name="Header2 4 2 4 3 11 2" xfId="30093"/>
    <cellStyle name="Header2 4 2 4 3 11 2 2" xfId="40092"/>
    <cellStyle name="Header2 4 2 4 3 11 3" xfId="34941"/>
    <cellStyle name="Header2 4 2 4 3 12" xfId="23163"/>
    <cellStyle name="Header2 4 2 4 3 12 2" xfId="22005"/>
    <cellStyle name="Header2 4 2 4 3 13" xfId="22557"/>
    <cellStyle name="Header2 4 2 4 3 2" xfId="15746"/>
    <cellStyle name="Header2 4 2 4 3 2 2" xfId="19047"/>
    <cellStyle name="Header2 4 2 4 3 2 2 2" xfId="30864"/>
    <cellStyle name="Header2 4 2 4 3 2 2 2 2" xfId="40863"/>
    <cellStyle name="Header2 4 2 4 3 2 2 3" xfId="26522"/>
    <cellStyle name="Header2 4 2 4 3 2 2 4" xfId="35712"/>
    <cellStyle name="Header2 4 2 4 3 2 3" xfId="19653"/>
    <cellStyle name="Header2 4 2 4 3 2 3 2" xfId="31470"/>
    <cellStyle name="Header2 4 2 4 3 2 3 2 2" xfId="41469"/>
    <cellStyle name="Header2 4 2 4 3 2 3 3" xfId="27128"/>
    <cellStyle name="Header2 4 2 4 3 2 3 4" xfId="36318"/>
    <cellStyle name="Header2 4 2 4 3 2 4" xfId="18011"/>
    <cellStyle name="Header2 4 2 4 3 2 4 2" xfId="29828"/>
    <cellStyle name="Header2 4 2 4 3 2 4 2 2" xfId="39827"/>
    <cellStyle name="Header2 4 2 4 3 2 4 3" xfId="25586"/>
    <cellStyle name="Header2 4 2 4 3 2 4 4" xfId="34676"/>
    <cellStyle name="Header2 4 2 4 3 2 5" xfId="20462"/>
    <cellStyle name="Header2 4 2 4 3 2 5 2" xfId="32279"/>
    <cellStyle name="Header2 4 2 4 3 2 5 2 2" xfId="42278"/>
    <cellStyle name="Header2 4 2 4 3 2 5 3" xfId="37127"/>
    <cellStyle name="Header2 4 2 4 3 2 6" xfId="23624"/>
    <cellStyle name="Header2 4 2 4 3 2 6 2" xfId="21800"/>
    <cellStyle name="Header2 4 2 4 3 2 7" xfId="22964"/>
    <cellStyle name="Header2 4 2 4 3 2 7 2" xfId="22125"/>
    <cellStyle name="Header2 4 2 4 3 2 8" xfId="21687"/>
    <cellStyle name="Header2 4 2 4 3 3" xfId="16327"/>
    <cellStyle name="Header2 4 2 4 3 3 2" xfId="19347"/>
    <cellStyle name="Header2 4 2 4 3 3 2 2" xfId="31164"/>
    <cellStyle name="Header2 4 2 4 3 3 2 2 2" xfId="41163"/>
    <cellStyle name="Header2 4 2 4 3 3 2 3" xfId="26822"/>
    <cellStyle name="Header2 4 2 4 3 3 2 4" xfId="36012"/>
    <cellStyle name="Header2 4 2 4 3 3 3" xfId="19953"/>
    <cellStyle name="Header2 4 2 4 3 3 3 2" xfId="31770"/>
    <cellStyle name="Header2 4 2 4 3 3 3 2 2" xfId="41769"/>
    <cellStyle name="Header2 4 2 4 3 3 3 3" xfId="27428"/>
    <cellStyle name="Header2 4 2 4 3 3 3 4" xfId="36618"/>
    <cellStyle name="Header2 4 2 4 3 3 4" xfId="18871"/>
    <cellStyle name="Header2 4 2 4 3 3 4 2" xfId="30688"/>
    <cellStyle name="Header2 4 2 4 3 3 4 2 2" xfId="40687"/>
    <cellStyle name="Header2 4 2 4 3 3 4 3" xfId="26346"/>
    <cellStyle name="Header2 4 2 4 3 3 4 4" xfId="35536"/>
    <cellStyle name="Header2 4 2 4 3 3 5" xfId="20762"/>
    <cellStyle name="Header2 4 2 4 3 3 5 2" xfId="32579"/>
    <cellStyle name="Header2 4 2 4 3 3 5 2 2" xfId="42578"/>
    <cellStyle name="Header2 4 2 4 3 3 5 3" xfId="37427"/>
    <cellStyle name="Header2 4 2 4 3 3 6" xfId="28144"/>
    <cellStyle name="Header2 4 2 4 3 3 6 2" xfId="38143"/>
    <cellStyle name="Header2 4 2 4 3 3 7" xfId="22283"/>
    <cellStyle name="Header2 4 2 4 3 4" xfId="16030"/>
    <cellStyle name="Header2 4 2 4 3 4 2" xfId="27847"/>
    <cellStyle name="Header2 4 2 4 3 4 2 2" xfId="37846"/>
    <cellStyle name="Header2 4 2 4 3 4 3" xfId="23908"/>
    <cellStyle name="Header2 4 2 4 3 4 4" xfId="32998"/>
    <cellStyle name="Header2 4 2 4 3 5" xfId="16523"/>
    <cellStyle name="Header2 4 2 4 3 5 2" xfId="28340"/>
    <cellStyle name="Header2 4 2 4 3 5 2 2" xfId="38339"/>
    <cellStyle name="Header2 4 2 4 3 5 3" xfId="24098"/>
    <cellStyle name="Header2 4 2 4 3 5 4" xfId="33188"/>
    <cellStyle name="Header2 4 2 4 3 6" xfId="16823"/>
    <cellStyle name="Header2 4 2 4 3 6 2" xfId="28640"/>
    <cellStyle name="Header2 4 2 4 3 6 2 2" xfId="38639"/>
    <cellStyle name="Header2 4 2 4 3 6 3" xfId="24398"/>
    <cellStyle name="Header2 4 2 4 3 6 4" xfId="33488"/>
    <cellStyle name="Header2 4 2 4 3 7" xfId="17261"/>
    <cellStyle name="Header2 4 2 4 3 7 2" xfId="29078"/>
    <cellStyle name="Header2 4 2 4 3 7 2 2" xfId="39077"/>
    <cellStyle name="Header2 4 2 4 3 7 3" xfId="24836"/>
    <cellStyle name="Header2 4 2 4 3 7 4" xfId="33926"/>
    <cellStyle name="Header2 4 2 4 3 8" xfId="17564"/>
    <cellStyle name="Header2 4 2 4 3 8 2" xfId="29381"/>
    <cellStyle name="Header2 4 2 4 3 8 2 2" xfId="39380"/>
    <cellStyle name="Header2 4 2 4 3 8 3" xfId="25139"/>
    <cellStyle name="Header2 4 2 4 3 8 4" xfId="34229"/>
    <cellStyle name="Header2 4 2 4 3 9" xfId="18371"/>
    <cellStyle name="Header2 4 2 4 3 9 2" xfId="30188"/>
    <cellStyle name="Header2 4 2 4 3 9 2 2" xfId="40187"/>
    <cellStyle name="Header2 4 2 4 3 9 3" xfId="25846"/>
    <cellStyle name="Header2 4 2 4 3 9 4" xfId="35036"/>
    <cellStyle name="Header2 4 2 4 4" xfId="7940"/>
    <cellStyle name="Header2 4 2 4 4 10" xfId="18670"/>
    <cellStyle name="Header2 4 2 4 4 10 2" xfId="30487"/>
    <cellStyle name="Header2 4 2 4 4 10 2 2" xfId="40486"/>
    <cellStyle name="Header2 4 2 4 4 10 3" xfId="26145"/>
    <cellStyle name="Header2 4 2 4 4 10 4" xfId="35335"/>
    <cellStyle name="Header2 4 2 4 4 11" xfId="20183"/>
    <cellStyle name="Header2 4 2 4 4 11 2" xfId="32000"/>
    <cellStyle name="Header2 4 2 4 4 11 2 2" xfId="41999"/>
    <cellStyle name="Header2 4 2 4 4 11 3" xfId="36848"/>
    <cellStyle name="Header2 4 2 4 4 12" xfId="23162"/>
    <cellStyle name="Header2 4 2 4 4 12 2" xfId="21254"/>
    <cellStyle name="Header2 4 2 4 4 13" xfId="22556"/>
    <cellStyle name="Header2 4 2 4 4 2" xfId="15747"/>
    <cellStyle name="Header2 4 2 4 4 2 2" xfId="19046"/>
    <cellStyle name="Header2 4 2 4 4 2 2 2" xfId="30863"/>
    <cellStyle name="Header2 4 2 4 4 2 2 2 2" xfId="40862"/>
    <cellStyle name="Header2 4 2 4 4 2 2 3" xfId="26521"/>
    <cellStyle name="Header2 4 2 4 4 2 2 4" xfId="35711"/>
    <cellStyle name="Header2 4 2 4 4 2 3" xfId="19652"/>
    <cellStyle name="Header2 4 2 4 4 2 3 2" xfId="31469"/>
    <cellStyle name="Header2 4 2 4 4 2 3 2 2" xfId="41468"/>
    <cellStyle name="Header2 4 2 4 4 2 3 3" xfId="27127"/>
    <cellStyle name="Header2 4 2 4 4 2 3 4" xfId="36317"/>
    <cellStyle name="Header2 4 2 4 4 2 4" xfId="18012"/>
    <cellStyle name="Header2 4 2 4 4 2 4 2" xfId="29829"/>
    <cellStyle name="Header2 4 2 4 4 2 4 2 2" xfId="39828"/>
    <cellStyle name="Header2 4 2 4 4 2 4 3" xfId="25587"/>
    <cellStyle name="Header2 4 2 4 4 2 4 4" xfId="34677"/>
    <cellStyle name="Header2 4 2 4 4 2 5" xfId="20461"/>
    <cellStyle name="Header2 4 2 4 4 2 5 2" xfId="32278"/>
    <cellStyle name="Header2 4 2 4 4 2 5 2 2" xfId="42277"/>
    <cellStyle name="Header2 4 2 4 4 2 5 3" xfId="37126"/>
    <cellStyle name="Header2 4 2 4 4 2 6" xfId="23625"/>
    <cellStyle name="Header2 4 2 4 4 2 6 2" xfId="21799"/>
    <cellStyle name="Header2 4 2 4 4 2 7" xfId="22963"/>
    <cellStyle name="Header2 4 2 4 4 2 7 2" xfId="22126"/>
    <cellStyle name="Header2 4 2 4 4 2 8" xfId="21688"/>
    <cellStyle name="Header2 4 2 4 4 3" xfId="16328"/>
    <cellStyle name="Header2 4 2 4 4 3 2" xfId="19346"/>
    <cellStyle name="Header2 4 2 4 4 3 2 2" xfId="31163"/>
    <cellStyle name="Header2 4 2 4 4 3 2 2 2" xfId="41162"/>
    <cellStyle name="Header2 4 2 4 4 3 2 3" xfId="26821"/>
    <cellStyle name="Header2 4 2 4 4 3 2 4" xfId="36011"/>
    <cellStyle name="Header2 4 2 4 4 3 3" xfId="19952"/>
    <cellStyle name="Header2 4 2 4 4 3 3 2" xfId="31769"/>
    <cellStyle name="Header2 4 2 4 4 3 3 2 2" xfId="41768"/>
    <cellStyle name="Header2 4 2 4 4 3 3 3" xfId="27427"/>
    <cellStyle name="Header2 4 2 4 4 3 3 4" xfId="36617"/>
    <cellStyle name="Header2 4 2 4 4 3 4" xfId="17917"/>
    <cellStyle name="Header2 4 2 4 4 3 4 2" xfId="29734"/>
    <cellStyle name="Header2 4 2 4 4 3 4 2 2" xfId="39733"/>
    <cellStyle name="Header2 4 2 4 4 3 4 3" xfId="25492"/>
    <cellStyle name="Header2 4 2 4 4 3 4 4" xfId="34582"/>
    <cellStyle name="Header2 4 2 4 4 3 5" xfId="20761"/>
    <cellStyle name="Header2 4 2 4 4 3 5 2" xfId="32578"/>
    <cellStyle name="Header2 4 2 4 4 3 5 2 2" xfId="42577"/>
    <cellStyle name="Header2 4 2 4 4 3 5 3" xfId="37426"/>
    <cellStyle name="Header2 4 2 4 4 3 6" xfId="28145"/>
    <cellStyle name="Header2 4 2 4 4 3 6 2" xfId="38144"/>
    <cellStyle name="Header2 4 2 4 4 3 7" xfId="22284"/>
    <cellStyle name="Header2 4 2 4 4 4" xfId="15849"/>
    <cellStyle name="Header2 4 2 4 4 4 2" xfId="27666"/>
    <cellStyle name="Header2 4 2 4 4 4 2 2" xfId="37665"/>
    <cellStyle name="Header2 4 2 4 4 4 3" xfId="23727"/>
    <cellStyle name="Header2 4 2 4 4 4 4" xfId="32817"/>
    <cellStyle name="Header2 4 2 4 4 5" xfId="16522"/>
    <cellStyle name="Header2 4 2 4 4 5 2" xfId="28339"/>
    <cellStyle name="Header2 4 2 4 4 5 2 2" xfId="38338"/>
    <cellStyle name="Header2 4 2 4 4 5 3" xfId="24097"/>
    <cellStyle name="Header2 4 2 4 4 5 4" xfId="33187"/>
    <cellStyle name="Header2 4 2 4 4 6" xfId="16822"/>
    <cellStyle name="Header2 4 2 4 4 6 2" xfId="28639"/>
    <cellStyle name="Header2 4 2 4 4 6 2 2" xfId="38638"/>
    <cellStyle name="Header2 4 2 4 4 6 3" xfId="24397"/>
    <cellStyle name="Header2 4 2 4 4 6 4" xfId="33487"/>
    <cellStyle name="Header2 4 2 4 4 7" xfId="17262"/>
    <cellStyle name="Header2 4 2 4 4 7 2" xfId="29079"/>
    <cellStyle name="Header2 4 2 4 4 7 2 2" xfId="39078"/>
    <cellStyle name="Header2 4 2 4 4 7 3" xfId="24837"/>
    <cellStyle name="Header2 4 2 4 4 7 4" xfId="33927"/>
    <cellStyle name="Header2 4 2 4 4 8" xfId="17565"/>
    <cellStyle name="Header2 4 2 4 4 8 2" xfId="29382"/>
    <cellStyle name="Header2 4 2 4 4 8 2 2" xfId="39381"/>
    <cellStyle name="Header2 4 2 4 4 8 3" xfId="25140"/>
    <cellStyle name="Header2 4 2 4 4 8 4" xfId="34230"/>
    <cellStyle name="Header2 4 2 4 4 9" xfId="18370"/>
    <cellStyle name="Header2 4 2 4 4 9 2" xfId="30187"/>
    <cellStyle name="Header2 4 2 4 4 9 2 2" xfId="40186"/>
    <cellStyle name="Header2 4 2 4 4 9 3" xfId="25845"/>
    <cellStyle name="Header2 4 2 4 4 9 4" xfId="35035"/>
    <cellStyle name="Header2 4 2 4 5" xfId="15744"/>
    <cellStyle name="Header2 4 2 4 5 2" xfId="19049"/>
    <cellStyle name="Header2 4 2 4 5 2 2" xfId="30866"/>
    <cellStyle name="Header2 4 2 4 5 2 2 2" xfId="40865"/>
    <cellStyle name="Header2 4 2 4 5 2 3" xfId="26524"/>
    <cellStyle name="Header2 4 2 4 5 2 4" xfId="35714"/>
    <cellStyle name="Header2 4 2 4 5 3" xfId="19655"/>
    <cellStyle name="Header2 4 2 4 5 3 2" xfId="31472"/>
    <cellStyle name="Header2 4 2 4 5 3 2 2" xfId="41471"/>
    <cellStyle name="Header2 4 2 4 5 3 3" xfId="27130"/>
    <cellStyle name="Header2 4 2 4 5 3 4" xfId="36320"/>
    <cellStyle name="Header2 4 2 4 5 4" xfId="18009"/>
    <cellStyle name="Header2 4 2 4 5 4 2" xfId="29826"/>
    <cellStyle name="Header2 4 2 4 5 4 2 2" xfId="39825"/>
    <cellStyle name="Header2 4 2 4 5 4 3" xfId="25584"/>
    <cellStyle name="Header2 4 2 4 5 4 4" xfId="34674"/>
    <cellStyle name="Header2 4 2 4 5 5" xfId="20464"/>
    <cellStyle name="Header2 4 2 4 5 5 2" xfId="32281"/>
    <cellStyle name="Header2 4 2 4 5 5 2 2" xfId="42280"/>
    <cellStyle name="Header2 4 2 4 5 5 3" xfId="37129"/>
    <cellStyle name="Header2 4 2 4 5 6" xfId="23622"/>
    <cellStyle name="Header2 4 2 4 5 6 2" xfId="21802"/>
    <cellStyle name="Header2 4 2 4 5 7" xfId="22966"/>
    <cellStyle name="Header2 4 2 4 5 7 2" xfId="22124"/>
    <cellStyle name="Header2 4 2 4 5 8" xfId="21686"/>
    <cellStyle name="Header2 4 2 4 6" xfId="16325"/>
    <cellStyle name="Header2 4 2 4 6 2" xfId="19349"/>
    <cellStyle name="Header2 4 2 4 6 2 2" xfId="31166"/>
    <cellStyle name="Header2 4 2 4 6 2 2 2" xfId="41165"/>
    <cellStyle name="Header2 4 2 4 6 2 3" xfId="26824"/>
    <cellStyle name="Header2 4 2 4 6 2 4" xfId="36014"/>
    <cellStyle name="Header2 4 2 4 6 3" xfId="19955"/>
    <cellStyle name="Header2 4 2 4 6 3 2" xfId="31772"/>
    <cellStyle name="Header2 4 2 4 6 3 2 2" xfId="41771"/>
    <cellStyle name="Header2 4 2 4 6 3 3" xfId="27430"/>
    <cellStyle name="Header2 4 2 4 6 3 4" xfId="36620"/>
    <cellStyle name="Header2 4 2 4 6 4" xfId="17791"/>
    <cellStyle name="Header2 4 2 4 6 4 2" xfId="29608"/>
    <cellStyle name="Header2 4 2 4 6 4 2 2" xfId="39607"/>
    <cellStyle name="Header2 4 2 4 6 4 3" xfId="25366"/>
    <cellStyle name="Header2 4 2 4 6 4 4" xfId="34456"/>
    <cellStyle name="Header2 4 2 4 6 5" xfId="20764"/>
    <cellStyle name="Header2 4 2 4 6 5 2" xfId="32581"/>
    <cellStyle name="Header2 4 2 4 6 5 2 2" xfId="42580"/>
    <cellStyle name="Header2 4 2 4 6 5 3" xfId="37429"/>
    <cellStyle name="Header2 4 2 4 6 6" xfId="28142"/>
    <cellStyle name="Header2 4 2 4 6 6 2" xfId="38141"/>
    <cellStyle name="Header2 4 2 4 6 7" xfId="21756"/>
    <cellStyle name="Header2 4 2 4 7" xfId="16028"/>
    <cellStyle name="Header2 4 2 4 7 2" xfId="27845"/>
    <cellStyle name="Header2 4 2 4 7 2 2" xfId="37844"/>
    <cellStyle name="Header2 4 2 4 7 3" xfId="23906"/>
    <cellStyle name="Header2 4 2 4 7 4" xfId="32996"/>
    <cellStyle name="Header2 4 2 4 8" xfId="16525"/>
    <cellStyle name="Header2 4 2 4 8 2" xfId="28342"/>
    <cellStyle name="Header2 4 2 4 8 2 2" xfId="38341"/>
    <cellStyle name="Header2 4 2 4 8 3" xfId="24100"/>
    <cellStyle name="Header2 4 2 4 8 4" xfId="33190"/>
    <cellStyle name="Header2 4 2 4 9" xfId="16825"/>
    <cellStyle name="Header2 4 2 4 9 2" xfId="28642"/>
    <cellStyle name="Header2 4 2 4 9 2 2" xfId="38641"/>
    <cellStyle name="Header2 4 2 4 9 3" xfId="24400"/>
    <cellStyle name="Header2 4 2 4 9 4" xfId="33490"/>
    <cellStyle name="Header2 4 2 5" xfId="7941"/>
    <cellStyle name="Header2 4 2 5 10" xfId="18669"/>
    <cellStyle name="Header2 4 2 5 10 2" xfId="30486"/>
    <cellStyle name="Header2 4 2 5 10 2 2" xfId="40485"/>
    <cellStyle name="Header2 4 2 5 10 3" xfId="26144"/>
    <cellStyle name="Header2 4 2 5 10 4" xfId="35334"/>
    <cellStyle name="Header2 4 2 5 11" xfId="20284"/>
    <cellStyle name="Header2 4 2 5 11 2" xfId="32101"/>
    <cellStyle name="Header2 4 2 5 11 2 2" xfId="42100"/>
    <cellStyle name="Header2 4 2 5 11 3" xfId="36949"/>
    <cellStyle name="Header2 4 2 5 12" xfId="23161"/>
    <cellStyle name="Header2 4 2 5 12 2" xfId="22006"/>
    <cellStyle name="Header2 4 2 5 13" xfId="22555"/>
    <cellStyle name="Header2 4 2 5 2" xfId="15748"/>
    <cellStyle name="Header2 4 2 5 2 2" xfId="19045"/>
    <cellStyle name="Header2 4 2 5 2 2 2" xfId="30862"/>
    <cellStyle name="Header2 4 2 5 2 2 2 2" xfId="40861"/>
    <cellStyle name="Header2 4 2 5 2 2 3" xfId="26520"/>
    <cellStyle name="Header2 4 2 5 2 2 4" xfId="35710"/>
    <cellStyle name="Header2 4 2 5 2 3" xfId="19651"/>
    <cellStyle name="Header2 4 2 5 2 3 2" xfId="31468"/>
    <cellStyle name="Header2 4 2 5 2 3 2 2" xfId="41467"/>
    <cellStyle name="Header2 4 2 5 2 3 3" xfId="27126"/>
    <cellStyle name="Header2 4 2 5 2 3 4" xfId="36316"/>
    <cellStyle name="Header2 4 2 5 2 4" xfId="18170"/>
    <cellStyle name="Header2 4 2 5 2 4 2" xfId="29987"/>
    <cellStyle name="Header2 4 2 5 2 4 2 2" xfId="39986"/>
    <cellStyle name="Header2 4 2 5 2 4 3" xfId="25745"/>
    <cellStyle name="Header2 4 2 5 2 4 4" xfId="34835"/>
    <cellStyle name="Header2 4 2 5 2 5" xfId="20460"/>
    <cellStyle name="Header2 4 2 5 2 5 2" xfId="32277"/>
    <cellStyle name="Header2 4 2 5 2 5 2 2" xfId="42276"/>
    <cellStyle name="Header2 4 2 5 2 5 3" xfId="37125"/>
    <cellStyle name="Header2 4 2 5 2 6" xfId="23626"/>
    <cellStyle name="Header2 4 2 5 2 6 2" xfId="20996"/>
    <cellStyle name="Header2 4 2 5 2 7" xfId="22815"/>
    <cellStyle name="Header2 4 2 5 2 7 2" xfId="21407"/>
    <cellStyle name="Header2 4 2 5 2 8" xfId="21689"/>
    <cellStyle name="Header2 4 2 5 3" xfId="16329"/>
    <cellStyle name="Header2 4 2 5 3 2" xfId="19345"/>
    <cellStyle name="Header2 4 2 5 3 2 2" xfId="31162"/>
    <cellStyle name="Header2 4 2 5 3 2 2 2" xfId="41161"/>
    <cellStyle name="Header2 4 2 5 3 2 3" xfId="26820"/>
    <cellStyle name="Header2 4 2 5 3 2 4" xfId="36010"/>
    <cellStyle name="Header2 4 2 5 3 3" xfId="19951"/>
    <cellStyle name="Header2 4 2 5 3 3 2" xfId="31768"/>
    <cellStyle name="Header2 4 2 5 3 3 2 2" xfId="41767"/>
    <cellStyle name="Header2 4 2 5 3 3 3" xfId="27426"/>
    <cellStyle name="Header2 4 2 5 3 3 4" xfId="36616"/>
    <cellStyle name="Header2 4 2 5 3 4" xfId="17792"/>
    <cellStyle name="Header2 4 2 5 3 4 2" xfId="29609"/>
    <cellStyle name="Header2 4 2 5 3 4 2 2" xfId="39608"/>
    <cellStyle name="Header2 4 2 5 3 4 3" xfId="25367"/>
    <cellStyle name="Header2 4 2 5 3 4 4" xfId="34457"/>
    <cellStyle name="Header2 4 2 5 3 5" xfId="20760"/>
    <cellStyle name="Header2 4 2 5 3 5 2" xfId="32577"/>
    <cellStyle name="Header2 4 2 5 3 5 2 2" xfId="42576"/>
    <cellStyle name="Header2 4 2 5 3 5 3" xfId="37425"/>
    <cellStyle name="Header2 4 2 5 3 6" xfId="28146"/>
    <cellStyle name="Header2 4 2 5 3 6 2" xfId="38145"/>
    <cellStyle name="Header2 4 2 5 3 7" xfId="22285"/>
    <cellStyle name="Header2 4 2 5 4" xfId="16031"/>
    <cellStyle name="Header2 4 2 5 4 2" xfId="27848"/>
    <cellStyle name="Header2 4 2 5 4 2 2" xfId="37847"/>
    <cellStyle name="Header2 4 2 5 4 3" xfId="23909"/>
    <cellStyle name="Header2 4 2 5 4 4" xfId="32999"/>
    <cellStyle name="Header2 4 2 5 5" xfId="16521"/>
    <cellStyle name="Header2 4 2 5 5 2" xfId="28338"/>
    <cellStyle name="Header2 4 2 5 5 2 2" xfId="38337"/>
    <cellStyle name="Header2 4 2 5 5 3" xfId="24096"/>
    <cellStyle name="Header2 4 2 5 5 4" xfId="33186"/>
    <cellStyle name="Header2 4 2 5 6" xfId="16821"/>
    <cellStyle name="Header2 4 2 5 6 2" xfId="28638"/>
    <cellStyle name="Header2 4 2 5 6 2 2" xfId="38637"/>
    <cellStyle name="Header2 4 2 5 6 3" xfId="24396"/>
    <cellStyle name="Header2 4 2 5 6 4" xfId="33486"/>
    <cellStyle name="Header2 4 2 5 7" xfId="17263"/>
    <cellStyle name="Header2 4 2 5 7 2" xfId="29080"/>
    <cellStyle name="Header2 4 2 5 7 2 2" xfId="39079"/>
    <cellStyle name="Header2 4 2 5 7 3" xfId="24838"/>
    <cellStyle name="Header2 4 2 5 7 4" xfId="33928"/>
    <cellStyle name="Header2 4 2 5 8" xfId="17566"/>
    <cellStyle name="Header2 4 2 5 8 2" xfId="29383"/>
    <cellStyle name="Header2 4 2 5 8 2 2" xfId="39382"/>
    <cellStyle name="Header2 4 2 5 8 3" xfId="25141"/>
    <cellStyle name="Header2 4 2 5 8 4" xfId="34231"/>
    <cellStyle name="Header2 4 2 5 9" xfId="18369"/>
    <cellStyle name="Header2 4 2 5 9 2" xfId="30186"/>
    <cellStyle name="Header2 4 2 5 9 2 2" xfId="40185"/>
    <cellStyle name="Header2 4 2 5 9 3" xfId="25844"/>
    <cellStyle name="Header2 4 2 5 9 4" xfId="35034"/>
    <cellStyle name="Header2 4 2 6" xfId="15729"/>
    <cellStyle name="Header2 4 2 6 2" xfId="19064"/>
    <cellStyle name="Header2 4 2 6 2 2" xfId="30881"/>
    <cellStyle name="Header2 4 2 6 2 2 2" xfId="40880"/>
    <cellStyle name="Header2 4 2 6 2 3" xfId="26539"/>
    <cellStyle name="Header2 4 2 6 2 4" xfId="35729"/>
    <cellStyle name="Header2 4 2 6 3" xfId="19670"/>
    <cellStyle name="Header2 4 2 6 3 2" xfId="31487"/>
    <cellStyle name="Header2 4 2 6 3 2 2" xfId="41486"/>
    <cellStyle name="Header2 4 2 6 3 3" xfId="27145"/>
    <cellStyle name="Header2 4 2 6 3 4" xfId="36335"/>
    <cellStyle name="Header2 4 2 6 4" xfId="18162"/>
    <cellStyle name="Header2 4 2 6 4 2" xfId="29979"/>
    <cellStyle name="Header2 4 2 6 4 2 2" xfId="39978"/>
    <cellStyle name="Header2 4 2 6 4 3" xfId="25737"/>
    <cellStyle name="Header2 4 2 6 4 4" xfId="34827"/>
    <cellStyle name="Header2 4 2 6 5" xfId="20479"/>
    <cellStyle name="Header2 4 2 6 5 2" xfId="32296"/>
    <cellStyle name="Header2 4 2 6 5 2 2" xfId="42295"/>
    <cellStyle name="Header2 4 2 6 5 3" xfId="37144"/>
    <cellStyle name="Header2 4 2 6 6" xfId="23607"/>
    <cellStyle name="Header2 4 2 6 6 2" xfId="21809"/>
    <cellStyle name="Header2 4 2 6 7" xfId="22973"/>
    <cellStyle name="Header2 4 2 6 7 2" xfId="22121"/>
    <cellStyle name="Header2 4 2 6 8" xfId="22450"/>
    <cellStyle name="Header2 4 2 7" xfId="16310"/>
    <cellStyle name="Header2 4 2 7 2" xfId="19363"/>
    <cellStyle name="Header2 4 2 7 2 2" xfId="31180"/>
    <cellStyle name="Header2 4 2 7 2 2 2" xfId="41179"/>
    <cellStyle name="Header2 4 2 7 2 3" xfId="26838"/>
    <cellStyle name="Header2 4 2 7 2 4" xfId="36028"/>
    <cellStyle name="Header2 4 2 7 3" xfId="19969"/>
    <cellStyle name="Header2 4 2 7 3 2" xfId="31786"/>
    <cellStyle name="Header2 4 2 7 3 2 2" xfId="41785"/>
    <cellStyle name="Header2 4 2 7 3 3" xfId="27444"/>
    <cellStyle name="Header2 4 2 7 3 4" xfId="36634"/>
    <cellStyle name="Header2 4 2 7 4" xfId="18868"/>
    <cellStyle name="Header2 4 2 7 4 2" xfId="30685"/>
    <cellStyle name="Header2 4 2 7 4 2 2" xfId="40684"/>
    <cellStyle name="Header2 4 2 7 4 3" xfId="26343"/>
    <cellStyle name="Header2 4 2 7 4 4" xfId="35533"/>
    <cellStyle name="Header2 4 2 7 5" xfId="20778"/>
    <cellStyle name="Header2 4 2 7 5 2" xfId="32595"/>
    <cellStyle name="Header2 4 2 7 5 2 2" xfId="42594"/>
    <cellStyle name="Header2 4 2 7 5 3" xfId="37443"/>
    <cellStyle name="Header2 4 2 7 6" xfId="28127"/>
    <cellStyle name="Header2 4 2 7 6 2" xfId="38126"/>
    <cellStyle name="Header2 4 2 7 7" xfId="21550"/>
    <cellStyle name="Header2 4 2 8" xfId="16015"/>
    <cellStyle name="Header2 4 2 8 2" xfId="27832"/>
    <cellStyle name="Header2 4 2 8 2 2" xfId="37831"/>
    <cellStyle name="Header2 4 2 8 3" xfId="23893"/>
    <cellStyle name="Header2 4 2 8 4" xfId="32983"/>
    <cellStyle name="Header2 4 2 9" xfId="16540"/>
    <cellStyle name="Header2 4 2 9 2" xfId="28357"/>
    <cellStyle name="Header2 4 2 9 2 2" xfId="38356"/>
    <cellStyle name="Header2 4 2 9 3" xfId="24115"/>
    <cellStyle name="Header2 4 2 9 4" xfId="33205"/>
    <cellStyle name="Header2 4 20" xfId="18398"/>
    <cellStyle name="Header2 4 20 2" xfId="30215"/>
    <cellStyle name="Header2 4 20 2 2" xfId="40214"/>
    <cellStyle name="Header2 4 20 3" xfId="25873"/>
    <cellStyle name="Header2 4 20 4" xfId="35063"/>
    <cellStyle name="Header2 4 21" xfId="18697"/>
    <cellStyle name="Header2 4 21 2" xfId="30514"/>
    <cellStyle name="Header2 4 21 2 2" xfId="40513"/>
    <cellStyle name="Header2 4 21 3" xfId="26172"/>
    <cellStyle name="Header2 4 21 4" xfId="35362"/>
    <cellStyle name="Header2 4 22" xfId="20196"/>
    <cellStyle name="Header2 4 22 2" xfId="32013"/>
    <cellStyle name="Header2 4 22 2 2" xfId="42012"/>
    <cellStyle name="Header2 4 22 3" xfId="36861"/>
    <cellStyle name="Header2 4 23" xfId="23190"/>
    <cellStyle name="Header2 4 23 2" xfId="21234"/>
    <cellStyle name="Header2 4 24" xfId="22584"/>
    <cellStyle name="Header2 4 3" xfId="7942"/>
    <cellStyle name="Header2 4 3 10" xfId="17264"/>
    <cellStyle name="Header2 4 3 10 2" xfId="29081"/>
    <cellStyle name="Header2 4 3 10 2 2" xfId="39080"/>
    <cellStyle name="Header2 4 3 10 3" xfId="24839"/>
    <cellStyle name="Header2 4 3 10 4" xfId="33929"/>
    <cellStyle name="Header2 4 3 11" xfId="17567"/>
    <cellStyle name="Header2 4 3 11 2" xfId="29384"/>
    <cellStyle name="Header2 4 3 11 2 2" xfId="39383"/>
    <cellStyle name="Header2 4 3 11 3" xfId="25142"/>
    <cellStyle name="Header2 4 3 11 4" xfId="34232"/>
    <cellStyle name="Header2 4 3 12" xfId="18368"/>
    <cellStyle name="Header2 4 3 12 2" xfId="30185"/>
    <cellStyle name="Header2 4 3 12 2 2" xfId="40184"/>
    <cellStyle name="Header2 4 3 12 3" xfId="25843"/>
    <cellStyle name="Header2 4 3 12 4" xfId="35033"/>
    <cellStyle name="Header2 4 3 13" xfId="18668"/>
    <cellStyle name="Header2 4 3 13 2" xfId="30485"/>
    <cellStyle name="Header2 4 3 13 2 2" xfId="40484"/>
    <cellStyle name="Header2 4 3 13 3" xfId="26143"/>
    <cellStyle name="Header2 4 3 13 4" xfId="35333"/>
    <cellStyle name="Header2 4 3 14" xfId="18277"/>
    <cellStyle name="Header2 4 3 14 2" xfId="30094"/>
    <cellStyle name="Header2 4 3 14 2 2" xfId="40093"/>
    <cellStyle name="Header2 4 3 14 3" xfId="34942"/>
    <cellStyle name="Header2 4 3 15" xfId="23160"/>
    <cellStyle name="Header2 4 3 15 2" xfId="22007"/>
    <cellStyle name="Header2 4 3 16" xfId="22554"/>
    <cellStyle name="Header2 4 3 2" xfId="7943"/>
    <cellStyle name="Header2 4 3 2 10" xfId="17265"/>
    <cellStyle name="Header2 4 3 2 10 2" xfId="29082"/>
    <cellStyle name="Header2 4 3 2 10 2 2" xfId="39081"/>
    <cellStyle name="Header2 4 3 2 10 3" xfId="24840"/>
    <cellStyle name="Header2 4 3 2 10 4" xfId="33930"/>
    <cellStyle name="Header2 4 3 2 11" xfId="17568"/>
    <cellStyle name="Header2 4 3 2 11 2" xfId="29385"/>
    <cellStyle name="Header2 4 3 2 11 2 2" xfId="39384"/>
    <cellStyle name="Header2 4 3 2 11 3" xfId="25143"/>
    <cellStyle name="Header2 4 3 2 11 4" xfId="34233"/>
    <cellStyle name="Header2 4 3 2 12" xfId="18367"/>
    <cellStyle name="Header2 4 3 2 12 2" xfId="30184"/>
    <cellStyle name="Header2 4 3 2 12 2 2" xfId="40183"/>
    <cellStyle name="Header2 4 3 2 12 3" xfId="25842"/>
    <cellStyle name="Header2 4 3 2 12 4" xfId="35032"/>
    <cellStyle name="Header2 4 3 2 13" xfId="18925"/>
    <cellStyle name="Header2 4 3 2 13 2" xfId="30742"/>
    <cellStyle name="Header2 4 3 2 13 2 2" xfId="40741"/>
    <cellStyle name="Header2 4 3 2 13 3" xfId="26400"/>
    <cellStyle name="Header2 4 3 2 13 4" xfId="35590"/>
    <cellStyle name="Header2 4 3 2 14" xfId="20182"/>
    <cellStyle name="Header2 4 3 2 14 2" xfId="31999"/>
    <cellStyle name="Header2 4 3 2 14 2 2" xfId="41998"/>
    <cellStyle name="Header2 4 3 2 14 3" xfId="36847"/>
    <cellStyle name="Header2 4 3 2 15" xfId="23159"/>
    <cellStyle name="Header2 4 3 2 15 2" xfId="22008"/>
    <cellStyle name="Header2 4 3 2 16" xfId="22553"/>
    <cellStyle name="Header2 4 3 2 2" xfId="7944"/>
    <cellStyle name="Header2 4 3 2 2 10" xfId="18667"/>
    <cellStyle name="Header2 4 3 2 2 10 2" xfId="30484"/>
    <cellStyle name="Header2 4 3 2 2 10 2 2" xfId="40483"/>
    <cellStyle name="Header2 4 3 2 2 10 3" xfId="26142"/>
    <cellStyle name="Header2 4 3 2 2 10 4" xfId="35332"/>
    <cellStyle name="Header2 4 3 2 2 11" xfId="20283"/>
    <cellStyle name="Header2 4 3 2 2 11 2" xfId="32100"/>
    <cellStyle name="Header2 4 3 2 2 11 2 2" xfId="42099"/>
    <cellStyle name="Header2 4 3 2 2 11 3" xfId="36948"/>
    <cellStyle name="Header2 4 3 2 2 12" xfId="23158"/>
    <cellStyle name="Header2 4 3 2 2 12 2" xfId="22009"/>
    <cellStyle name="Header2 4 3 2 2 13" xfId="22552"/>
    <cellStyle name="Header2 4 3 2 2 2" xfId="15751"/>
    <cellStyle name="Header2 4 3 2 2 2 2" xfId="19042"/>
    <cellStyle name="Header2 4 3 2 2 2 2 2" xfId="30859"/>
    <cellStyle name="Header2 4 3 2 2 2 2 2 2" xfId="40858"/>
    <cellStyle name="Header2 4 3 2 2 2 2 3" xfId="26517"/>
    <cellStyle name="Header2 4 3 2 2 2 2 4" xfId="35707"/>
    <cellStyle name="Header2 4 3 2 2 2 3" xfId="19648"/>
    <cellStyle name="Header2 4 3 2 2 2 3 2" xfId="31465"/>
    <cellStyle name="Header2 4 3 2 2 2 3 2 2" xfId="41464"/>
    <cellStyle name="Header2 4 3 2 2 2 3 3" xfId="27123"/>
    <cellStyle name="Header2 4 3 2 2 2 3 4" xfId="36313"/>
    <cellStyle name="Header2 4 3 2 2 2 4" xfId="18015"/>
    <cellStyle name="Header2 4 3 2 2 2 4 2" xfId="29832"/>
    <cellStyle name="Header2 4 3 2 2 2 4 2 2" xfId="39831"/>
    <cellStyle name="Header2 4 3 2 2 2 4 3" xfId="25590"/>
    <cellStyle name="Header2 4 3 2 2 2 4 4" xfId="34680"/>
    <cellStyle name="Header2 4 3 2 2 2 5" xfId="20457"/>
    <cellStyle name="Header2 4 3 2 2 2 5 2" xfId="32274"/>
    <cellStyle name="Header2 4 3 2 2 2 5 2 2" xfId="42273"/>
    <cellStyle name="Header2 4 3 2 2 2 5 3" xfId="37122"/>
    <cellStyle name="Header2 4 3 2 2 2 6" xfId="23629"/>
    <cellStyle name="Header2 4 3 2 2 2 6 2" xfId="21796"/>
    <cellStyle name="Header2 4 3 2 2 2 7" xfId="22960"/>
    <cellStyle name="Header2 4 3 2 2 2 7 2" xfId="22129"/>
    <cellStyle name="Header2 4 3 2 2 2 8" xfId="21691"/>
    <cellStyle name="Header2 4 3 2 2 3" xfId="16332"/>
    <cellStyle name="Header2 4 3 2 2 3 2" xfId="19343"/>
    <cellStyle name="Header2 4 3 2 2 3 2 2" xfId="31160"/>
    <cellStyle name="Header2 4 3 2 2 3 2 2 2" xfId="41159"/>
    <cellStyle name="Header2 4 3 2 2 3 2 3" xfId="26818"/>
    <cellStyle name="Header2 4 3 2 2 3 2 4" xfId="36008"/>
    <cellStyle name="Header2 4 3 2 2 3 3" xfId="19949"/>
    <cellStyle name="Header2 4 3 2 2 3 3 2" xfId="31766"/>
    <cellStyle name="Header2 4 3 2 2 3 3 2 2" xfId="41765"/>
    <cellStyle name="Header2 4 3 2 2 3 3 3" xfId="27424"/>
    <cellStyle name="Header2 4 3 2 2 3 3 4" xfId="36614"/>
    <cellStyle name="Header2 4 3 2 2 3 4" xfId="17793"/>
    <cellStyle name="Header2 4 3 2 2 3 4 2" xfId="29610"/>
    <cellStyle name="Header2 4 3 2 2 3 4 2 2" xfId="39609"/>
    <cellStyle name="Header2 4 3 2 2 3 4 3" xfId="25368"/>
    <cellStyle name="Header2 4 3 2 2 3 4 4" xfId="34458"/>
    <cellStyle name="Header2 4 3 2 2 3 5" xfId="20758"/>
    <cellStyle name="Header2 4 3 2 2 3 5 2" xfId="32575"/>
    <cellStyle name="Header2 4 3 2 2 3 5 2 2" xfId="42574"/>
    <cellStyle name="Header2 4 3 2 2 3 5 3" xfId="37423"/>
    <cellStyle name="Header2 4 3 2 2 3 6" xfId="28149"/>
    <cellStyle name="Header2 4 3 2 2 3 6 2" xfId="38148"/>
    <cellStyle name="Header2 4 3 2 2 3 7" xfId="22287"/>
    <cellStyle name="Header2 4 3 2 2 4" xfId="16033"/>
    <cellStyle name="Header2 4 3 2 2 4 2" xfId="27850"/>
    <cellStyle name="Header2 4 3 2 2 4 2 2" xfId="37849"/>
    <cellStyle name="Header2 4 3 2 2 4 3" xfId="23911"/>
    <cellStyle name="Header2 4 3 2 2 4 4" xfId="33001"/>
    <cellStyle name="Header2 4 3 2 2 5" xfId="16518"/>
    <cellStyle name="Header2 4 3 2 2 5 2" xfId="28335"/>
    <cellStyle name="Header2 4 3 2 2 5 2 2" xfId="38334"/>
    <cellStyle name="Header2 4 3 2 2 5 3" xfId="24093"/>
    <cellStyle name="Header2 4 3 2 2 5 4" xfId="33183"/>
    <cellStyle name="Header2 4 3 2 2 6" xfId="16819"/>
    <cellStyle name="Header2 4 3 2 2 6 2" xfId="28636"/>
    <cellStyle name="Header2 4 3 2 2 6 2 2" xfId="38635"/>
    <cellStyle name="Header2 4 3 2 2 6 3" xfId="24394"/>
    <cellStyle name="Header2 4 3 2 2 6 4" xfId="33484"/>
    <cellStyle name="Header2 4 3 2 2 7" xfId="17266"/>
    <cellStyle name="Header2 4 3 2 2 7 2" xfId="29083"/>
    <cellStyle name="Header2 4 3 2 2 7 2 2" xfId="39082"/>
    <cellStyle name="Header2 4 3 2 2 7 3" xfId="24841"/>
    <cellStyle name="Header2 4 3 2 2 7 4" xfId="33931"/>
    <cellStyle name="Header2 4 3 2 2 8" xfId="17569"/>
    <cellStyle name="Header2 4 3 2 2 8 2" xfId="29386"/>
    <cellStyle name="Header2 4 3 2 2 8 2 2" xfId="39385"/>
    <cellStyle name="Header2 4 3 2 2 8 3" xfId="25144"/>
    <cellStyle name="Header2 4 3 2 2 8 4" xfId="34234"/>
    <cellStyle name="Header2 4 3 2 2 9" xfId="18366"/>
    <cellStyle name="Header2 4 3 2 2 9 2" xfId="30183"/>
    <cellStyle name="Header2 4 3 2 2 9 2 2" xfId="40182"/>
    <cellStyle name="Header2 4 3 2 2 9 3" xfId="25841"/>
    <cellStyle name="Header2 4 3 2 2 9 4" xfId="35031"/>
    <cellStyle name="Header2 4 3 2 3" xfId="7945"/>
    <cellStyle name="Header2 4 3 2 3 10" xfId="18666"/>
    <cellStyle name="Header2 4 3 2 3 10 2" xfId="30483"/>
    <cellStyle name="Header2 4 3 2 3 10 2 2" xfId="40482"/>
    <cellStyle name="Header2 4 3 2 3 10 3" xfId="26141"/>
    <cellStyle name="Header2 4 3 2 3 10 4" xfId="35331"/>
    <cellStyle name="Header2 4 3 2 3 11" xfId="18278"/>
    <cellStyle name="Header2 4 3 2 3 11 2" xfId="30095"/>
    <cellStyle name="Header2 4 3 2 3 11 2 2" xfId="40094"/>
    <cellStyle name="Header2 4 3 2 3 11 3" xfId="34943"/>
    <cellStyle name="Header2 4 3 2 3 12" xfId="23157"/>
    <cellStyle name="Header2 4 3 2 3 12 2" xfId="22010"/>
    <cellStyle name="Header2 4 3 2 3 13" xfId="22551"/>
    <cellStyle name="Header2 4 3 2 3 2" xfId="15752"/>
    <cellStyle name="Header2 4 3 2 3 2 2" xfId="19041"/>
    <cellStyle name="Header2 4 3 2 3 2 2 2" xfId="30858"/>
    <cellStyle name="Header2 4 3 2 3 2 2 2 2" xfId="40857"/>
    <cellStyle name="Header2 4 3 2 3 2 2 3" xfId="26516"/>
    <cellStyle name="Header2 4 3 2 3 2 2 4" xfId="35706"/>
    <cellStyle name="Header2 4 3 2 3 2 3" xfId="19647"/>
    <cellStyle name="Header2 4 3 2 3 2 3 2" xfId="31464"/>
    <cellStyle name="Header2 4 3 2 3 2 3 2 2" xfId="41463"/>
    <cellStyle name="Header2 4 3 2 3 2 3 3" xfId="27122"/>
    <cellStyle name="Header2 4 3 2 3 2 3 4" xfId="36312"/>
    <cellStyle name="Header2 4 3 2 3 2 4" xfId="18016"/>
    <cellStyle name="Header2 4 3 2 3 2 4 2" xfId="29833"/>
    <cellStyle name="Header2 4 3 2 3 2 4 2 2" xfId="39832"/>
    <cellStyle name="Header2 4 3 2 3 2 4 3" xfId="25591"/>
    <cellStyle name="Header2 4 3 2 3 2 4 4" xfId="34681"/>
    <cellStyle name="Header2 4 3 2 3 2 5" xfId="20456"/>
    <cellStyle name="Header2 4 3 2 3 2 5 2" xfId="32273"/>
    <cellStyle name="Header2 4 3 2 3 2 5 2 2" xfId="42272"/>
    <cellStyle name="Header2 4 3 2 3 2 5 3" xfId="37121"/>
    <cellStyle name="Header2 4 3 2 3 2 6" xfId="23630"/>
    <cellStyle name="Header2 4 3 2 3 2 6 2" xfId="21795"/>
    <cellStyle name="Header2 4 3 2 3 2 7" xfId="22959"/>
    <cellStyle name="Header2 4 3 2 3 2 7 2" xfId="22130"/>
    <cellStyle name="Header2 4 3 2 3 2 8" xfId="21692"/>
    <cellStyle name="Header2 4 3 2 3 3" xfId="16333"/>
    <cellStyle name="Header2 4 3 2 3 3 2" xfId="19342"/>
    <cellStyle name="Header2 4 3 2 3 3 2 2" xfId="31159"/>
    <cellStyle name="Header2 4 3 2 3 3 2 2 2" xfId="41158"/>
    <cellStyle name="Header2 4 3 2 3 3 2 3" xfId="26817"/>
    <cellStyle name="Header2 4 3 2 3 3 2 4" xfId="36007"/>
    <cellStyle name="Header2 4 3 2 3 3 3" xfId="19948"/>
    <cellStyle name="Header2 4 3 2 3 3 3 2" xfId="31765"/>
    <cellStyle name="Header2 4 3 2 3 3 3 2 2" xfId="41764"/>
    <cellStyle name="Header2 4 3 2 3 3 3 3" xfId="27423"/>
    <cellStyle name="Header2 4 3 2 3 3 3 4" xfId="36613"/>
    <cellStyle name="Header2 4 3 2 3 3 4" xfId="17848"/>
    <cellStyle name="Header2 4 3 2 3 3 4 2" xfId="29665"/>
    <cellStyle name="Header2 4 3 2 3 3 4 2 2" xfId="39664"/>
    <cellStyle name="Header2 4 3 2 3 3 4 3" xfId="25423"/>
    <cellStyle name="Header2 4 3 2 3 3 4 4" xfId="34513"/>
    <cellStyle name="Header2 4 3 2 3 3 5" xfId="20757"/>
    <cellStyle name="Header2 4 3 2 3 3 5 2" xfId="32574"/>
    <cellStyle name="Header2 4 3 2 3 3 5 2 2" xfId="42573"/>
    <cellStyle name="Header2 4 3 2 3 3 5 3" xfId="37422"/>
    <cellStyle name="Header2 4 3 2 3 3 6" xfId="28150"/>
    <cellStyle name="Header2 4 3 2 3 3 6 2" xfId="38149"/>
    <cellStyle name="Header2 4 3 2 3 3 7" xfId="21557"/>
    <cellStyle name="Header2 4 3 2 3 4" xfId="16034"/>
    <cellStyle name="Header2 4 3 2 3 4 2" xfId="27851"/>
    <cellStyle name="Header2 4 3 2 3 4 2 2" xfId="37850"/>
    <cellStyle name="Header2 4 3 2 3 4 3" xfId="23912"/>
    <cellStyle name="Header2 4 3 2 3 4 4" xfId="33002"/>
    <cellStyle name="Header2 4 3 2 3 5" xfId="16517"/>
    <cellStyle name="Header2 4 3 2 3 5 2" xfId="28334"/>
    <cellStyle name="Header2 4 3 2 3 5 2 2" xfId="38333"/>
    <cellStyle name="Header2 4 3 2 3 5 3" xfId="24092"/>
    <cellStyle name="Header2 4 3 2 3 5 4" xfId="33182"/>
    <cellStyle name="Header2 4 3 2 3 6" xfId="16818"/>
    <cellStyle name="Header2 4 3 2 3 6 2" xfId="28635"/>
    <cellStyle name="Header2 4 3 2 3 6 2 2" xfId="38634"/>
    <cellStyle name="Header2 4 3 2 3 6 3" xfId="24393"/>
    <cellStyle name="Header2 4 3 2 3 6 4" xfId="33483"/>
    <cellStyle name="Header2 4 3 2 3 7" xfId="17267"/>
    <cellStyle name="Header2 4 3 2 3 7 2" xfId="29084"/>
    <cellStyle name="Header2 4 3 2 3 7 2 2" xfId="39083"/>
    <cellStyle name="Header2 4 3 2 3 7 3" xfId="24842"/>
    <cellStyle name="Header2 4 3 2 3 7 4" xfId="33932"/>
    <cellStyle name="Header2 4 3 2 3 8" xfId="17570"/>
    <cellStyle name="Header2 4 3 2 3 8 2" xfId="29387"/>
    <cellStyle name="Header2 4 3 2 3 8 2 2" xfId="39386"/>
    <cellStyle name="Header2 4 3 2 3 8 3" xfId="25145"/>
    <cellStyle name="Header2 4 3 2 3 8 4" xfId="34235"/>
    <cellStyle name="Header2 4 3 2 3 9" xfId="18365"/>
    <cellStyle name="Header2 4 3 2 3 9 2" xfId="30182"/>
    <cellStyle name="Header2 4 3 2 3 9 2 2" xfId="40181"/>
    <cellStyle name="Header2 4 3 2 3 9 3" xfId="25840"/>
    <cellStyle name="Header2 4 3 2 3 9 4" xfId="35030"/>
    <cellStyle name="Header2 4 3 2 4" xfId="7946"/>
    <cellStyle name="Header2 4 3 2 4 10" xfId="18665"/>
    <cellStyle name="Header2 4 3 2 4 10 2" xfId="30482"/>
    <cellStyle name="Header2 4 3 2 4 10 2 2" xfId="40481"/>
    <cellStyle name="Header2 4 3 2 4 10 3" xfId="26140"/>
    <cellStyle name="Header2 4 3 2 4 10 4" xfId="35330"/>
    <cellStyle name="Header2 4 3 2 4 11" xfId="20181"/>
    <cellStyle name="Header2 4 3 2 4 11 2" xfId="31998"/>
    <cellStyle name="Header2 4 3 2 4 11 2 2" xfId="41997"/>
    <cellStyle name="Header2 4 3 2 4 11 3" xfId="36846"/>
    <cellStyle name="Header2 4 3 2 4 12" xfId="23156"/>
    <cellStyle name="Header2 4 3 2 4 12 2" xfId="21255"/>
    <cellStyle name="Header2 4 3 2 4 13" xfId="22550"/>
    <cellStyle name="Header2 4 3 2 4 2" xfId="15753"/>
    <cellStyle name="Header2 4 3 2 4 2 2" xfId="19040"/>
    <cellStyle name="Header2 4 3 2 4 2 2 2" xfId="30857"/>
    <cellStyle name="Header2 4 3 2 4 2 2 2 2" xfId="40856"/>
    <cellStyle name="Header2 4 3 2 4 2 2 3" xfId="26515"/>
    <cellStyle name="Header2 4 3 2 4 2 2 4" xfId="35705"/>
    <cellStyle name="Header2 4 3 2 4 2 3" xfId="19646"/>
    <cellStyle name="Header2 4 3 2 4 2 3 2" xfId="31463"/>
    <cellStyle name="Header2 4 3 2 4 2 3 2 2" xfId="41462"/>
    <cellStyle name="Header2 4 3 2 4 2 3 3" xfId="27121"/>
    <cellStyle name="Header2 4 3 2 4 2 3 4" xfId="36311"/>
    <cellStyle name="Header2 4 3 2 4 2 4" xfId="18017"/>
    <cellStyle name="Header2 4 3 2 4 2 4 2" xfId="29834"/>
    <cellStyle name="Header2 4 3 2 4 2 4 2 2" xfId="39833"/>
    <cellStyle name="Header2 4 3 2 4 2 4 3" xfId="25592"/>
    <cellStyle name="Header2 4 3 2 4 2 4 4" xfId="34682"/>
    <cellStyle name="Header2 4 3 2 4 2 5" xfId="20455"/>
    <cellStyle name="Header2 4 3 2 4 2 5 2" xfId="32272"/>
    <cellStyle name="Header2 4 3 2 4 2 5 2 2" xfId="42271"/>
    <cellStyle name="Header2 4 3 2 4 2 5 3" xfId="37120"/>
    <cellStyle name="Header2 4 3 2 4 2 6" xfId="23631"/>
    <cellStyle name="Header2 4 3 2 4 2 6 2" xfId="21794"/>
    <cellStyle name="Header2 4 3 2 4 2 7" xfId="22958"/>
    <cellStyle name="Header2 4 3 2 4 2 7 2" xfId="21332"/>
    <cellStyle name="Header2 4 3 2 4 2 8" xfId="22454"/>
    <cellStyle name="Header2 4 3 2 4 3" xfId="16334"/>
    <cellStyle name="Header2 4 3 2 4 3 2" xfId="19341"/>
    <cellStyle name="Header2 4 3 2 4 3 2 2" xfId="31158"/>
    <cellStyle name="Header2 4 3 2 4 3 2 2 2" xfId="41157"/>
    <cellStyle name="Header2 4 3 2 4 3 2 3" xfId="26816"/>
    <cellStyle name="Header2 4 3 2 4 3 2 4" xfId="36006"/>
    <cellStyle name="Header2 4 3 2 4 3 3" xfId="19947"/>
    <cellStyle name="Header2 4 3 2 4 3 3 2" xfId="31764"/>
    <cellStyle name="Header2 4 3 2 4 3 3 2 2" xfId="41763"/>
    <cellStyle name="Header2 4 3 2 4 3 3 3" xfId="27422"/>
    <cellStyle name="Header2 4 3 2 4 3 3 4" xfId="36612"/>
    <cellStyle name="Header2 4 3 2 4 3 4" xfId="18105"/>
    <cellStyle name="Header2 4 3 2 4 3 4 2" xfId="29922"/>
    <cellStyle name="Header2 4 3 2 4 3 4 2 2" xfId="39921"/>
    <cellStyle name="Header2 4 3 2 4 3 4 3" xfId="25680"/>
    <cellStyle name="Header2 4 3 2 4 3 4 4" xfId="34770"/>
    <cellStyle name="Header2 4 3 2 4 3 5" xfId="20756"/>
    <cellStyle name="Header2 4 3 2 4 3 5 2" xfId="32573"/>
    <cellStyle name="Header2 4 3 2 4 3 5 2 2" xfId="42572"/>
    <cellStyle name="Header2 4 3 2 4 3 5 3" xfId="37421"/>
    <cellStyle name="Header2 4 3 2 4 3 6" xfId="28151"/>
    <cellStyle name="Header2 4 3 2 4 3 6 2" xfId="38150"/>
    <cellStyle name="Header2 4 3 2 4 3 7" xfId="21558"/>
    <cellStyle name="Header2 4 3 2 4 4" xfId="16035"/>
    <cellStyle name="Header2 4 3 2 4 4 2" xfId="27852"/>
    <cellStyle name="Header2 4 3 2 4 4 2 2" xfId="37851"/>
    <cellStyle name="Header2 4 3 2 4 4 3" xfId="23913"/>
    <cellStyle name="Header2 4 3 2 4 4 4" xfId="33003"/>
    <cellStyle name="Header2 4 3 2 4 5" xfId="16516"/>
    <cellStyle name="Header2 4 3 2 4 5 2" xfId="28333"/>
    <cellStyle name="Header2 4 3 2 4 5 2 2" xfId="38332"/>
    <cellStyle name="Header2 4 3 2 4 5 3" xfId="24091"/>
    <cellStyle name="Header2 4 3 2 4 5 4" xfId="33181"/>
    <cellStyle name="Header2 4 3 2 4 6" xfId="16817"/>
    <cellStyle name="Header2 4 3 2 4 6 2" xfId="28634"/>
    <cellStyle name="Header2 4 3 2 4 6 2 2" xfId="38633"/>
    <cellStyle name="Header2 4 3 2 4 6 3" xfId="24392"/>
    <cellStyle name="Header2 4 3 2 4 6 4" xfId="33482"/>
    <cellStyle name="Header2 4 3 2 4 7" xfId="17268"/>
    <cellStyle name="Header2 4 3 2 4 7 2" xfId="29085"/>
    <cellStyle name="Header2 4 3 2 4 7 2 2" xfId="39084"/>
    <cellStyle name="Header2 4 3 2 4 7 3" xfId="24843"/>
    <cellStyle name="Header2 4 3 2 4 7 4" xfId="33933"/>
    <cellStyle name="Header2 4 3 2 4 8" xfId="17571"/>
    <cellStyle name="Header2 4 3 2 4 8 2" xfId="29388"/>
    <cellStyle name="Header2 4 3 2 4 8 2 2" xfId="39387"/>
    <cellStyle name="Header2 4 3 2 4 8 3" xfId="25146"/>
    <cellStyle name="Header2 4 3 2 4 8 4" xfId="34236"/>
    <cellStyle name="Header2 4 3 2 4 9" xfId="18364"/>
    <cellStyle name="Header2 4 3 2 4 9 2" xfId="30181"/>
    <cellStyle name="Header2 4 3 2 4 9 2 2" xfId="40180"/>
    <cellStyle name="Header2 4 3 2 4 9 3" xfId="25839"/>
    <cellStyle name="Header2 4 3 2 4 9 4" xfId="35029"/>
    <cellStyle name="Header2 4 3 2 5" xfId="15750"/>
    <cellStyle name="Header2 4 3 2 5 2" xfId="19043"/>
    <cellStyle name="Header2 4 3 2 5 2 2" xfId="30860"/>
    <cellStyle name="Header2 4 3 2 5 2 2 2" xfId="40859"/>
    <cellStyle name="Header2 4 3 2 5 2 3" xfId="26518"/>
    <cellStyle name="Header2 4 3 2 5 2 4" xfId="35708"/>
    <cellStyle name="Header2 4 3 2 5 3" xfId="19649"/>
    <cellStyle name="Header2 4 3 2 5 3 2" xfId="31466"/>
    <cellStyle name="Header2 4 3 2 5 3 2 2" xfId="41465"/>
    <cellStyle name="Header2 4 3 2 5 3 3" xfId="27124"/>
    <cellStyle name="Header2 4 3 2 5 3 4" xfId="36314"/>
    <cellStyle name="Header2 4 3 2 5 4" xfId="18014"/>
    <cellStyle name="Header2 4 3 2 5 4 2" xfId="29831"/>
    <cellStyle name="Header2 4 3 2 5 4 2 2" xfId="39830"/>
    <cellStyle name="Header2 4 3 2 5 4 3" xfId="25589"/>
    <cellStyle name="Header2 4 3 2 5 4 4" xfId="34679"/>
    <cellStyle name="Header2 4 3 2 5 5" xfId="20458"/>
    <cellStyle name="Header2 4 3 2 5 5 2" xfId="32275"/>
    <cellStyle name="Header2 4 3 2 5 5 2 2" xfId="42274"/>
    <cellStyle name="Header2 4 3 2 5 5 3" xfId="37123"/>
    <cellStyle name="Header2 4 3 2 5 6" xfId="23628"/>
    <cellStyle name="Header2 4 3 2 5 6 2" xfId="21797"/>
    <cellStyle name="Header2 4 3 2 5 7" xfId="22961"/>
    <cellStyle name="Header2 4 3 2 5 7 2" xfId="22128"/>
    <cellStyle name="Header2 4 3 2 5 8" xfId="21690"/>
    <cellStyle name="Header2 4 3 2 6" xfId="16331"/>
    <cellStyle name="Header2 4 3 2 6 2" xfId="19532"/>
    <cellStyle name="Header2 4 3 2 6 2 2" xfId="31349"/>
    <cellStyle name="Header2 4 3 2 6 2 2 2" xfId="41348"/>
    <cellStyle name="Header2 4 3 2 6 2 3" xfId="27007"/>
    <cellStyle name="Header2 4 3 2 6 2 4" xfId="36197"/>
    <cellStyle name="Header2 4 3 2 6 3" xfId="20138"/>
    <cellStyle name="Header2 4 3 2 6 3 2" xfId="31955"/>
    <cellStyle name="Header2 4 3 2 6 3 2 2" xfId="41954"/>
    <cellStyle name="Header2 4 3 2 6 3 3" xfId="27613"/>
    <cellStyle name="Header2 4 3 2 6 3 4" xfId="36803"/>
    <cellStyle name="Header2 4 3 2 6 4" xfId="18036"/>
    <cellStyle name="Header2 4 3 2 6 4 2" xfId="29853"/>
    <cellStyle name="Header2 4 3 2 6 4 2 2" xfId="39852"/>
    <cellStyle name="Header2 4 3 2 6 4 3" xfId="25611"/>
    <cellStyle name="Header2 4 3 2 6 4 4" xfId="34701"/>
    <cellStyle name="Header2 4 3 2 6 5" xfId="20947"/>
    <cellStyle name="Header2 4 3 2 6 5 2" xfId="32764"/>
    <cellStyle name="Header2 4 3 2 6 5 2 2" xfId="42763"/>
    <cellStyle name="Header2 4 3 2 6 5 3" xfId="37612"/>
    <cellStyle name="Header2 4 3 2 6 6" xfId="28148"/>
    <cellStyle name="Header2 4 3 2 6 6 2" xfId="38147"/>
    <cellStyle name="Header2 4 3 2 6 7" xfId="22216"/>
    <cellStyle name="Header2 4 3 2 7" xfId="15867"/>
    <cellStyle name="Header2 4 3 2 7 2" xfId="27684"/>
    <cellStyle name="Header2 4 3 2 7 2 2" xfId="37683"/>
    <cellStyle name="Header2 4 3 2 7 3" xfId="23745"/>
    <cellStyle name="Header2 4 3 2 7 4" xfId="32835"/>
    <cellStyle name="Header2 4 3 2 8" xfId="16519"/>
    <cellStyle name="Header2 4 3 2 8 2" xfId="28336"/>
    <cellStyle name="Header2 4 3 2 8 2 2" xfId="38335"/>
    <cellStyle name="Header2 4 3 2 8 3" xfId="24094"/>
    <cellStyle name="Header2 4 3 2 8 4" xfId="33184"/>
    <cellStyle name="Header2 4 3 2 9" xfId="17008"/>
    <cellStyle name="Header2 4 3 2 9 2" xfId="28825"/>
    <cellStyle name="Header2 4 3 2 9 2 2" xfId="38824"/>
    <cellStyle name="Header2 4 3 2 9 3" xfId="24583"/>
    <cellStyle name="Header2 4 3 2 9 4" xfId="33673"/>
    <cellStyle name="Header2 4 3 3" xfId="7947"/>
    <cellStyle name="Header2 4 3 3 10" xfId="17269"/>
    <cellStyle name="Header2 4 3 3 10 2" xfId="29086"/>
    <cellStyle name="Header2 4 3 3 10 2 2" xfId="39085"/>
    <cellStyle name="Header2 4 3 3 10 3" xfId="24844"/>
    <cellStyle name="Header2 4 3 3 10 4" xfId="33934"/>
    <cellStyle name="Header2 4 3 3 11" xfId="17572"/>
    <cellStyle name="Header2 4 3 3 11 2" xfId="29389"/>
    <cellStyle name="Header2 4 3 3 11 2 2" xfId="39388"/>
    <cellStyle name="Header2 4 3 3 11 3" xfId="25147"/>
    <cellStyle name="Header2 4 3 3 11 4" xfId="34237"/>
    <cellStyle name="Header2 4 3 3 12" xfId="18363"/>
    <cellStyle name="Header2 4 3 3 12 2" xfId="30180"/>
    <cellStyle name="Header2 4 3 3 12 2 2" xfId="40179"/>
    <cellStyle name="Header2 4 3 3 12 3" xfId="25838"/>
    <cellStyle name="Header2 4 3 3 12 4" xfId="35028"/>
    <cellStyle name="Header2 4 3 3 13" xfId="18664"/>
    <cellStyle name="Header2 4 3 3 13 2" xfId="30481"/>
    <cellStyle name="Header2 4 3 3 13 2 2" xfId="40480"/>
    <cellStyle name="Header2 4 3 3 13 3" xfId="26139"/>
    <cellStyle name="Header2 4 3 3 13 4" xfId="35329"/>
    <cellStyle name="Header2 4 3 3 14" xfId="20282"/>
    <cellStyle name="Header2 4 3 3 14 2" xfId="32099"/>
    <cellStyle name="Header2 4 3 3 14 2 2" xfId="42098"/>
    <cellStyle name="Header2 4 3 3 14 3" xfId="36947"/>
    <cellStyle name="Header2 4 3 3 15" xfId="23155"/>
    <cellStyle name="Header2 4 3 3 15 2" xfId="21256"/>
    <cellStyle name="Header2 4 3 3 16" xfId="22549"/>
    <cellStyle name="Header2 4 3 3 2" xfId="7948"/>
    <cellStyle name="Header2 4 3 3 2 10" xfId="18663"/>
    <cellStyle name="Header2 4 3 3 2 10 2" xfId="30480"/>
    <cellStyle name="Header2 4 3 3 2 10 2 2" xfId="40479"/>
    <cellStyle name="Header2 4 3 3 2 10 3" xfId="26138"/>
    <cellStyle name="Header2 4 3 3 2 10 4" xfId="35328"/>
    <cellStyle name="Header2 4 3 3 2 11" xfId="20184"/>
    <cellStyle name="Header2 4 3 3 2 11 2" xfId="32001"/>
    <cellStyle name="Header2 4 3 3 2 11 2 2" xfId="42000"/>
    <cellStyle name="Header2 4 3 3 2 11 3" xfId="36849"/>
    <cellStyle name="Header2 4 3 3 2 12" xfId="23154"/>
    <cellStyle name="Header2 4 3 3 2 12 2" xfId="22011"/>
    <cellStyle name="Header2 4 3 3 2 13" xfId="22548"/>
    <cellStyle name="Header2 4 3 3 2 2" xfId="15755"/>
    <cellStyle name="Header2 4 3 3 2 2 2" xfId="19038"/>
    <cellStyle name="Header2 4 3 3 2 2 2 2" xfId="30855"/>
    <cellStyle name="Header2 4 3 3 2 2 2 2 2" xfId="40854"/>
    <cellStyle name="Header2 4 3 3 2 2 2 3" xfId="26513"/>
    <cellStyle name="Header2 4 3 3 2 2 2 4" xfId="35703"/>
    <cellStyle name="Header2 4 3 3 2 2 3" xfId="19644"/>
    <cellStyle name="Header2 4 3 3 2 2 3 2" xfId="31461"/>
    <cellStyle name="Header2 4 3 3 2 2 3 2 2" xfId="41460"/>
    <cellStyle name="Header2 4 3 3 2 2 3 3" xfId="27119"/>
    <cellStyle name="Header2 4 3 3 2 2 3 4" xfId="36309"/>
    <cellStyle name="Header2 4 3 3 2 2 4" xfId="18019"/>
    <cellStyle name="Header2 4 3 3 2 2 4 2" xfId="29836"/>
    <cellStyle name="Header2 4 3 3 2 2 4 2 2" xfId="39835"/>
    <cellStyle name="Header2 4 3 3 2 2 4 3" xfId="25594"/>
    <cellStyle name="Header2 4 3 3 2 2 4 4" xfId="34684"/>
    <cellStyle name="Header2 4 3 3 2 2 5" xfId="20453"/>
    <cellStyle name="Header2 4 3 3 2 2 5 2" xfId="32270"/>
    <cellStyle name="Header2 4 3 3 2 2 5 2 2" xfId="42269"/>
    <cellStyle name="Header2 4 3 3 2 2 5 3" xfId="37118"/>
    <cellStyle name="Header2 4 3 3 2 2 6" xfId="23633"/>
    <cellStyle name="Header2 4 3 3 2 2 6 2" xfId="21793"/>
    <cellStyle name="Header2 4 3 3 2 2 7" xfId="22957"/>
    <cellStyle name="Header2 4 3 3 2 2 7 2" xfId="22131"/>
    <cellStyle name="Header2 4 3 3 2 2 8" xfId="22455"/>
    <cellStyle name="Header2 4 3 3 2 3" xfId="16336"/>
    <cellStyle name="Header2 4 3 3 2 3 2" xfId="19339"/>
    <cellStyle name="Header2 4 3 3 2 3 2 2" xfId="31156"/>
    <cellStyle name="Header2 4 3 3 2 3 2 2 2" xfId="41155"/>
    <cellStyle name="Header2 4 3 3 2 3 2 3" xfId="26814"/>
    <cellStyle name="Header2 4 3 3 2 3 2 4" xfId="36004"/>
    <cellStyle name="Header2 4 3 3 2 3 3" xfId="19945"/>
    <cellStyle name="Header2 4 3 3 2 3 3 2" xfId="31762"/>
    <cellStyle name="Header2 4 3 3 2 3 3 2 2" xfId="41761"/>
    <cellStyle name="Header2 4 3 3 2 3 3 3" xfId="27420"/>
    <cellStyle name="Header2 4 3 3 2 3 3 4" xfId="36610"/>
    <cellStyle name="Header2 4 3 3 2 3 4" xfId="18914"/>
    <cellStyle name="Header2 4 3 3 2 3 4 2" xfId="30731"/>
    <cellStyle name="Header2 4 3 3 2 3 4 2 2" xfId="40730"/>
    <cellStyle name="Header2 4 3 3 2 3 4 3" xfId="26389"/>
    <cellStyle name="Header2 4 3 3 2 3 4 4" xfId="35579"/>
    <cellStyle name="Header2 4 3 3 2 3 5" xfId="20754"/>
    <cellStyle name="Header2 4 3 3 2 3 5 2" xfId="32571"/>
    <cellStyle name="Header2 4 3 3 2 3 5 2 2" xfId="42570"/>
    <cellStyle name="Header2 4 3 3 2 3 5 3" xfId="37419"/>
    <cellStyle name="Header2 4 3 3 2 3 6" xfId="28153"/>
    <cellStyle name="Header2 4 3 3 2 3 6 2" xfId="38152"/>
    <cellStyle name="Header2 4 3 3 2 3 7" xfId="21559"/>
    <cellStyle name="Header2 4 3 3 2 4" xfId="16037"/>
    <cellStyle name="Header2 4 3 3 2 4 2" xfId="27854"/>
    <cellStyle name="Header2 4 3 3 2 4 2 2" xfId="37853"/>
    <cellStyle name="Header2 4 3 3 2 4 3" xfId="23915"/>
    <cellStyle name="Header2 4 3 3 2 4 4" xfId="33005"/>
    <cellStyle name="Header2 4 3 3 2 5" xfId="16514"/>
    <cellStyle name="Header2 4 3 3 2 5 2" xfId="28331"/>
    <cellStyle name="Header2 4 3 3 2 5 2 2" xfId="38330"/>
    <cellStyle name="Header2 4 3 3 2 5 3" xfId="24089"/>
    <cellStyle name="Header2 4 3 3 2 5 4" xfId="33179"/>
    <cellStyle name="Header2 4 3 3 2 6" xfId="16815"/>
    <cellStyle name="Header2 4 3 3 2 6 2" xfId="28632"/>
    <cellStyle name="Header2 4 3 3 2 6 2 2" xfId="38631"/>
    <cellStyle name="Header2 4 3 3 2 6 3" xfId="24390"/>
    <cellStyle name="Header2 4 3 3 2 6 4" xfId="33480"/>
    <cellStyle name="Header2 4 3 3 2 7" xfId="17270"/>
    <cellStyle name="Header2 4 3 3 2 7 2" xfId="29087"/>
    <cellStyle name="Header2 4 3 3 2 7 2 2" xfId="39086"/>
    <cellStyle name="Header2 4 3 3 2 7 3" xfId="24845"/>
    <cellStyle name="Header2 4 3 3 2 7 4" xfId="33935"/>
    <cellStyle name="Header2 4 3 3 2 8" xfId="17573"/>
    <cellStyle name="Header2 4 3 3 2 8 2" xfId="29390"/>
    <cellStyle name="Header2 4 3 3 2 8 2 2" xfId="39389"/>
    <cellStyle name="Header2 4 3 3 2 8 3" xfId="25148"/>
    <cellStyle name="Header2 4 3 3 2 8 4" xfId="34238"/>
    <cellStyle name="Header2 4 3 3 2 9" xfId="18362"/>
    <cellStyle name="Header2 4 3 3 2 9 2" xfId="30179"/>
    <cellStyle name="Header2 4 3 3 2 9 2 2" xfId="40178"/>
    <cellStyle name="Header2 4 3 3 2 9 3" xfId="25837"/>
    <cellStyle name="Header2 4 3 3 2 9 4" xfId="35027"/>
    <cellStyle name="Header2 4 3 3 3" xfId="7949"/>
    <cellStyle name="Header2 4 3 3 3 10" xfId="18662"/>
    <cellStyle name="Header2 4 3 3 3 10 2" xfId="30479"/>
    <cellStyle name="Header2 4 3 3 3 10 2 2" xfId="40478"/>
    <cellStyle name="Header2 4 3 3 3 10 3" xfId="26137"/>
    <cellStyle name="Header2 4 3 3 3 10 4" xfId="35327"/>
    <cellStyle name="Header2 4 3 3 3 11" xfId="20285"/>
    <cellStyle name="Header2 4 3 3 3 11 2" xfId="32102"/>
    <cellStyle name="Header2 4 3 3 3 11 2 2" xfId="42101"/>
    <cellStyle name="Header2 4 3 3 3 11 3" xfId="36950"/>
    <cellStyle name="Header2 4 3 3 3 12" xfId="23153"/>
    <cellStyle name="Header2 4 3 3 3 12 2" xfId="21257"/>
    <cellStyle name="Header2 4 3 3 3 13" xfId="22547"/>
    <cellStyle name="Header2 4 3 3 3 2" xfId="15756"/>
    <cellStyle name="Header2 4 3 3 3 2 2" xfId="19037"/>
    <cellStyle name="Header2 4 3 3 3 2 2 2" xfId="30854"/>
    <cellStyle name="Header2 4 3 3 3 2 2 2 2" xfId="40853"/>
    <cellStyle name="Header2 4 3 3 3 2 2 3" xfId="26512"/>
    <cellStyle name="Header2 4 3 3 3 2 2 4" xfId="35702"/>
    <cellStyle name="Header2 4 3 3 3 2 3" xfId="19643"/>
    <cellStyle name="Header2 4 3 3 3 2 3 2" xfId="31460"/>
    <cellStyle name="Header2 4 3 3 3 2 3 2 2" xfId="41459"/>
    <cellStyle name="Header2 4 3 3 3 2 3 3" xfId="27118"/>
    <cellStyle name="Header2 4 3 3 3 2 3 4" xfId="36308"/>
    <cellStyle name="Header2 4 3 3 3 2 4" xfId="18020"/>
    <cellStyle name="Header2 4 3 3 3 2 4 2" xfId="29837"/>
    <cellStyle name="Header2 4 3 3 3 2 4 2 2" xfId="39836"/>
    <cellStyle name="Header2 4 3 3 3 2 4 3" xfId="25595"/>
    <cellStyle name="Header2 4 3 3 3 2 4 4" xfId="34685"/>
    <cellStyle name="Header2 4 3 3 3 2 5" xfId="20452"/>
    <cellStyle name="Header2 4 3 3 3 2 5 2" xfId="32269"/>
    <cellStyle name="Header2 4 3 3 3 2 5 2 2" xfId="42268"/>
    <cellStyle name="Header2 4 3 3 3 2 5 3" xfId="37117"/>
    <cellStyle name="Header2 4 3 3 3 2 6" xfId="23634"/>
    <cellStyle name="Header2 4 3 3 3 2 6 2" xfId="20978"/>
    <cellStyle name="Header2 4 3 3 3 2 7" xfId="22813"/>
    <cellStyle name="Header2 4 3 3 3 2 7 2" xfId="21409"/>
    <cellStyle name="Header2 4 3 3 3 2 8" xfId="21694"/>
    <cellStyle name="Header2 4 3 3 3 3" xfId="16337"/>
    <cellStyle name="Header2 4 3 3 3 3 2" xfId="19338"/>
    <cellStyle name="Header2 4 3 3 3 3 2 2" xfId="31155"/>
    <cellStyle name="Header2 4 3 3 3 3 2 2 2" xfId="41154"/>
    <cellStyle name="Header2 4 3 3 3 3 2 3" xfId="26813"/>
    <cellStyle name="Header2 4 3 3 3 3 2 4" xfId="36003"/>
    <cellStyle name="Header2 4 3 3 3 3 3" xfId="19944"/>
    <cellStyle name="Header2 4 3 3 3 3 3 2" xfId="31761"/>
    <cellStyle name="Header2 4 3 3 3 3 3 2 2" xfId="41760"/>
    <cellStyle name="Header2 4 3 3 3 3 3 3" xfId="27419"/>
    <cellStyle name="Header2 4 3 3 3 3 3 4" xfId="36609"/>
    <cellStyle name="Header2 4 3 3 3 3 4" xfId="18106"/>
    <cellStyle name="Header2 4 3 3 3 3 4 2" xfId="29923"/>
    <cellStyle name="Header2 4 3 3 3 3 4 2 2" xfId="39922"/>
    <cellStyle name="Header2 4 3 3 3 3 4 3" xfId="25681"/>
    <cellStyle name="Header2 4 3 3 3 3 4 4" xfId="34771"/>
    <cellStyle name="Header2 4 3 3 3 3 5" xfId="20753"/>
    <cellStyle name="Header2 4 3 3 3 3 5 2" xfId="32570"/>
    <cellStyle name="Header2 4 3 3 3 3 5 2 2" xfId="42569"/>
    <cellStyle name="Header2 4 3 3 3 3 5 3" xfId="37418"/>
    <cellStyle name="Header2 4 3 3 3 3 6" xfId="28154"/>
    <cellStyle name="Header2 4 3 3 3 3 6 2" xfId="38153"/>
    <cellStyle name="Header2 4 3 3 3 3 7" xfId="22289"/>
    <cellStyle name="Header2 4 3 3 3 4" xfId="16038"/>
    <cellStyle name="Header2 4 3 3 3 4 2" xfId="27855"/>
    <cellStyle name="Header2 4 3 3 3 4 2 2" xfId="37854"/>
    <cellStyle name="Header2 4 3 3 3 4 3" xfId="23916"/>
    <cellStyle name="Header2 4 3 3 3 4 4" xfId="33006"/>
    <cellStyle name="Header2 4 3 3 3 5" xfId="16513"/>
    <cellStyle name="Header2 4 3 3 3 5 2" xfId="28330"/>
    <cellStyle name="Header2 4 3 3 3 5 2 2" xfId="38329"/>
    <cellStyle name="Header2 4 3 3 3 5 3" xfId="24088"/>
    <cellStyle name="Header2 4 3 3 3 5 4" xfId="33178"/>
    <cellStyle name="Header2 4 3 3 3 6" xfId="16814"/>
    <cellStyle name="Header2 4 3 3 3 6 2" xfId="28631"/>
    <cellStyle name="Header2 4 3 3 3 6 2 2" xfId="38630"/>
    <cellStyle name="Header2 4 3 3 3 6 3" xfId="24389"/>
    <cellStyle name="Header2 4 3 3 3 6 4" xfId="33479"/>
    <cellStyle name="Header2 4 3 3 3 7" xfId="17271"/>
    <cellStyle name="Header2 4 3 3 3 7 2" xfId="29088"/>
    <cellStyle name="Header2 4 3 3 3 7 2 2" xfId="39087"/>
    <cellStyle name="Header2 4 3 3 3 7 3" xfId="24846"/>
    <cellStyle name="Header2 4 3 3 3 7 4" xfId="33936"/>
    <cellStyle name="Header2 4 3 3 3 8" xfId="17574"/>
    <cellStyle name="Header2 4 3 3 3 8 2" xfId="29391"/>
    <cellStyle name="Header2 4 3 3 3 8 2 2" xfId="39390"/>
    <cellStyle name="Header2 4 3 3 3 8 3" xfId="25149"/>
    <cellStyle name="Header2 4 3 3 3 8 4" xfId="34239"/>
    <cellStyle name="Header2 4 3 3 3 9" xfId="18361"/>
    <cellStyle name="Header2 4 3 3 3 9 2" xfId="30178"/>
    <cellStyle name="Header2 4 3 3 3 9 2 2" xfId="40177"/>
    <cellStyle name="Header2 4 3 3 3 9 3" xfId="25836"/>
    <cellStyle name="Header2 4 3 3 3 9 4" xfId="35026"/>
    <cellStyle name="Header2 4 3 3 4" xfId="7950"/>
    <cellStyle name="Header2 4 3 3 4 10" xfId="18661"/>
    <cellStyle name="Header2 4 3 3 4 10 2" xfId="30478"/>
    <cellStyle name="Header2 4 3 3 4 10 2 2" xfId="40477"/>
    <cellStyle name="Header2 4 3 3 4 10 3" xfId="26136"/>
    <cellStyle name="Header2 4 3 3 4 10 4" xfId="35326"/>
    <cellStyle name="Header2 4 3 3 4 11" xfId="18279"/>
    <cellStyle name="Header2 4 3 3 4 11 2" xfId="30096"/>
    <cellStyle name="Header2 4 3 3 4 11 2 2" xfId="40095"/>
    <cellStyle name="Header2 4 3 3 4 11 3" xfId="34944"/>
    <cellStyle name="Header2 4 3 3 4 12" xfId="23152"/>
    <cellStyle name="Header2 4 3 3 4 12 2" xfId="22012"/>
    <cellStyle name="Header2 4 3 3 4 13" xfId="22546"/>
    <cellStyle name="Header2 4 3 3 4 2" xfId="15757"/>
    <cellStyle name="Header2 4 3 3 4 2 2" xfId="19036"/>
    <cellStyle name="Header2 4 3 3 4 2 2 2" xfId="30853"/>
    <cellStyle name="Header2 4 3 3 4 2 2 2 2" xfId="40852"/>
    <cellStyle name="Header2 4 3 3 4 2 2 3" xfId="26511"/>
    <cellStyle name="Header2 4 3 3 4 2 2 4" xfId="35701"/>
    <cellStyle name="Header2 4 3 3 4 2 3" xfId="19642"/>
    <cellStyle name="Header2 4 3 3 4 2 3 2" xfId="31459"/>
    <cellStyle name="Header2 4 3 3 4 2 3 2 2" xfId="41458"/>
    <cellStyle name="Header2 4 3 3 4 2 3 3" xfId="27117"/>
    <cellStyle name="Header2 4 3 3 4 2 3 4" xfId="36307"/>
    <cellStyle name="Header2 4 3 3 4 2 4" xfId="18021"/>
    <cellStyle name="Header2 4 3 3 4 2 4 2" xfId="29838"/>
    <cellStyle name="Header2 4 3 3 4 2 4 2 2" xfId="39837"/>
    <cellStyle name="Header2 4 3 3 4 2 4 3" xfId="25596"/>
    <cellStyle name="Header2 4 3 3 4 2 4 4" xfId="34686"/>
    <cellStyle name="Header2 4 3 3 4 2 5" xfId="20451"/>
    <cellStyle name="Header2 4 3 3 4 2 5 2" xfId="32268"/>
    <cellStyle name="Header2 4 3 3 4 2 5 2 2" xfId="42267"/>
    <cellStyle name="Header2 4 3 3 4 2 5 3" xfId="37116"/>
    <cellStyle name="Header2 4 3 3 4 2 6" xfId="23635"/>
    <cellStyle name="Header2 4 3 3 4 2 6 2" xfId="21792"/>
    <cellStyle name="Header2 4 3 3 4 2 7" xfId="22956"/>
    <cellStyle name="Header2 4 3 3 4 2 7 2" xfId="22132"/>
    <cellStyle name="Header2 4 3 3 4 2 8" xfId="22456"/>
    <cellStyle name="Header2 4 3 3 4 3" xfId="16338"/>
    <cellStyle name="Header2 4 3 3 4 3 2" xfId="19337"/>
    <cellStyle name="Header2 4 3 3 4 3 2 2" xfId="31154"/>
    <cellStyle name="Header2 4 3 3 4 3 2 2 2" xfId="41153"/>
    <cellStyle name="Header2 4 3 3 4 3 2 3" xfId="26812"/>
    <cellStyle name="Header2 4 3 3 4 3 2 4" xfId="36002"/>
    <cellStyle name="Header2 4 3 3 4 3 3" xfId="19943"/>
    <cellStyle name="Header2 4 3 3 4 3 3 2" xfId="31760"/>
    <cellStyle name="Header2 4 3 3 4 3 3 2 2" xfId="41759"/>
    <cellStyle name="Header2 4 3 3 4 3 3 3" xfId="27418"/>
    <cellStyle name="Header2 4 3 3 4 3 3 4" xfId="36608"/>
    <cellStyle name="Header2 4 3 3 4 3 4" xfId="17795"/>
    <cellStyle name="Header2 4 3 3 4 3 4 2" xfId="29612"/>
    <cellStyle name="Header2 4 3 3 4 3 4 2 2" xfId="39611"/>
    <cellStyle name="Header2 4 3 3 4 3 4 3" xfId="25370"/>
    <cellStyle name="Header2 4 3 3 4 3 4 4" xfId="34460"/>
    <cellStyle name="Header2 4 3 3 4 3 5" xfId="20752"/>
    <cellStyle name="Header2 4 3 3 4 3 5 2" xfId="32569"/>
    <cellStyle name="Header2 4 3 3 4 3 5 2 2" xfId="42568"/>
    <cellStyle name="Header2 4 3 3 4 3 5 3" xfId="37417"/>
    <cellStyle name="Header2 4 3 3 4 3 6" xfId="28155"/>
    <cellStyle name="Header2 4 3 3 4 3 6 2" xfId="38154"/>
    <cellStyle name="Header2 4 3 3 4 3 7" xfId="21560"/>
    <cellStyle name="Header2 4 3 3 4 4" xfId="16039"/>
    <cellStyle name="Header2 4 3 3 4 4 2" xfId="27856"/>
    <cellStyle name="Header2 4 3 3 4 4 2 2" xfId="37855"/>
    <cellStyle name="Header2 4 3 3 4 4 3" xfId="23917"/>
    <cellStyle name="Header2 4 3 3 4 4 4" xfId="33007"/>
    <cellStyle name="Header2 4 3 3 4 5" xfId="16512"/>
    <cellStyle name="Header2 4 3 3 4 5 2" xfId="28329"/>
    <cellStyle name="Header2 4 3 3 4 5 2 2" xfId="38328"/>
    <cellStyle name="Header2 4 3 3 4 5 3" xfId="24087"/>
    <cellStyle name="Header2 4 3 3 4 5 4" xfId="33177"/>
    <cellStyle name="Header2 4 3 3 4 6" xfId="16813"/>
    <cellStyle name="Header2 4 3 3 4 6 2" xfId="28630"/>
    <cellStyle name="Header2 4 3 3 4 6 2 2" xfId="38629"/>
    <cellStyle name="Header2 4 3 3 4 6 3" xfId="24388"/>
    <cellStyle name="Header2 4 3 3 4 6 4" xfId="33478"/>
    <cellStyle name="Header2 4 3 3 4 7" xfId="17272"/>
    <cellStyle name="Header2 4 3 3 4 7 2" xfId="29089"/>
    <cellStyle name="Header2 4 3 3 4 7 2 2" xfId="39088"/>
    <cellStyle name="Header2 4 3 3 4 7 3" xfId="24847"/>
    <cellStyle name="Header2 4 3 3 4 7 4" xfId="33937"/>
    <cellStyle name="Header2 4 3 3 4 8" xfId="17575"/>
    <cellStyle name="Header2 4 3 3 4 8 2" xfId="29392"/>
    <cellStyle name="Header2 4 3 3 4 8 2 2" xfId="39391"/>
    <cellStyle name="Header2 4 3 3 4 8 3" xfId="25150"/>
    <cellStyle name="Header2 4 3 3 4 8 4" xfId="34240"/>
    <cellStyle name="Header2 4 3 3 4 9" xfId="18360"/>
    <cellStyle name="Header2 4 3 3 4 9 2" xfId="30177"/>
    <cellStyle name="Header2 4 3 3 4 9 2 2" xfId="40176"/>
    <cellStyle name="Header2 4 3 3 4 9 3" xfId="25835"/>
    <cellStyle name="Header2 4 3 3 4 9 4" xfId="35025"/>
    <cellStyle name="Header2 4 3 3 5" xfId="15754"/>
    <cellStyle name="Header2 4 3 3 5 2" xfId="19039"/>
    <cellStyle name="Header2 4 3 3 5 2 2" xfId="30856"/>
    <cellStyle name="Header2 4 3 3 5 2 2 2" xfId="40855"/>
    <cellStyle name="Header2 4 3 3 5 2 3" xfId="26514"/>
    <cellStyle name="Header2 4 3 3 5 2 4" xfId="35704"/>
    <cellStyle name="Header2 4 3 3 5 3" xfId="19645"/>
    <cellStyle name="Header2 4 3 3 5 3 2" xfId="31462"/>
    <cellStyle name="Header2 4 3 3 5 3 2 2" xfId="41461"/>
    <cellStyle name="Header2 4 3 3 5 3 3" xfId="27120"/>
    <cellStyle name="Header2 4 3 3 5 3 4" xfId="36310"/>
    <cellStyle name="Header2 4 3 3 5 4" xfId="18018"/>
    <cellStyle name="Header2 4 3 3 5 4 2" xfId="29835"/>
    <cellStyle name="Header2 4 3 3 5 4 2 2" xfId="39834"/>
    <cellStyle name="Header2 4 3 3 5 4 3" xfId="25593"/>
    <cellStyle name="Header2 4 3 3 5 4 4" xfId="34683"/>
    <cellStyle name="Header2 4 3 3 5 5" xfId="20454"/>
    <cellStyle name="Header2 4 3 3 5 5 2" xfId="32271"/>
    <cellStyle name="Header2 4 3 3 5 5 2 2" xfId="42270"/>
    <cellStyle name="Header2 4 3 3 5 5 3" xfId="37119"/>
    <cellStyle name="Header2 4 3 3 5 6" xfId="23632"/>
    <cellStyle name="Header2 4 3 3 5 6 2" xfId="20985"/>
    <cellStyle name="Header2 4 3 3 5 7" xfId="22814"/>
    <cellStyle name="Header2 4 3 3 5 7 2" xfId="21408"/>
    <cellStyle name="Header2 4 3 3 5 8" xfId="21693"/>
    <cellStyle name="Header2 4 3 3 6" xfId="16335"/>
    <cellStyle name="Header2 4 3 3 6 2" xfId="19340"/>
    <cellStyle name="Header2 4 3 3 6 2 2" xfId="31157"/>
    <cellStyle name="Header2 4 3 3 6 2 2 2" xfId="41156"/>
    <cellStyle name="Header2 4 3 3 6 2 3" xfId="26815"/>
    <cellStyle name="Header2 4 3 3 6 2 4" xfId="36005"/>
    <cellStyle name="Header2 4 3 3 6 3" xfId="19946"/>
    <cellStyle name="Header2 4 3 3 6 3 2" xfId="31763"/>
    <cellStyle name="Header2 4 3 3 6 3 2 2" xfId="41762"/>
    <cellStyle name="Header2 4 3 3 6 3 3" xfId="27421"/>
    <cellStyle name="Header2 4 3 3 6 3 4" xfId="36611"/>
    <cellStyle name="Header2 4 3 3 6 4" xfId="17794"/>
    <cellStyle name="Header2 4 3 3 6 4 2" xfId="29611"/>
    <cellStyle name="Header2 4 3 3 6 4 2 2" xfId="39610"/>
    <cellStyle name="Header2 4 3 3 6 4 3" xfId="25369"/>
    <cellStyle name="Header2 4 3 3 6 4 4" xfId="34459"/>
    <cellStyle name="Header2 4 3 3 6 5" xfId="20755"/>
    <cellStyle name="Header2 4 3 3 6 5 2" xfId="32572"/>
    <cellStyle name="Header2 4 3 3 6 5 2 2" xfId="42571"/>
    <cellStyle name="Header2 4 3 3 6 5 3" xfId="37420"/>
    <cellStyle name="Header2 4 3 3 6 6" xfId="28152"/>
    <cellStyle name="Header2 4 3 3 6 6 2" xfId="38151"/>
    <cellStyle name="Header2 4 3 3 6 7" xfId="22288"/>
    <cellStyle name="Header2 4 3 3 7" xfId="16036"/>
    <cellStyle name="Header2 4 3 3 7 2" xfId="27853"/>
    <cellStyle name="Header2 4 3 3 7 2 2" xfId="37852"/>
    <cellStyle name="Header2 4 3 3 7 3" xfId="23914"/>
    <cellStyle name="Header2 4 3 3 7 4" xfId="33004"/>
    <cellStyle name="Header2 4 3 3 8" xfId="16515"/>
    <cellStyle name="Header2 4 3 3 8 2" xfId="28332"/>
    <cellStyle name="Header2 4 3 3 8 2 2" xfId="38331"/>
    <cellStyle name="Header2 4 3 3 8 3" xfId="24090"/>
    <cellStyle name="Header2 4 3 3 8 4" xfId="33180"/>
    <cellStyle name="Header2 4 3 3 9" xfId="16816"/>
    <cellStyle name="Header2 4 3 3 9 2" xfId="28633"/>
    <cellStyle name="Header2 4 3 3 9 2 2" xfId="38632"/>
    <cellStyle name="Header2 4 3 3 9 3" xfId="24391"/>
    <cellStyle name="Header2 4 3 3 9 4" xfId="33481"/>
    <cellStyle name="Header2 4 3 4" xfId="7951"/>
    <cellStyle name="Header2 4 3 4 10" xfId="18660"/>
    <cellStyle name="Header2 4 3 4 10 2" xfId="30477"/>
    <cellStyle name="Header2 4 3 4 10 2 2" xfId="40476"/>
    <cellStyle name="Header2 4 3 4 10 3" xfId="26135"/>
    <cellStyle name="Header2 4 3 4 10 4" xfId="35325"/>
    <cellStyle name="Header2 4 3 4 11" xfId="18280"/>
    <cellStyle name="Header2 4 3 4 11 2" xfId="30097"/>
    <cellStyle name="Header2 4 3 4 11 2 2" xfId="40096"/>
    <cellStyle name="Header2 4 3 4 11 3" xfId="34945"/>
    <cellStyle name="Header2 4 3 4 12" xfId="23151"/>
    <cellStyle name="Header2 4 3 4 12 2" xfId="21258"/>
    <cellStyle name="Header2 4 3 4 13" xfId="22545"/>
    <cellStyle name="Header2 4 3 4 2" xfId="15758"/>
    <cellStyle name="Header2 4 3 4 2 2" xfId="19035"/>
    <cellStyle name="Header2 4 3 4 2 2 2" xfId="30852"/>
    <cellStyle name="Header2 4 3 4 2 2 2 2" xfId="40851"/>
    <cellStyle name="Header2 4 3 4 2 2 3" xfId="26510"/>
    <cellStyle name="Header2 4 3 4 2 2 4" xfId="35700"/>
    <cellStyle name="Header2 4 3 4 2 3" xfId="19641"/>
    <cellStyle name="Header2 4 3 4 2 3 2" xfId="31458"/>
    <cellStyle name="Header2 4 3 4 2 3 2 2" xfId="41457"/>
    <cellStyle name="Header2 4 3 4 2 3 3" xfId="27116"/>
    <cellStyle name="Header2 4 3 4 2 3 4" xfId="36306"/>
    <cellStyle name="Header2 4 3 4 2 4" xfId="17827"/>
    <cellStyle name="Header2 4 3 4 2 4 2" xfId="29644"/>
    <cellStyle name="Header2 4 3 4 2 4 2 2" xfId="39643"/>
    <cellStyle name="Header2 4 3 4 2 4 3" xfId="25402"/>
    <cellStyle name="Header2 4 3 4 2 4 4" xfId="34492"/>
    <cellStyle name="Header2 4 3 4 2 5" xfId="20450"/>
    <cellStyle name="Header2 4 3 4 2 5 2" xfId="32267"/>
    <cellStyle name="Header2 4 3 4 2 5 2 2" xfId="42266"/>
    <cellStyle name="Header2 4 3 4 2 5 3" xfId="37115"/>
    <cellStyle name="Header2 4 3 4 2 6" xfId="23636"/>
    <cellStyle name="Header2 4 3 4 2 6 2" xfId="20975"/>
    <cellStyle name="Header2 4 3 4 2 7" xfId="22812"/>
    <cellStyle name="Header2 4 3 4 2 7 2" xfId="21410"/>
    <cellStyle name="Header2 4 3 4 2 8" xfId="22457"/>
    <cellStyle name="Header2 4 3 4 3" xfId="16339"/>
    <cellStyle name="Header2 4 3 4 3 2" xfId="19336"/>
    <cellStyle name="Header2 4 3 4 3 2 2" xfId="31153"/>
    <cellStyle name="Header2 4 3 4 3 2 2 2" xfId="41152"/>
    <cellStyle name="Header2 4 3 4 3 2 3" xfId="26811"/>
    <cellStyle name="Header2 4 3 4 3 2 4" xfId="36001"/>
    <cellStyle name="Header2 4 3 4 3 3" xfId="19942"/>
    <cellStyle name="Header2 4 3 4 3 3 2" xfId="31759"/>
    <cellStyle name="Header2 4 3 4 3 3 2 2" xfId="41758"/>
    <cellStyle name="Header2 4 3 4 3 3 3" xfId="27417"/>
    <cellStyle name="Header2 4 3 4 3 3 4" xfId="36607"/>
    <cellStyle name="Header2 4 3 4 3 4" xfId="18107"/>
    <cellStyle name="Header2 4 3 4 3 4 2" xfId="29924"/>
    <cellStyle name="Header2 4 3 4 3 4 2 2" xfId="39923"/>
    <cellStyle name="Header2 4 3 4 3 4 3" xfId="25682"/>
    <cellStyle name="Header2 4 3 4 3 4 4" xfId="34772"/>
    <cellStyle name="Header2 4 3 4 3 5" xfId="20751"/>
    <cellStyle name="Header2 4 3 4 3 5 2" xfId="32568"/>
    <cellStyle name="Header2 4 3 4 3 5 2 2" xfId="42567"/>
    <cellStyle name="Header2 4 3 4 3 5 3" xfId="37416"/>
    <cellStyle name="Header2 4 3 4 3 6" xfId="28156"/>
    <cellStyle name="Header2 4 3 4 3 6 2" xfId="38155"/>
    <cellStyle name="Header2 4 3 4 3 7" xfId="21561"/>
    <cellStyle name="Header2 4 3 4 4" xfId="16040"/>
    <cellStyle name="Header2 4 3 4 4 2" xfId="27857"/>
    <cellStyle name="Header2 4 3 4 4 2 2" xfId="37856"/>
    <cellStyle name="Header2 4 3 4 4 3" xfId="23918"/>
    <cellStyle name="Header2 4 3 4 4 4" xfId="33008"/>
    <cellStyle name="Header2 4 3 4 5" xfId="16511"/>
    <cellStyle name="Header2 4 3 4 5 2" xfId="28328"/>
    <cellStyle name="Header2 4 3 4 5 2 2" xfId="38327"/>
    <cellStyle name="Header2 4 3 4 5 3" xfId="24086"/>
    <cellStyle name="Header2 4 3 4 5 4" xfId="33176"/>
    <cellStyle name="Header2 4 3 4 6" xfId="16812"/>
    <cellStyle name="Header2 4 3 4 6 2" xfId="28629"/>
    <cellStyle name="Header2 4 3 4 6 2 2" xfId="38628"/>
    <cellStyle name="Header2 4 3 4 6 3" xfId="24387"/>
    <cellStyle name="Header2 4 3 4 6 4" xfId="33477"/>
    <cellStyle name="Header2 4 3 4 7" xfId="17273"/>
    <cellStyle name="Header2 4 3 4 7 2" xfId="29090"/>
    <cellStyle name="Header2 4 3 4 7 2 2" xfId="39089"/>
    <cellStyle name="Header2 4 3 4 7 3" xfId="24848"/>
    <cellStyle name="Header2 4 3 4 7 4" xfId="33938"/>
    <cellStyle name="Header2 4 3 4 8" xfId="17576"/>
    <cellStyle name="Header2 4 3 4 8 2" xfId="29393"/>
    <cellStyle name="Header2 4 3 4 8 2 2" xfId="39392"/>
    <cellStyle name="Header2 4 3 4 8 3" xfId="25151"/>
    <cellStyle name="Header2 4 3 4 8 4" xfId="34241"/>
    <cellStyle name="Header2 4 3 4 9" xfId="18359"/>
    <cellStyle name="Header2 4 3 4 9 2" xfId="30176"/>
    <cellStyle name="Header2 4 3 4 9 2 2" xfId="40175"/>
    <cellStyle name="Header2 4 3 4 9 3" xfId="25834"/>
    <cellStyle name="Header2 4 3 4 9 4" xfId="35024"/>
    <cellStyle name="Header2 4 3 5" xfId="15749"/>
    <cellStyle name="Header2 4 3 5 2" xfId="19044"/>
    <cellStyle name="Header2 4 3 5 2 2" xfId="30861"/>
    <cellStyle name="Header2 4 3 5 2 2 2" xfId="40860"/>
    <cellStyle name="Header2 4 3 5 2 3" xfId="26519"/>
    <cellStyle name="Header2 4 3 5 2 4" xfId="35709"/>
    <cellStyle name="Header2 4 3 5 3" xfId="19650"/>
    <cellStyle name="Header2 4 3 5 3 2" xfId="31467"/>
    <cellStyle name="Header2 4 3 5 3 2 2" xfId="41466"/>
    <cellStyle name="Header2 4 3 5 3 3" xfId="27125"/>
    <cellStyle name="Header2 4 3 5 3 4" xfId="36315"/>
    <cellStyle name="Header2 4 3 5 4" xfId="18013"/>
    <cellStyle name="Header2 4 3 5 4 2" xfId="29830"/>
    <cellStyle name="Header2 4 3 5 4 2 2" xfId="39829"/>
    <cellStyle name="Header2 4 3 5 4 3" xfId="25588"/>
    <cellStyle name="Header2 4 3 5 4 4" xfId="34678"/>
    <cellStyle name="Header2 4 3 5 5" xfId="20459"/>
    <cellStyle name="Header2 4 3 5 5 2" xfId="32276"/>
    <cellStyle name="Header2 4 3 5 5 2 2" xfId="42275"/>
    <cellStyle name="Header2 4 3 5 5 3" xfId="37124"/>
    <cellStyle name="Header2 4 3 5 6" xfId="23627"/>
    <cellStyle name="Header2 4 3 5 6 2" xfId="21798"/>
    <cellStyle name="Header2 4 3 5 7" xfId="22962"/>
    <cellStyle name="Header2 4 3 5 7 2" xfId="22127"/>
    <cellStyle name="Header2 4 3 5 8" xfId="22453"/>
    <cellStyle name="Header2 4 3 6" xfId="16330"/>
    <cellStyle name="Header2 4 3 6 2" xfId="19344"/>
    <cellStyle name="Header2 4 3 6 2 2" xfId="31161"/>
    <cellStyle name="Header2 4 3 6 2 2 2" xfId="41160"/>
    <cellStyle name="Header2 4 3 6 2 3" xfId="26819"/>
    <cellStyle name="Header2 4 3 6 2 4" xfId="36009"/>
    <cellStyle name="Header2 4 3 6 3" xfId="19950"/>
    <cellStyle name="Header2 4 3 6 3 2" xfId="31767"/>
    <cellStyle name="Header2 4 3 6 3 2 2" xfId="41766"/>
    <cellStyle name="Header2 4 3 6 3 3" xfId="27425"/>
    <cellStyle name="Header2 4 3 6 3 4" xfId="36615"/>
    <cellStyle name="Header2 4 3 6 4" xfId="18872"/>
    <cellStyle name="Header2 4 3 6 4 2" xfId="30689"/>
    <cellStyle name="Header2 4 3 6 4 2 2" xfId="40688"/>
    <cellStyle name="Header2 4 3 6 4 3" xfId="26347"/>
    <cellStyle name="Header2 4 3 6 4 4" xfId="35537"/>
    <cellStyle name="Header2 4 3 6 5" xfId="20759"/>
    <cellStyle name="Header2 4 3 6 5 2" xfId="32576"/>
    <cellStyle name="Header2 4 3 6 5 2 2" xfId="42575"/>
    <cellStyle name="Header2 4 3 6 5 3" xfId="37424"/>
    <cellStyle name="Header2 4 3 6 6" xfId="28147"/>
    <cellStyle name="Header2 4 3 6 6 2" xfId="38146"/>
    <cellStyle name="Header2 4 3 6 7" xfId="22286"/>
    <cellStyle name="Header2 4 3 7" xfId="16032"/>
    <cellStyle name="Header2 4 3 7 2" xfId="27849"/>
    <cellStyle name="Header2 4 3 7 2 2" xfId="37848"/>
    <cellStyle name="Header2 4 3 7 3" xfId="23910"/>
    <cellStyle name="Header2 4 3 7 4" xfId="33000"/>
    <cellStyle name="Header2 4 3 8" xfId="16520"/>
    <cellStyle name="Header2 4 3 8 2" xfId="28337"/>
    <cellStyle name="Header2 4 3 8 2 2" xfId="38336"/>
    <cellStyle name="Header2 4 3 8 3" xfId="24095"/>
    <cellStyle name="Header2 4 3 8 4" xfId="33185"/>
    <cellStyle name="Header2 4 3 9" xfId="16820"/>
    <cellStyle name="Header2 4 3 9 2" xfId="28637"/>
    <cellStyle name="Header2 4 3 9 2 2" xfId="38636"/>
    <cellStyle name="Header2 4 3 9 3" xfId="24395"/>
    <cellStyle name="Header2 4 3 9 4" xfId="33485"/>
    <cellStyle name="Header2 4 4" xfId="7952"/>
    <cellStyle name="Header2 4 4 10" xfId="16510"/>
    <cellStyle name="Header2 4 4 10 2" xfId="28327"/>
    <cellStyle name="Header2 4 4 10 2 2" xfId="38326"/>
    <cellStyle name="Header2 4 4 10 3" xfId="24085"/>
    <cellStyle name="Header2 4 4 10 4" xfId="33175"/>
    <cellStyle name="Header2 4 4 11" xfId="16811"/>
    <cellStyle name="Header2 4 4 11 2" xfId="28628"/>
    <cellStyle name="Header2 4 4 11 2 2" xfId="38627"/>
    <cellStyle name="Header2 4 4 11 3" xfId="24386"/>
    <cellStyle name="Header2 4 4 11 4" xfId="33476"/>
    <cellStyle name="Header2 4 4 12" xfId="17274"/>
    <cellStyle name="Header2 4 4 12 2" xfId="29091"/>
    <cellStyle name="Header2 4 4 12 2 2" xfId="39090"/>
    <cellStyle name="Header2 4 4 12 3" xfId="24849"/>
    <cellStyle name="Header2 4 4 12 4" xfId="33939"/>
    <cellStyle name="Header2 4 4 13" xfId="17577"/>
    <cellStyle name="Header2 4 4 13 2" xfId="29394"/>
    <cellStyle name="Header2 4 4 13 2 2" xfId="39393"/>
    <cellStyle name="Header2 4 4 13 3" xfId="25152"/>
    <cellStyle name="Header2 4 4 13 4" xfId="34242"/>
    <cellStyle name="Header2 4 4 14" xfId="18358"/>
    <cellStyle name="Header2 4 4 14 2" xfId="30175"/>
    <cellStyle name="Header2 4 4 14 2 2" xfId="40174"/>
    <cellStyle name="Header2 4 4 14 3" xfId="25833"/>
    <cellStyle name="Header2 4 4 14 4" xfId="35023"/>
    <cellStyle name="Header2 4 4 15" xfId="18659"/>
    <cellStyle name="Header2 4 4 15 2" xfId="30476"/>
    <cellStyle name="Header2 4 4 15 2 2" xfId="40475"/>
    <cellStyle name="Header2 4 4 15 3" xfId="26134"/>
    <cellStyle name="Header2 4 4 15 4" xfId="35324"/>
    <cellStyle name="Header2 4 4 16" xfId="18281"/>
    <cellStyle name="Header2 4 4 16 2" xfId="30098"/>
    <cellStyle name="Header2 4 4 16 2 2" xfId="40097"/>
    <cellStyle name="Header2 4 4 16 3" xfId="34946"/>
    <cellStyle name="Header2 4 4 17" xfId="23150"/>
    <cellStyle name="Header2 4 4 17 2" xfId="21259"/>
    <cellStyle name="Header2 4 4 18" xfId="22544"/>
    <cellStyle name="Header2 4 4 2" xfId="7953"/>
    <cellStyle name="Header2 4 4 2 10" xfId="17275"/>
    <cellStyle name="Header2 4 4 2 10 2" xfId="29092"/>
    <cellStyle name="Header2 4 4 2 10 2 2" xfId="39091"/>
    <cellStyle name="Header2 4 4 2 10 3" xfId="24850"/>
    <cellStyle name="Header2 4 4 2 10 4" xfId="33940"/>
    <cellStyle name="Header2 4 4 2 11" xfId="17578"/>
    <cellStyle name="Header2 4 4 2 11 2" xfId="29395"/>
    <cellStyle name="Header2 4 4 2 11 2 2" xfId="39394"/>
    <cellStyle name="Header2 4 4 2 11 3" xfId="25153"/>
    <cellStyle name="Header2 4 4 2 11 4" xfId="34243"/>
    <cellStyle name="Header2 4 4 2 12" xfId="18357"/>
    <cellStyle name="Header2 4 4 2 12 2" xfId="30174"/>
    <cellStyle name="Header2 4 4 2 12 2 2" xfId="40173"/>
    <cellStyle name="Header2 4 4 2 12 3" xfId="25832"/>
    <cellStyle name="Header2 4 4 2 12 4" xfId="35022"/>
    <cellStyle name="Header2 4 4 2 13" xfId="18658"/>
    <cellStyle name="Header2 4 4 2 13 2" xfId="30475"/>
    <cellStyle name="Header2 4 4 2 13 2 2" xfId="40474"/>
    <cellStyle name="Header2 4 4 2 13 3" xfId="26133"/>
    <cellStyle name="Header2 4 4 2 13 4" xfId="35323"/>
    <cellStyle name="Header2 4 4 2 14" xfId="18282"/>
    <cellStyle name="Header2 4 4 2 14 2" xfId="30099"/>
    <cellStyle name="Header2 4 4 2 14 2 2" xfId="40098"/>
    <cellStyle name="Header2 4 4 2 14 3" xfId="34947"/>
    <cellStyle name="Header2 4 4 2 15" xfId="23149"/>
    <cellStyle name="Header2 4 4 2 15 2" xfId="21260"/>
    <cellStyle name="Header2 4 4 2 16" xfId="22543"/>
    <cellStyle name="Header2 4 4 2 2" xfId="7954"/>
    <cellStyle name="Header2 4 4 2 2 10" xfId="18657"/>
    <cellStyle name="Header2 4 4 2 2 10 2" xfId="30474"/>
    <cellStyle name="Header2 4 4 2 2 10 2 2" xfId="40473"/>
    <cellStyle name="Header2 4 4 2 2 10 3" xfId="26132"/>
    <cellStyle name="Header2 4 4 2 2 10 4" xfId="35322"/>
    <cellStyle name="Header2 4 4 2 2 11" xfId="20177"/>
    <cellStyle name="Header2 4 4 2 2 11 2" xfId="31994"/>
    <cellStyle name="Header2 4 4 2 2 11 2 2" xfId="41993"/>
    <cellStyle name="Header2 4 4 2 2 11 3" xfId="36842"/>
    <cellStyle name="Header2 4 4 2 2 12" xfId="23148"/>
    <cellStyle name="Header2 4 4 2 2 12 2" xfId="22013"/>
    <cellStyle name="Header2 4 4 2 2 13" xfId="22542"/>
    <cellStyle name="Header2 4 4 2 2 2" xfId="15761"/>
    <cellStyle name="Header2 4 4 2 2 2 2" xfId="19032"/>
    <cellStyle name="Header2 4 4 2 2 2 2 2" xfId="30849"/>
    <cellStyle name="Header2 4 4 2 2 2 2 2 2" xfId="40848"/>
    <cellStyle name="Header2 4 4 2 2 2 2 3" xfId="26507"/>
    <cellStyle name="Header2 4 4 2 2 2 2 4" xfId="35697"/>
    <cellStyle name="Header2 4 4 2 2 2 3" xfId="19638"/>
    <cellStyle name="Header2 4 4 2 2 2 3 2" xfId="31455"/>
    <cellStyle name="Header2 4 4 2 2 2 3 2 2" xfId="41454"/>
    <cellStyle name="Header2 4 4 2 2 2 3 3" xfId="27113"/>
    <cellStyle name="Header2 4 4 2 2 2 3 4" xfId="36303"/>
    <cellStyle name="Header2 4 4 2 2 2 4" xfId="17716"/>
    <cellStyle name="Header2 4 4 2 2 2 4 2" xfId="29533"/>
    <cellStyle name="Header2 4 4 2 2 2 4 2 2" xfId="39532"/>
    <cellStyle name="Header2 4 4 2 2 2 4 3" xfId="25291"/>
    <cellStyle name="Header2 4 4 2 2 2 4 4" xfId="34381"/>
    <cellStyle name="Header2 4 4 2 2 2 5" xfId="20447"/>
    <cellStyle name="Header2 4 4 2 2 2 5 2" xfId="32264"/>
    <cellStyle name="Header2 4 4 2 2 2 5 2 2" xfId="42263"/>
    <cellStyle name="Header2 4 4 2 2 2 5 3" xfId="37112"/>
    <cellStyle name="Header2 4 4 2 2 2 6" xfId="23639"/>
    <cellStyle name="Header2 4 4 2 2 2 6 2" xfId="21791"/>
    <cellStyle name="Header2 4 4 2 2 2 7" xfId="22955"/>
    <cellStyle name="Header2 4 4 2 2 2 7 2" xfId="22133"/>
    <cellStyle name="Header2 4 4 2 2 2 8" xfId="21696"/>
    <cellStyle name="Header2 4 4 2 2 3" xfId="16342"/>
    <cellStyle name="Header2 4 4 2 2 3 2" xfId="19333"/>
    <cellStyle name="Header2 4 4 2 2 3 2 2" xfId="31150"/>
    <cellStyle name="Header2 4 4 2 2 3 2 2 2" xfId="41149"/>
    <cellStyle name="Header2 4 4 2 2 3 2 3" xfId="26808"/>
    <cellStyle name="Header2 4 4 2 2 3 2 4" xfId="35998"/>
    <cellStyle name="Header2 4 4 2 2 3 3" xfId="19939"/>
    <cellStyle name="Header2 4 4 2 2 3 3 2" xfId="31756"/>
    <cellStyle name="Header2 4 4 2 2 3 3 2 2" xfId="41755"/>
    <cellStyle name="Header2 4 4 2 2 3 3 3" xfId="27414"/>
    <cellStyle name="Header2 4 4 2 2 3 3 4" xfId="36604"/>
    <cellStyle name="Header2 4 4 2 2 3 4" xfId="18109"/>
    <cellStyle name="Header2 4 4 2 2 3 4 2" xfId="29926"/>
    <cellStyle name="Header2 4 4 2 2 3 4 2 2" xfId="39925"/>
    <cellStyle name="Header2 4 4 2 2 3 4 3" xfId="25684"/>
    <cellStyle name="Header2 4 4 2 2 3 4 4" xfId="34774"/>
    <cellStyle name="Header2 4 4 2 2 3 5" xfId="20748"/>
    <cellStyle name="Header2 4 4 2 2 3 5 2" xfId="32565"/>
    <cellStyle name="Header2 4 4 2 2 3 5 2 2" xfId="42564"/>
    <cellStyle name="Header2 4 4 2 2 3 5 3" xfId="37413"/>
    <cellStyle name="Header2 4 4 2 2 3 6" xfId="28159"/>
    <cellStyle name="Header2 4 4 2 2 3 6 2" xfId="38158"/>
    <cellStyle name="Header2 4 4 2 2 3 7" xfId="21563"/>
    <cellStyle name="Header2 4 4 2 2 4" xfId="16043"/>
    <cellStyle name="Header2 4 4 2 2 4 2" xfId="27860"/>
    <cellStyle name="Header2 4 4 2 2 4 2 2" xfId="37859"/>
    <cellStyle name="Header2 4 4 2 2 4 3" xfId="23921"/>
    <cellStyle name="Header2 4 4 2 2 4 4" xfId="33011"/>
    <cellStyle name="Header2 4 4 2 2 5" xfId="16508"/>
    <cellStyle name="Header2 4 4 2 2 5 2" xfId="28325"/>
    <cellStyle name="Header2 4 4 2 2 5 2 2" xfId="38324"/>
    <cellStyle name="Header2 4 4 2 2 5 3" xfId="24083"/>
    <cellStyle name="Header2 4 4 2 2 5 4" xfId="33173"/>
    <cellStyle name="Header2 4 4 2 2 6" xfId="16809"/>
    <cellStyle name="Header2 4 4 2 2 6 2" xfId="28626"/>
    <cellStyle name="Header2 4 4 2 2 6 2 2" xfId="38625"/>
    <cellStyle name="Header2 4 4 2 2 6 3" xfId="24384"/>
    <cellStyle name="Header2 4 4 2 2 6 4" xfId="33474"/>
    <cellStyle name="Header2 4 4 2 2 7" xfId="17276"/>
    <cellStyle name="Header2 4 4 2 2 7 2" xfId="29093"/>
    <cellStyle name="Header2 4 4 2 2 7 2 2" xfId="39092"/>
    <cellStyle name="Header2 4 4 2 2 7 3" xfId="24851"/>
    <cellStyle name="Header2 4 4 2 2 7 4" xfId="33941"/>
    <cellStyle name="Header2 4 4 2 2 8" xfId="17579"/>
    <cellStyle name="Header2 4 4 2 2 8 2" xfId="29396"/>
    <cellStyle name="Header2 4 4 2 2 8 2 2" xfId="39395"/>
    <cellStyle name="Header2 4 4 2 2 8 3" xfId="25154"/>
    <cellStyle name="Header2 4 4 2 2 8 4" xfId="34244"/>
    <cellStyle name="Header2 4 4 2 2 9" xfId="18356"/>
    <cellStyle name="Header2 4 4 2 2 9 2" xfId="30173"/>
    <cellStyle name="Header2 4 4 2 2 9 2 2" xfId="40172"/>
    <cellStyle name="Header2 4 4 2 2 9 3" xfId="25831"/>
    <cellStyle name="Header2 4 4 2 2 9 4" xfId="35021"/>
    <cellStyle name="Header2 4 4 2 3" xfId="7955"/>
    <cellStyle name="Header2 4 4 2 3 10" xfId="18656"/>
    <cellStyle name="Header2 4 4 2 3 10 2" xfId="30473"/>
    <cellStyle name="Header2 4 4 2 3 10 2 2" xfId="40472"/>
    <cellStyle name="Header2 4 4 2 3 10 3" xfId="26131"/>
    <cellStyle name="Header2 4 4 2 3 10 4" xfId="35321"/>
    <cellStyle name="Header2 4 4 2 3 11" xfId="20278"/>
    <cellStyle name="Header2 4 4 2 3 11 2" xfId="32095"/>
    <cellStyle name="Header2 4 4 2 3 11 2 2" xfId="42094"/>
    <cellStyle name="Header2 4 4 2 3 11 3" xfId="36943"/>
    <cellStyle name="Header2 4 4 2 3 12" xfId="23147"/>
    <cellStyle name="Header2 4 4 2 3 12 2" xfId="21261"/>
    <cellStyle name="Header2 4 4 2 3 13" xfId="22541"/>
    <cellStyle name="Header2 4 4 2 3 2" xfId="15762"/>
    <cellStyle name="Header2 4 4 2 3 2 2" xfId="19031"/>
    <cellStyle name="Header2 4 4 2 3 2 2 2" xfId="30848"/>
    <cellStyle name="Header2 4 4 2 3 2 2 2 2" xfId="40847"/>
    <cellStyle name="Header2 4 4 2 3 2 2 3" xfId="26506"/>
    <cellStyle name="Header2 4 4 2 3 2 2 4" xfId="35696"/>
    <cellStyle name="Header2 4 4 2 3 2 3" xfId="19637"/>
    <cellStyle name="Header2 4 4 2 3 2 3 2" xfId="31454"/>
    <cellStyle name="Header2 4 4 2 3 2 3 2 2" xfId="41453"/>
    <cellStyle name="Header2 4 4 2 3 2 3 3" xfId="27112"/>
    <cellStyle name="Header2 4 4 2 3 2 3 4" xfId="36302"/>
    <cellStyle name="Header2 4 4 2 3 2 4" xfId="17828"/>
    <cellStyle name="Header2 4 4 2 3 2 4 2" xfId="29645"/>
    <cellStyle name="Header2 4 4 2 3 2 4 2 2" xfId="39644"/>
    <cellStyle name="Header2 4 4 2 3 2 4 3" xfId="25403"/>
    <cellStyle name="Header2 4 4 2 3 2 4 4" xfId="34493"/>
    <cellStyle name="Header2 4 4 2 3 2 5" xfId="20446"/>
    <cellStyle name="Header2 4 4 2 3 2 5 2" xfId="32263"/>
    <cellStyle name="Header2 4 4 2 3 2 5 2 2" xfId="42262"/>
    <cellStyle name="Header2 4 4 2 3 2 5 3" xfId="37111"/>
    <cellStyle name="Header2 4 4 2 3 2 6" xfId="23640"/>
    <cellStyle name="Header2 4 4 2 3 2 6 2" xfId="20998"/>
    <cellStyle name="Header2 4 4 2 3 2 7" xfId="22809"/>
    <cellStyle name="Header2 4 4 2 3 2 7 2" xfId="22199"/>
    <cellStyle name="Header2 4 4 2 3 2 8" xfId="22459"/>
    <cellStyle name="Header2 4 4 2 3 3" xfId="16343"/>
    <cellStyle name="Header2 4 4 2 3 3 2" xfId="19332"/>
    <cellStyle name="Header2 4 4 2 3 3 2 2" xfId="31149"/>
    <cellStyle name="Header2 4 4 2 3 3 2 2 2" xfId="41148"/>
    <cellStyle name="Header2 4 4 2 3 3 2 3" xfId="26807"/>
    <cellStyle name="Header2 4 4 2 3 3 2 4" xfId="35997"/>
    <cellStyle name="Header2 4 4 2 3 3 3" xfId="19938"/>
    <cellStyle name="Header2 4 4 2 3 3 3 2" xfId="31755"/>
    <cellStyle name="Header2 4 4 2 3 3 3 2 2" xfId="41754"/>
    <cellStyle name="Header2 4 4 2 3 3 3 3" xfId="27413"/>
    <cellStyle name="Header2 4 4 2 3 3 3 4" xfId="36603"/>
    <cellStyle name="Header2 4 4 2 3 3 4" xfId="18110"/>
    <cellStyle name="Header2 4 4 2 3 3 4 2" xfId="29927"/>
    <cellStyle name="Header2 4 4 2 3 3 4 2 2" xfId="39926"/>
    <cellStyle name="Header2 4 4 2 3 3 4 3" xfId="25685"/>
    <cellStyle name="Header2 4 4 2 3 3 4 4" xfId="34775"/>
    <cellStyle name="Header2 4 4 2 3 3 5" xfId="20747"/>
    <cellStyle name="Header2 4 4 2 3 3 5 2" xfId="32564"/>
    <cellStyle name="Header2 4 4 2 3 3 5 2 2" xfId="42563"/>
    <cellStyle name="Header2 4 4 2 3 3 5 3" xfId="37412"/>
    <cellStyle name="Header2 4 4 2 3 3 6" xfId="28160"/>
    <cellStyle name="Header2 4 4 2 3 3 6 2" xfId="38159"/>
    <cellStyle name="Header2 4 4 2 3 3 7" xfId="22291"/>
    <cellStyle name="Header2 4 4 2 3 4" xfId="16044"/>
    <cellStyle name="Header2 4 4 2 3 4 2" xfId="27861"/>
    <cellStyle name="Header2 4 4 2 3 4 2 2" xfId="37860"/>
    <cellStyle name="Header2 4 4 2 3 4 3" xfId="23922"/>
    <cellStyle name="Header2 4 4 2 3 4 4" xfId="33012"/>
    <cellStyle name="Header2 4 4 2 3 5" xfId="16507"/>
    <cellStyle name="Header2 4 4 2 3 5 2" xfId="28324"/>
    <cellStyle name="Header2 4 4 2 3 5 2 2" xfId="38323"/>
    <cellStyle name="Header2 4 4 2 3 5 3" xfId="24082"/>
    <cellStyle name="Header2 4 4 2 3 5 4" xfId="33172"/>
    <cellStyle name="Header2 4 4 2 3 6" xfId="16808"/>
    <cellStyle name="Header2 4 4 2 3 6 2" xfId="28625"/>
    <cellStyle name="Header2 4 4 2 3 6 2 2" xfId="38624"/>
    <cellStyle name="Header2 4 4 2 3 6 3" xfId="24383"/>
    <cellStyle name="Header2 4 4 2 3 6 4" xfId="33473"/>
    <cellStyle name="Header2 4 4 2 3 7" xfId="17277"/>
    <cellStyle name="Header2 4 4 2 3 7 2" xfId="29094"/>
    <cellStyle name="Header2 4 4 2 3 7 2 2" xfId="39093"/>
    <cellStyle name="Header2 4 4 2 3 7 3" xfId="24852"/>
    <cellStyle name="Header2 4 4 2 3 7 4" xfId="33942"/>
    <cellStyle name="Header2 4 4 2 3 8" xfId="17580"/>
    <cellStyle name="Header2 4 4 2 3 8 2" xfId="29397"/>
    <cellStyle name="Header2 4 4 2 3 8 2 2" xfId="39396"/>
    <cellStyle name="Header2 4 4 2 3 8 3" xfId="25155"/>
    <cellStyle name="Header2 4 4 2 3 8 4" xfId="34245"/>
    <cellStyle name="Header2 4 4 2 3 9" xfId="18355"/>
    <cellStyle name="Header2 4 4 2 3 9 2" xfId="30172"/>
    <cellStyle name="Header2 4 4 2 3 9 2 2" xfId="40171"/>
    <cellStyle name="Header2 4 4 2 3 9 3" xfId="25830"/>
    <cellStyle name="Header2 4 4 2 3 9 4" xfId="35020"/>
    <cellStyle name="Header2 4 4 2 4" xfId="7956"/>
    <cellStyle name="Header2 4 4 2 4 10" xfId="18655"/>
    <cellStyle name="Header2 4 4 2 4 10 2" xfId="30472"/>
    <cellStyle name="Header2 4 4 2 4 10 2 2" xfId="40471"/>
    <cellStyle name="Header2 4 4 2 4 10 3" xfId="26130"/>
    <cellStyle name="Header2 4 4 2 4 10 4" xfId="35320"/>
    <cellStyle name="Header2 4 4 2 4 11" xfId="18283"/>
    <cellStyle name="Header2 4 4 2 4 11 2" xfId="30100"/>
    <cellStyle name="Header2 4 4 2 4 11 2 2" xfId="40099"/>
    <cellStyle name="Header2 4 4 2 4 11 3" xfId="34948"/>
    <cellStyle name="Header2 4 4 2 4 12" xfId="23146"/>
    <cellStyle name="Header2 4 4 2 4 12 2" xfId="22014"/>
    <cellStyle name="Header2 4 4 2 4 13" xfId="22540"/>
    <cellStyle name="Header2 4 4 2 4 2" xfId="15763"/>
    <cellStyle name="Header2 4 4 2 4 2 2" xfId="19030"/>
    <cellStyle name="Header2 4 4 2 4 2 2 2" xfId="30847"/>
    <cellStyle name="Header2 4 4 2 4 2 2 2 2" xfId="40846"/>
    <cellStyle name="Header2 4 4 2 4 2 2 3" xfId="26505"/>
    <cellStyle name="Header2 4 4 2 4 2 2 4" xfId="35695"/>
    <cellStyle name="Header2 4 4 2 4 2 3" xfId="19636"/>
    <cellStyle name="Header2 4 4 2 4 2 3 2" xfId="31453"/>
    <cellStyle name="Header2 4 4 2 4 2 3 2 2" xfId="41452"/>
    <cellStyle name="Header2 4 4 2 4 2 3 3" xfId="27111"/>
    <cellStyle name="Header2 4 4 2 4 2 3 4" xfId="36301"/>
    <cellStyle name="Header2 4 4 2 4 2 4" xfId="18022"/>
    <cellStyle name="Header2 4 4 2 4 2 4 2" xfId="29839"/>
    <cellStyle name="Header2 4 4 2 4 2 4 2 2" xfId="39838"/>
    <cellStyle name="Header2 4 4 2 4 2 4 3" xfId="25597"/>
    <cellStyle name="Header2 4 4 2 4 2 4 4" xfId="34687"/>
    <cellStyle name="Header2 4 4 2 4 2 5" xfId="20445"/>
    <cellStyle name="Header2 4 4 2 4 2 5 2" xfId="32262"/>
    <cellStyle name="Header2 4 4 2 4 2 5 2 2" xfId="42261"/>
    <cellStyle name="Header2 4 4 2 4 2 5 3" xfId="37110"/>
    <cellStyle name="Header2 4 4 2 4 2 6" xfId="23641"/>
    <cellStyle name="Header2 4 4 2 4 2 6 2" xfId="21790"/>
    <cellStyle name="Header2 4 4 2 4 2 7" xfId="22954"/>
    <cellStyle name="Header2 4 4 2 4 2 7 2" xfId="22134"/>
    <cellStyle name="Header2 4 4 2 4 2 8" xfId="21697"/>
    <cellStyle name="Header2 4 4 2 4 3" xfId="16344"/>
    <cellStyle name="Header2 4 4 2 4 3 2" xfId="19331"/>
    <cellStyle name="Header2 4 4 2 4 3 2 2" xfId="31148"/>
    <cellStyle name="Header2 4 4 2 4 3 2 2 2" xfId="41147"/>
    <cellStyle name="Header2 4 4 2 4 3 2 3" xfId="26806"/>
    <cellStyle name="Header2 4 4 2 4 3 2 4" xfId="35996"/>
    <cellStyle name="Header2 4 4 2 4 3 3" xfId="19937"/>
    <cellStyle name="Header2 4 4 2 4 3 3 2" xfId="31754"/>
    <cellStyle name="Header2 4 4 2 4 3 3 2 2" xfId="41753"/>
    <cellStyle name="Header2 4 4 2 4 3 3 3" xfId="27412"/>
    <cellStyle name="Header2 4 4 2 4 3 3 4" xfId="36602"/>
    <cellStyle name="Header2 4 4 2 4 3 4" xfId="18111"/>
    <cellStyle name="Header2 4 4 2 4 3 4 2" xfId="29928"/>
    <cellStyle name="Header2 4 4 2 4 3 4 2 2" xfId="39927"/>
    <cellStyle name="Header2 4 4 2 4 3 4 3" xfId="25686"/>
    <cellStyle name="Header2 4 4 2 4 3 4 4" xfId="34776"/>
    <cellStyle name="Header2 4 4 2 4 3 5" xfId="20746"/>
    <cellStyle name="Header2 4 4 2 4 3 5 2" xfId="32563"/>
    <cellStyle name="Header2 4 4 2 4 3 5 2 2" xfId="42562"/>
    <cellStyle name="Header2 4 4 2 4 3 5 3" xfId="37411"/>
    <cellStyle name="Header2 4 4 2 4 3 6" xfId="28161"/>
    <cellStyle name="Header2 4 4 2 4 3 6 2" xfId="38160"/>
    <cellStyle name="Header2 4 4 2 4 3 7" xfId="21564"/>
    <cellStyle name="Header2 4 4 2 4 4" xfId="16045"/>
    <cellStyle name="Header2 4 4 2 4 4 2" xfId="27862"/>
    <cellStyle name="Header2 4 4 2 4 4 2 2" xfId="37861"/>
    <cellStyle name="Header2 4 4 2 4 4 3" xfId="23923"/>
    <cellStyle name="Header2 4 4 2 4 4 4" xfId="33013"/>
    <cellStyle name="Header2 4 4 2 4 5" xfId="16506"/>
    <cellStyle name="Header2 4 4 2 4 5 2" xfId="28323"/>
    <cellStyle name="Header2 4 4 2 4 5 2 2" xfId="38322"/>
    <cellStyle name="Header2 4 4 2 4 5 3" xfId="24081"/>
    <cellStyle name="Header2 4 4 2 4 5 4" xfId="33171"/>
    <cellStyle name="Header2 4 4 2 4 6" xfId="16807"/>
    <cellStyle name="Header2 4 4 2 4 6 2" xfId="28624"/>
    <cellStyle name="Header2 4 4 2 4 6 2 2" xfId="38623"/>
    <cellStyle name="Header2 4 4 2 4 6 3" xfId="24382"/>
    <cellStyle name="Header2 4 4 2 4 6 4" xfId="33472"/>
    <cellStyle name="Header2 4 4 2 4 7" xfId="17278"/>
    <cellStyle name="Header2 4 4 2 4 7 2" xfId="29095"/>
    <cellStyle name="Header2 4 4 2 4 7 2 2" xfId="39094"/>
    <cellStyle name="Header2 4 4 2 4 7 3" xfId="24853"/>
    <cellStyle name="Header2 4 4 2 4 7 4" xfId="33943"/>
    <cellStyle name="Header2 4 4 2 4 8" xfId="17581"/>
    <cellStyle name="Header2 4 4 2 4 8 2" xfId="29398"/>
    <cellStyle name="Header2 4 4 2 4 8 2 2" xfId="39397"/>
    <cellStyle name="Header2 4 4 2 4 8 3" xfId="25156"/>
    <cellStyle name="Header2 4 4 2 4 8 4" xfId="34246"/>
    <cellStyle name="Header2 4 4 2 4 9" xfId="18354"/>
    <cellStyle name="Header2 4 4 2 4 9 2" xfId="30171"/>
    <cellStyle name="Header2 4 4 2 4 9 2 2" xfId="40170"/>
    <cellStyle name="Header2 4 4 2 4 9 3" xfId="25829"/>
    <cellStyle name="Header2 4 4 2 4 9 4" xfId="35019"/>
    <cellStyle name="Header2 4 4 2 5" xfId="15760"/>
    <cellStyle name="Header2 4 4 2 5 2" xfId="19033"/>
    <cellStyle name="Header2 4 4 2 5 2 2" xfId="30850"/>
    <cellStyle name="Header2 4 4 2 5 2 2 2" xfId="40849"/>
    <cellStyle name="Header2 4 4 2 5 2 3" xfId="26508"/>
    <cellStyle name="Header2 4 4 2 5 2 4" xfId="35698"/>
    <cellStyle name="Header2 4 4 2 5 3" xfId="19639"/>
    <cellStyle name="Header2 4 4 2 5 3 2" xfId="31456"/>
    <cellStyle name="Header2 4 4 2 5 3 2 2" xfId="41455"/>
    <cellStyle name="Header2 4 4 2 5 3 3" xfId="27114"/>
    <cellStyle name="Header2 4 4 2 5 3 4" xfId="36304"/>
    <cellStyle name="Header2 4 4 2 5 4" xfId="17715"/>
    <cellStyle name="Header2 4 4 2 5 4 2" xfId="29532"/>
    <cellStyle name="Header2 4 4 2 5 4 2 2" xfId="39531"/>
    <cellStyle name="Header2 4 4 2 5 4 3" xfId="25290"/>
    <cellStyle name="Header2 4 4 2 5 4 4" xfId="34380"/>
    <cellStyle name="Header2 4 4 2 5 5" xfId="20448"/>
    <cellStyle name="Header2 4 4 2 5 5 2" xfId="32265"/>
    <cellStyle name="Header2 4 4 2 5 5 2 2" xfId="42264"/>
    <cellStyle name="Header2 4 4 2 5 5 3" xfId="37113"/>
    <cellStyle name="Header2 4 4 2 5 6" xfId="23638"/>
    <cellStyle name="Header2 4 4 2 5 6 2" xfId="20995"/>
    <cellStyle name="Header2 4 4 2 5 7" xfId="22810"/>
    <cellStyle name="Header2 4 4 2 5 7 2" xfId="21412"/>
    <cellStyle name="Header2 4 4 2 5 8" xfId="21695"/>
    <cellStyle name="Header2 4 4 2 6" xfId="16341"/>
    <cellStyle name="Header2 4 4 2 6 2" xfId="19334"/>
    <cellStyle name="Header2 4 4 2 6 2 2" xfId="31151"/>
    <cellStyle name="Header2 4 4 2 6 2 2 2" xfId="41150"/>
    <cellStyle name="Header2 4 4 2 6 2 3" xfId="26809"/>
    <cellStyle name="Header2 4 4 2 6 2 4" xfId="35999"/>
    <cellStyle name="Header2 4 4 2 6 3" xfId="19940"/>
    <cellStyle name="Header2 4 4 2 6 3 2" xfId="31757"/>
    <cellStyle name="Header2 4 4 2 6 3 2 2" xfId="41756"/>
    <cellStyle name="Header2 4 4 2 6 3 3" xfId="27415"/>
    <cellStyle name="Header2 4 4 2 6 3 4" xfId="36605"/>
    <cellStyle name="Header2 4 4 2 6 4" xfId="18108"/>
    <cellStyle name="Header2 4 4 2 6 4 2" xfId="29925"/>
    <cellStyle name="Header2 4 4 2 6 4 2 2" xfId="39924"/>
    <cellStyle name="Header2 4 4 2 6 4 3" xfId="25683"/>
    <cellStyle name="Header2 4 4 2 6 4 4" xfId="34773"/>
    <cellStyle name="Header2 4 4 2 6 5" xfId="20749"/>
    <cellStyle name="Header2 4 4 2 6 5 2" xfId="32566"/>
    <cellStyle name="Header2 4 4 2 6 5 2 2" xfId="42565"/>
    <cellStyle name="Header2 4 4 2 6 5 3" xfId="37414"/>
    <cellStyle name="Header2 4 4 2 6 6" xfId="28158"/>
    <cellStyle name="Header2 4 4 2 6 6 2" xfId="38157"/>
    <cellStyle name="Header2 4 4 2 6 7" xfId="22290"/>
    <cellStyle name="Header2 4 4 2 7" xfId="16042"/>
    <cellStyle name="Header2 4 4 2 7 2" xfId="27859"/>
    <cellStyle name="Header2 4 4 2 7 2 2" xfId="37858"/>
    <cellStyle name="Header2 4 4 2 7 3" xfId="23920"/>
    <cellStyle name="Header2 4 4 2 7 4" xfId="33010"/>
    <cellStyle name="Header2 4 4 2 8" xfId="16509"/>
    <cellStyle name="Header2 4 4 2 8 2" xfId="28326"/>
    <cellStyle name="Header2 4 4 2 8 2 2" xfId="38325"/>
    <cellStyle name="Header2 4 4 2 8 3" xfId="24084"/>
    <cellStyle name="Header2 4 4 2 8 4" xfId="33174"/>
    <cellStyle name="Header2 4 4 2 9" xfId="16810"/>
    <cellStyle name="Header2 4 4 2 9 2" xfId="28627"/>
    <cellStyle name="Header2 4 4 2 9 2 2" xfId="38626"/>
    <cellStyle name="Header2 4 4 2 9 3" xfId="24385"/>
    <cellStyle name="Header2 4 4 2 9 4" xfId="33475"/>
    <cellStyle name="Header2 4 4 3" xfId="7957"/>
    <cellStyle name="Header2 4 4 3 10" xfId="17279"/>
    <cellStyle name="Header2 4 4 3 10 2" xfId="29096"/>
    <cellStyle name="Header2 4 4 3 10 2 2" xfId="39095"/>
    <cellStyle name="Header2 4 4 3 10 3" xfId="24854"/>
    <cellStyle name="Header2 4 4 3 10 4" xfId="33944"/>
    <cellStyle name="Header2 4 4 3 11" xfId="17582"/>
    <cellStyle name="Header2 4 4 3 11 2" xfId="29399"/>
    <cellStyle name="Header2 4 4 3 11 2 2" xfId="39398"/>
    <cellStyle name="Header2 4 4 3 11 3" xfId="25157"/>
    <cellStyle name="Header2 4 4 3 11 4" xfId="34247"/>
    <cellStyle name="Header2 4 4 3 12" xfId="18353"/>
    <cellStyle name="Header2 4 4 3 12 2" xfId="30170"/>
    <cellStyle name="Header2 4 4 3 12 2 2" xfId="40169"/>
    <cellStyle name="Header2 4 4 3 12 3" xfId="25828"/>
    <cellStyle name="Header2 4 4 3 12 4" xfId="35018"/>
    <cellStyle name="Header2 4 4 3 13" xfId="18654"/>
    <cellStyle name="Header2 4 4 3 13 2" xfId="30471"/>
    <cellStyle name="Header2 4 4 3 13 2 2" xfId="40470"/>
    <cellStyle name="Header2 4 4 3 13 3" xfId="26129"/>
    <cellStyle name="Header2 4 4 3 13 4" xfId="35319"/>
    <cellStyle name="Header2 4 4 3 14" xfId="20176"/>
    <cellStyle name="Header2 4 4 3 14 2" xfId="31993"/>
    <cellStyle name="Header2 4 4 3 14 2 2" xfId="41992"/>
    <cellStyle name="Header2 4 4 3 14 3" xfId="36841"/>
    <cellStyle name="Header2 4 4 3 15" xfId="23145"/>
    <cellStyle name="Header2 4 4 3 15 2" xfId="21262"/>
    <cellStyle name="Header2 4 4 3 16" xfId="22539"/>
    <cellStyle name="Header2 4 4 3 2" xfId="7958"/>
    <cellStyle name="Header2 4 4 3 2 10" xfId="18653"/>
    <cellStyle name="Header2 4 4 3 2 10 2" xfId="30470"/>
    <cellStyle name="Header2 4 4 3 2 10 2 2" xfId="40469"/>
    <cellStyle name="Header2 4 4 3 2 10 3" xfId="26128"/>
    <cellStyle name="Header2 4 4 3 2 10 4" xfId="35318"/>
    <cellStyle name="Header2 4 4 3 2 11" xfId="20277"/>
    <cellStyle name="Header2 4 4 3 2 11 2" xfId="32094"/>
    <cellStyle name="Header2 4 4 3 2 11 2 2" xfId="42093"/>
    <cellStyle name="Header2 4 4 3 2 11 3" xfId="36942"/>
    <cellStyle name="Header2 4 4 3 2 12" xfId="23144"/>
    <cellStyle name="Header2 4 4 3 2 12 2" xfId="22015"/>
    <cellStyle name="Header2 4 4 3 2 13" xfId="22538"/>
    <cellStyle name="Header2 4 4 3 2 2" xfId="15765"/>
    <cellStyle name="Header2 4 4 3 2 2 2" xfId="19028"/>
    <cellStyle name="Header2 4 4 3 2 2 2 2" xfId="30845"/>
    <cellStyle name="Header2 4 4 3 2 2 2 2 2" xfId="40844"/>
    <cellStyle name="Header2 4 4 3 2 2 2 3" xfId="26503"/>
    <cellStyle name="Header2 4 4 3 2 2 2 4" xfId="35693"/>
    <cellStyle name="Header2 4 4 3 2 2 3" xfId="19634"/>
    <cellStyle name="Header2 4 4 3 2 2 3 2" xfId="31451"/>
    <cellStyle name="Header2 4 4 3 2 2 3 2 2" xfId="41450"/>
    <cellStyle name="Header2 4 4 3 2 2 3 3" xfId="27109"/>
    <cellStyle name="Header2 4 4 3 2 2 3 4" xfId="36299"/>
    <cellStyle name="Header2 4 4 3 2 2 4" xfId="17718"/>
    <cellStyle name="Header2 4 4 3 2 2 4 2" xfId="29535"/>
    <cellStyle name="Header2 4 4 3 2 2 4 2 2" xfId="39534"/>
    <cellStyle name="Header2 4 4 3 2 2 4 3" xfId="25293"/>
    <cellStyle name="Header2 4 4 3 2 2 4 4" xfId="34383"/>
    <cellStyle name="Header2 4 4 3 2 2 5" xfId="20443"/>
    <cellStyle name="Header2 4 4 3 2 2 5 2" xfId="32260"/>
    <cellStyle name="Header2 4 4 3 2 2 5 2 2" xfId="42259"/>
    <cellStyle name="Header2 4 4 3 2 2 5 3" xfId="37108"/>
    <cellStyle name="Header2 4 4 3 2 2 6" xfId="23643"/>
    <cellStyle name="Header2 4 4 3 2 2 6 2" xfId="20989"/>
    <cellStyle name="Header2 4 4 3 2 2 7" xfId="22807"/>
    <cellStyle name="Header2 4 4 3 2 2 7 2" xfId="22201"/>
    <cellStyle name="Header2 4 4 3 2 2 8" xfId="21698"/>
    <cellStyle name="Header2 4 4 3 2 3" xfId="16346"/>
    <cellStyle name="Header2 4 4 3 2 3 2" xfId="19329"/>
    <cellStyle name="Header2 4 4 3 2 3 2 2" xfId="31146"/>
    <cellStyle name="Header2 4 4 3 2 3 2 2 2" xfId="41145"/>
    <cellStyle name="Header2 4 4 3 2 3 2 3" xfId="26804"/>
    <cellStyle name="Header2 4 4 3 2 3 2 4" xfId="35994"/>
    <cellStyle name="Header2 4 4 3 2 3 3" xfId="19935"/>
    <cellStyle name="Header2 4 4 3 2 3 3 2" xfId="31752"/>
    <cellStyle name="Header2 4 4 3 2 3 3 2 2" xfId="41751"/>
    <cellStyle name="Header2 4 4 3 2 3 3 3" xfId="27410"/>
    <cellStyle name="Header2 4 4 3 2 3 3 4" xfId="36600"/>
    <cellStyle name="Header2 4 4 3 2 3 4" xfId="18112"/>
    <cellStyle name="Header2 4 4 3 2 3 4 2" xfId="29929"/>
    <cellStyle name="Header2 4 4 3 2 3 4 2 2" xfId="39928"/>
    <cellStyle name="Header2 4 4 3 2 3 4 3" xfId="25687"/>
    <cellStyle name="Header2 4 4 3 2 3 4 4" xfId="34777"/>
    <cellStyle name="Header2 4 4 3 2 3 5" xfId="20744"/>
    <cellStyle name="Header2 4 4 3 2 3 5 2" xfId="32561"/>
    <cellStyle name="Header2 4 4 3 2 3 5 2 2" xfId="42560"/>
    <cellStyle name="Header2 4 4 3 2 3 5 3" xfId="37409"/>
    <cellStyle name="Header2 4 4 3 2 3 6" xfId="28163"/>
    <cellStyle name="Header2 4 4 3 2 3 6 2" xfId="38162"/>
    <cellStyle name="Header2 4 4 3 2 3 7" xfId="22293"/>
    <cellStyle name="Header2 4 4 3 2 4" xfId="16047"/>
    <cellStyle name="Header2 4 4 3 2 4 2" xfId="27864"/>
    <cellStyle name="Header2 4 4 3 2 4 2 2" xfId="37863"/>
    <cellStyle name="Header2 4 4 3 2 4 3" xfId="23925"/>
    <cellStyle name="Header2 4 4 3 2 4 4" xfId="33015"/>
    <cellStyle name="Header2 4 4 3 2 5" xfId="16504"/>
    <cellStyle name="Header2 4 4 3 2 5 2" xfId="28321"/>
    <cellStyle name="Header2 4 4 3 2 5 2 2" xfId="38320"/>
    <cellStyle name="Header2 4 4 3 2 5 3" xfId="24079"/>
    <cellStyle name="Header2 4 4 3 2 5 4" xfId="33169"/>
    <cellStyle name="Header2 4 4 3 2 6" xfId="16805"/>
    <cellStyle name="Header2 4 4 3 2 6 2" xfId="28622"/>
    <cellStyle name="Header2 4 4 3 2 6 2 2" xfId="38621"/>
    <cellStyle name="Header2 4 4 3 2 6 3" xfId="24380"/>
    <cellStyle name="Header2 4 4 3 2 6 4" xfId="33470"/>
    <cellStyle name="Header2 4 4 3 2 7" xfId="17280"/>
    <cellStyle name="Header2 4 4 3 2 7 2" xfId="29097"/>
    <cellStyle name="Header2 4 4 3 2 7 2 2" xfId="39096"/>
    <cellStyle name="Header2 4 4 3 2 7 3" xfId="24855"/>
    <cellStyle name="Header2 4 4 3 2 7 4" xfId="33945"/>
    <cellStyle name="Header2 4 4 3 2 8" xfId="17583"/>
    <cellStyle name="Header2 4 4 3 2 8 2" xfId="29400"/>
    <cellStyle name="Header2 4 4 3 2 8 2 2" xfId="39399"/>
    <cellStyle name="Header2 4 4 3 2 8 3" xfId="25158"/>
    <cellStyle name="Header2 4 4 3 2 8 4" xfId="34248"/>
    <cellStyle name="Header2 4 4 3 2 9" xfId="18352"/>
    <cellStyle name="Header2 4 4 3 2 9 2" xfId="30169"/>
    <cellStyle name="Header2 4 4 3 2 9 2 2" xfId="40168"/>
    <cellStyle name="Header2 4 4 3 2 9 3" xfId="25827"/>
    <cellStyle name="Header2 4 4 3 2 9 4" xfId="35017"/>
    <cellStyle name="Header2 4 4 3 3" xfId="7959"/>
    <cellStyle name="Header2 4 4 3 3 10" xfId="18652"/>
    <cellStyle name="Header2 4 4 3 3 10 2" xfId="30469"/>
    <cellStyle name="Header2 4 4 3 3 10 2 2" xfId="40468"/>
    <cellStyle name="Header2 4 4 3 3 10 3" xfId="26127"/>
    <cellStyle name="Header2 4 4 3 3 10 4" xfId="35317"/>
    <cellStyle name="Header2 4 4 3 3 11" xfId="18284"/>
    <cellStyle name="Header2 4 4 3 3 11 2" xfId="30101"/>
    <cellStyle name="Header2 4 4 3 3 11 2 2" xfId="40100"/>
    <cellStyle name="Header2 4 4 3 3 11 3" xfId="34949"/>
    <cellStyle name="Header2 4 4 3 3 12" xfId="23143"/>
    <cellStyle name="Header2 4 4 3 3 12 2" xfId="22016"/>
    <cellStyle name="Header2 4 4 3 3 13" xfId="22537"/>
    <cellStyle name="Header2 4 4 3 3 2" xfId="15766"/>
    <cellStyle name="Header2 4 4 3 3 2 2" xfId="19027"/>
    <cellStyle name="Header2 4 4 3 3 2 2 2" xfId="30844"/>
    <cellStyle name="Header2 4 4 3 3 2 2 2 2" xfId="40843"/>
    <cellStyle name="Header2 4 4 3 3 2 2 3" xfId="26502"/>
    <cellStyle name="Header2 4 4 3 3 2 2 4" xfId="35692"/>
    <cellStyle name="Header2 4 4 3 3 2 3" xfId="19633"/>
    <cellStyle name="Header2 4 4 3 3 2 3 2" xfId="31450"/>
    <cellStyle name="Header2 4 4 3 3 2 3 2 2" xfId="41449"/>
    <cellStyle name="Header2 4 4 3 3 2 3 3" xfId="27108"/>
    <cellStyle name="Header2 4 4 3 3 2 3 4" xfId="36298"/>
    <cellStyle name="Header2 4 4 3 3 2 4" xfId="17829"/>
    <cellStyle name="Header2 4 4 3 3 2 4 2" xfId="29646"/>
    <cellStyle name="Header2 4 4 3 3 2 4 2 2" xfId="39645"/>
    <cellStyle name="Header2 4 4 3 3 2 4 3" xfId="25404"/>
    <cellStyle name="Header2 4 4 3 3 2 4 4" xfId="34494"/>
    <cellStyle name="Header2 4 4 3 3 2 5" xfId="20442"/>
    <cellStyle name="Header2 4 4 3 3 2 5 2" xfId="32259"/>
    <cellStyle name="Header2 4 4 3 3 2 5 2 2" xfId="42258"/>
    <cellStyle name="Header2 4 4 3 3 2 5 3" xfId="37107"/>
    <cellStyle name="Header2 4 4 3 3 2 6" xfId="23644"/>
    <cellStyle name="Header2 4 4 3 3 2 6 2" xfId="21789"/>
    <cellStyle name="Header2 4 4 3 3 2 7" xfId="22953"/>
    <cellStyle name="Header2 4 4 3 3 2 7 2" xfId="22135"/>
    <cellStyle name="Header2 4 4 3 3 2 8" xfId="22461"/>
    <cellStyle name="Header2 4 4 3 3 3" xfId="16347"/>
    <cellStyle name="Header2 4 4 3 3 3 2" xfId="19328"/>
    <cellStyle name="Header2 4 4 3 3 3 2 2" xfId="31145"/>
    <cellStyle name="Header2 4 4 3 3 3 2 2 2" xfId="41144"/>
    <cellStyle name="Header2 4 4 3 3 3 2 3" xfId="26803"/>
    <cellStyle name="Header2 4 4 3 3 3 2 4" xfId="35993"/>
    <cellStyle name="Header2 4 4 3 3 3 3" xfId="19934"/>
    <cellStyle name="Header2 4 4 3 3 3 3 2" xfId="31751"/>
    <cellStyle name="Header2 4 4 3 3 3 3 2 2" xfId="41750"/>
    <cellStyle name="Header2 4 4 3 3 3 3 3" xfId="27409"/>
    <cellStyle name="Header2 4 4 3 3 3 3 4" xfId="36599"/>
    <cellStyle name="Header2 4 4 3 3 3 4" xfId="18113"/>
    <cellStyle name="Header2 4 4 3 3 3 4 2" xfId="29930"/>
    <cellStyle name="Header2 4 4 3 3 3 4 2 2" xfId="39929"/>
    <cellStyle name="Header2 4 4 3 3 3 4 3" xfId="25688"/>
    <cellStyle name="Header2 4 4 3 3 3 4 4" xfId="34778"/>
    <cellStyle name="Header2 4 4 3 3 3 5" xfId="20743"/>
    <cellStyle name="Header2 4 4 3 3 3 5 2" xfId="32560"/>
    <cellStyle name="Header2 4 4 3 3 3 5 2 2" xfId="42559"/>
    <cellStyle name="Header2 4 4 3 3 3 5 3" xfId="37408"/>
    <cellStyle name="Header2 4 4 3 3 3 6" xfId="28164"/>
    <cellStyle name="Header2 4 4 3 3 3 6 2" xfId="38163"/>
    <cellStyle name="Header2 4 4 3 3 3 7" xfId="22294"/>
    <cellStyle name="Header2 4 4 3 3 4" xfId="16048"/>
    <cellStyle name="Header2 4 4 3 3 4 2" xfId="27865"/>
    <cellStyle name="Header2 4 4 3 3 4 2 2" xfId="37864"/>
    <cellStyle name="Header2 4 4 3 3 4 3" xfId="23926"/>
    <cellStyle name="Header2 4 4 3 3 4 4" xfId="33016"/>
    <cellStyle name="Header2 4 4 3 3 5" xfId="16503"/>
    <cellStyle name="Header2 4 4 3 3 5 2" xfId="28320"/>
    <cellStyle name="Header2 4 4 3 3 5 2 2" xfId="38319"/>
    <cellStyle name="Header2 4 4 3 3 5 3" xfId="24078"/>
    <cellStyle name="Header2 4 4 3 3 5 4" xfId="33168"/>
    <cellStyle name="Header2 4 4 3 3 6" xfId="16804"/>
    <cellStyle name="Header2 4 4 3 3 6 2" xfId="28621"/>
    <cellStyle name="Header2 4 4 3 3 6 2 2" xfId="38620"/>
    <cellStyle name="Header2 4 4 3 3 6 3" xfId="24379"/>
    <cellStyle name="Header2 4 4 3 3 6 4" xfId="33469"/>
    <cellStyle name="Header2 4 4 3 3 7" xfId="17281"/>
    <cellStyle name="Header2 4 4 3 3 7 2" xfId="29098"/>
    <cellStyle name="Header2 4 4 3 3 7 2 2" xfId="39097"/>
    <cellStyle name="Header2 4 4 3 3 7 3" xfId="24856"/>
    <cellStyle name="Header2 4 4 3 3 7 4" xfId="33946"/>
    <cellStyle name="Header2 4 4 3 3 8" xfId="17584"/>
    <cellStyle name="Header2 4 4 3 3 8 2" xfId="29401"/>
    <cellStyle name="Header2 4 4 3 3 8 2 2" xfId="39400"/>
    <cellStyle name="Header2 4 4 3 3 8 3" xfId="25159"/>
    <cellStyle name="Header2 4 4 3 3 8 4" xfId="34249"/>
    <cellStyle name="Header2 4 4 3 3 9" xfId="18351"/>
    <cellStyle name="Header2 4 4 3 3 9 2" xfId="30168"/>
    <cellStyle name="Header2 4 4 3 3 9 2 2" xfId="40167"/>
    <cellStyle name="Header2 4 4 3 3 9 3" xfId="25826"/>
    <cellStyle name="Header2 4 4 3 3 9 4" xfId="35016"/>
    <cellStyle name="Header2 4 4 3 4" xfId="7960"/>
    <cellStyle name="Header2 4 4 3 4 10" xfId="18651"/>
    <cellStyle name="Header2 4 4 3 4 10 2" xfId="30468"/>
    <cellStyle name="Header2 4 4 3 4 10 2 2" xfId="40467"/>
    <cellStyle name="Header2 4 4 3 4 10 3" xfId="26126"/>
    <cellStyle name="Header2 4 4 3 4 10 4" xfId="35316"/>
    <cellStyle name="Header2 4 4 3 4 11" xfId="20175"/>
    <cellStyle name="Header2 4 4 3 4 11 2" xfId="31992"/>
    <cellStyle name="Header2 4 4 3 4 11 2 2" xfId="41991"/>
    <cellStyle name="Header2 4 4 3 4 11 3" xfId="36840"/>
    <cellStyle name="Header2 4 4 3 4 12" xfId="23142"/>
    <cellStyle name="Header2 4 4 3 4 12 2" xfId="22017"/>
    <cellStyle name="Header2 4 4 3 4 13" xfId="22536"/>
    <cellStyle name="Header2 4 4 3 4 2" xfId="15767"/>
    <cellStyle name="Header2 4 4 3 4 2 2" xfId="19026"/>
    <cellStyle name="Header2 4 4 3 4 2 2 2" xfId="30843"/>
    <cellStyle name="Header2 4 4 3 4 2 2 2 2" xfId="40842"/>
    <cellStyle name="Header2 4 4 3 4 2 2 3" xfId="26501"/>
    <cellStyle name="Header2 4 4 3 4 2 2 4" xfId="35691"/>
    <cellStyle name="Header2 4 4 3 4 2 3" xfId="19632"/>
    <cellStyle name="Header2 4 4 3 4 2 3 2" xfId="31449"/>
    <cellStyle name="Header2 4 4 3 4 2 3 2 2" xfId="41448"/>
    <cellStyle name="Header2 4 4 3 4 2 3 3" xfId="27107"/>
    <cellStyle name="Header2 4 4 3 4 2 3 4" xfId="36297"/>
    <cellStyle name="Header2 4 4 3 4 2 4" xfId="17719"/>
    <cellStyle name="Header2 4 4 3 4 2 4 2" xfId="29536"/>
    <cellStyle name="Header2 4 4 3 4 2 4 2 2" xfId="39535"/>
    <cellStyle name="Header2 4 4 3 4 2 4 3" xfId="25294"/>
    <cellStyle name="Header2 4 4 3 4 2 4 4" xfId="34384"/>
    <cellStyle name="Header2 4 4 3 4 2 5" xfId="20441"/>
    <cellStyle name="Header2 4 4 3 4 2 5 2" xfId="32258"/>
    <cellStyle name="Header2 4 4 3 4 2 5 2 2" xfId="42257"/>
    <cellStyle name="Header2 4 4 3 4 2 5 3" xfId="37106"/>
    <cellStyle name="Header2 4 4 3 4 2 6" xfId="23645"/>
    <cellStyle name="Header2 4 4 3 4 2 6 2" xfId="21788"/>
    <cellStyle name="Header2 4 4 3 4 2 7" xfId="22952"/>
    <cellStyle name="Header2 4 4 3 4 2 7 2" xfId="21333"/>
    <cellStyle name="Header2 4 4 3 4 2 8" xfId="21699"/>
    <cellStyle name="Header2 4 4 3 4 3" xfId="16348"/>
    <cellStyle name="Header2 4 4 3 4 3 2" xfId="19327"/>
    <cellStyle name="Header2 4 4 3 4 3 2 2" xfId="31144"/>
    <cellStyle name="Header2 4 4 3 4 3 2 2 2" xfId="41143"/>
    <cellStyle name="Header2 4 4 3 4 3 2 3" xfId="26802"/>
    <cellStyle name="Header2 4 4 3 4 3 2 4" xfId="35992"/>
    <cellStyle name="Header2 4 4 3 4 3 3" xfId="19933"/>
    <cellStyle name="Header2 4 4 3 4 3 3 2" xfId="31750"/>
    <cellStyle name="Header2 4 4 3 4 3 3 2 2" xfId="41749"/>
    <cellStyle name="Header2 4 4 3 4 3 3 3" xfId="27408"/>
    <cellStyle name="Header2 4 4 3 4 3 3 4" xfId="36598"/>
    <cellStyle name="Header2 4 4 3 4 3 4" xfId="18114"/>
    <cellStyle name="Header2 4 4 3 4 3 4 2" xfId="29931"/>
    <cellStyle name="Header2 4 4 3 4 3 4 2 2" xfId="39930"/>
    <cellStyle name="Header2 4 4 3 4 3 4 3" xfId="25689"/>
    <cellStyle name="Header2 4 4 3 4 3 4 4" xfId="34779"/>
    <cellStyle name="Header2 4 4 3 4 3 5" xfId="20742"/>
    <cellStyle name="Header2 4 4 3 4 3 5 2" xfId="32559"/>
    <cellStyle name="Header2 4 4 3 4 3 5 2 2" xfId="42558"/>
    <cellStyle name="Header2 4 4 3 4 3 5 3" xfId="37407"/>
    <cellStyle name="Header2 4 4 3 4 3 6" xfId="28165"/>
    <cellStyle name="Header2 4 4 3 4 3 6 2" xfId="38164"/>
    <cellStyle name="Header2 4 4 3 4 3 7" xfId="22295"/>
    <cellStyle name="Header2 4 4 3 4 4" xfId="16049"/>
    <cellStyle name="Header2 4 4 3 4 4 2" xfId="27866"/>
    <cellStyle name="Header2 4 4 3 4 4 2 2" xfId="37865"/>
    <cellStyle name="Header2 4 4 3 4 4 3" xfId="23927"/>
    <cellStyle name="Header2 4 4 3 4 4 4" xfId="33017"/>
    <cellStyle name="Header2 4 4 3 4 5" xfId="16502"/>
    <cellStyle name="Header2 4 4 3 4 5 2" xfId="28319"/>
    <cellStyle name="Header2 4 4 3 4 5 2 2" xfId="38318"/>
    <cellStyle name="Header2 4 4 3 4 5 3" xfId="24077"/>
    <cellStyle name="Header2 4 4 3 4 5 4" xfId="33167"/>
    <cellStyle name="Header2 4 4 3 4 6" xfId="16803"/>
    <cellStyle name="Header2 4 4 3 4 6 2" xfId="28620"/>
    <cellStyle name="Header2 4 4 3 4 6 2 2" xfId="38619"/>
    <cellStyle name="Header2 4 4 3 4 6 3" xfId="24378"/>
    <cellStyle name="Header2 4 4 3 4 6 4" xfId="33468"/>
    <cellStyle name="Header2 4 4 3 4 7" xfId="17282"/>
    <cellStyle name="Header2 4 4 3 4 7 2" xfId="29099"/>
    <cellStyle name="Header2 4 4 3 4 7 2 2" xfId="39098"/>
    <cellStyle name="Header2 4 4 3 4 7 3" xfId="24857"/>
    <cellStyle name="Header2 4 4 3 4 7 4" xfId="33947"/>
    <cellStyle name="Header2 4 4 3 4 8" xfId="17585"/>
    <cellStyle name="Header2 4 4 3 4 8 2" xfId="29402"/>
    <cellStyle name="Header2 4 4 3 4 8 2 2" xfId="39401"/>
    <cellStyle name="Header2 4 4 3 4 8 3" xfId="25160"/>
    <cellStyle name="Header2 4 4 3 4 8 4" xfId="34250"/>
    <cellStyle name="Header2 4 4 3 4 9" xfId="18350"/>
    <cellStyle name="Header2 4 4 3 4 9 2" xfId="30167"/>
    <cellStyle name="Header2 4 4 3 4 9 2 2" xfId="40166"/>
    <cellStyle name="Header2 4 4 3 4 9 3" xfId="25825"/>
    <cellStyle name="Header2 4 4 3 4 9 4" xfId="35015"/>
    <cellStyle name="Header2 4 4 3 5" xfId="15764"/>
    <cellStyle name="Header2 4 4 3 5 2" xfId="19029"/>
    <cellStyle name="Header2 4 4 3 5 2 2" xfId="30846"/>
    <cellStyle name="Header2 4 4 3 5 2 2 2" xfId="40845"/>
    <cellStyle name="Header2 4 4 3 5 2 3" xfId="26504"/>
    <cellStyle name="Header2 4 4 3 5 2 4" xfId="35694"/>
    <cellStyle name="Header2 4 4 3 5 3" xfId="19635"/>
    <cellStyle name="Header2 4 4 3 5 3 2" xfId="31452"/>
    <cellStyle name="Header2 4 4 3 5 3 2 2" xfId="41451"/>
    <cellStyle name="Header2 4 4 3 5 3 3" xfId="27110"/>
    <cellStyle name="Header2 4 4 3 5 3 4" xfId="36300"/>
    <cellStyle name="Header2 4 4 3 5 4" xfId="17717"/>
    <cellStyle name="Header2 4 4 3 5 4 2" xfId="29534"/>
    <cellStyle name="Header2 4 4 3 5 4 2 2" xfId="39533"/>
    <cellStyle name="Header2 4 4 3 5 4 3" xfId="25292"/>
    <cellStyle name="Header2 4 4 3 5 4 4" xfId="34382"/>
    <cellStyle name="Header2 4 4 3 5 5" xfId="20444"/>
    <cellStyle name="Header2 4 4 3 5 5 2" xfId="32261"/>
    <cellStyle name="Header2 4 4 3 5 5 2 2" xfId="42260"/>
    <cellStyle name="Header2 4 4 3 5 5 3" xfId="37109"/>
    <cellStyle name="Header2 4 4 3 5 6" xfId="23642"/>
    <cellStyle name="Header2 4 4 3 5 6 2" xfId="20987"/>
    <cellStyle name="Header2 4 4 3 5 7" xfId="22808"/>
    <cellStyle name="Header2 4 4 3 5 7 2" xfId="22200"/>
    <cellStyle name="Header2 4 4 3 5 8" xfId="22460"/>
    <cellStyle name="Header2 4 4 3 6" xfId="16345"/>
    <cellStyle name="Header2 4 4 3 6 2" xfId="19330"/>
    <cellStyle name="Header2 4 4 3 6 2 2" xfId="31147"/>
    <cellStyle name="Header2 4 4 3 6 2 2 2" xfId="41146"/>
    <cellStyle name="Header2 4 4 3 6 2 3" xfId="26805"/>
    <cellStyle name="Header2 4 4 3 6 2 4" xfId="35995"/>
    <cellStyle name="Header2 4 4 3 6 3" xfId="19936"/>
    <cellStyle name="Header2 4 4 3 6 3 2" xfId="31753"/>
    <cellStyle name="Header2 4 4 3 6 3 2 2" xfId="41752"/>
    <cellStyle name="Header2 4 4 3 6 3 3" xfId="27411"/>
    <cellStyle name="Header2 4 4 3 6 3 4" xfId="36601"/>
    <cellStyle name="Header2 4 4 3 6 4" xfId="17796"/>
    <cellStyle name="Header2 4 4 3 6 4 2" xfId="29613"/>
    <cellStyle name="Header2 4 4 3 6 4 2 2" xfId="39612"/>
    <cellStyle name="Header2 4 4 3 6 4 3" xfId="25371"/>
    <cellStyle name="Header2 4 4 3 6 4 4" xfId="34461"/>
    <cellStyle name="Header2 4 4 3 6 5" xfId="20745"/>
    <cellStyle name="Header2 4 4 3 6 5 2" xfId="32562"/>
    <cellStyle name="Header2 4 4 3 6 5 2 2" xfId="42561"/>
    <cellStyle name="Header2 4 4 3 6 5 3" xfId="37410"/>
    <cellStyle name="Header2 4 4 3 6 6" xfId="28162"/>
    <cellStyle name="Header2 4 4 3 6 6 2" xfId="38161"/>
    <cellStyle name="Header2 4 4 3 6 7" xfId="22292"/>
    <cellStyle name="Header2 4 4 3 7" xfId="16046"/>
    <cellStyle name="Header2 4 4 3 7 2" xfId="27863"/>
    <cellStyle name="Header2 4 4 3 7 2 2" xfId="37862"/>
    <cellStyle name="Header2 4 4 3 7 3" xfId="23924"/>
    <cellStyle name="Header2 4 4 3 7 4" xfId="33014"/>
    <cellStyle name="Header2 4 4 3 8" xfId="16505"/>
    <cellStyle name="Header2 4 4 3 8 2" xfId="28322"/>
    <cellStyle name="Header2 4 4 3 8 2 2" xfId="38321"/>
    <cellStyle name="Header2 4 4 3 8 3" xfId="24080"/>
    <cellStyle name="Header2 4 4 3 8 4" xfId="33170"/>
    <cellStyle name="Header2 4 4 3 9" xfId="16806"/>
    <cellStyle name="Header2 4 4 3 9 2" xfId="28623"/>
    <cellStyle name="Header2 4 4 3 9 2 2" xfId="38622"/>
    <cellStyle name="Header2 4 4 3 9 3" xfId="24381"/>
    <cellStyle name="Header2 4 4 3 9 4" xfId="33471"/>
    <cellStyle name="Header2 4 4 4" xfId="7961"/>
    <cellStyle name="Header2 4 4 4 10" xfId="18650"/>
    <cellStyle name="Header2 4 4 4 10 2" xfId="30467"/>
    <cellStyle name="Header2 4 4 4 10 2 2" xfId="40466"/>
    <cellStyle name="Header2 4 4 4 10 3" xfId="26125"/>
    <cellStyle name="Header2 4 4 4 10 4" xfId="35315"/>
    <cellStyle name="Header2 4 4 4 11" xfId="20276"/>
    <cellStyle name="Header2 4 4 4 11 2" xfId="32093"/>
    <cellStyle name="Header2 4 4 4 11 2 2" xfId="42092"/>
    <cellStyle name="Header2 4 4 4 11 3" xfId="36941"/>
    <cellStyle name="Header2 4 4 4 12" xfId="23141"/>
    <cellStyle name="Header2 4 4 4 12 2" xfId="22018"/>
    <cellStyle name="Header2 4 4 4 13" xfId="22535"/>
    <cellStyle name="Header2 4 4 4 2" xfId="15768"/>
    <cellStyle name="Header2 4 4 4 2 2" xfId="19025"/>
    <cellStyle name="Header2 4 4 4 2 2 2" xfId="30842"/>
    <cellStyle name="Header2 4 4 4 2 2 2 2" xfId="40841"/>
    <cellStyle name="Header2 4 4 4 2 2 3" xfId="26500"/>
    <cellStyle name="Header2 4 4 4 2 2 4" xfId="35690"/>
    <cellStyle name="Header2 4 4 4 2 3" xfId="19631"/>
    <cellStyle name="Header2 4 4 4 2 3 2" xfId="31448"/>
    <cellStyle name="Header2 4 4 4 2 3 2 2" xfId="41447"/>
    <cellStyle name="Header2 4 4 4 2 3 3" xfId="27106"/>
    <cellStyle name="Header2 4 4 4 2 3 4" xfId="36296"/>
    <cellStyle name="Header2 4 4 4 2 4" xfId="18171"/>
    <cellStyle name="Header2 4 4 4 2 4 2" xfId="29988"/>
    <cellStyle name="Header2 4 4 4 2 4 2 2" xfId="39987"/>
    <cellStyle name="Header2 4 4 4 2 4 3" xfId="25746"/>
    <cellStyle name="Header2 4 4 4 2 4 4" xfId="34836"/>
    <cellStyle name="Header2 4 4 4 2 5" xfId="20440"/>
    <cellStyle name="Header2 4 4 4 2 5 2" xfId="32257"/>
    <cellStyle name="Header2 4 4 4 2 5 2 2" xfId="42256"/>
    <cellStyle name="Header2 4 4 4 2 5 3" xfId="37105"/>
    <cellStyle name="Header2 4 4 4 2 6" xfId="23646"/>
    <cellStyle name="Header2 4 4 4 2 6 2" xfId="21787"/>
    <cellStyle name="Header2 4 4 4 2 7" xfId="22951"/>
    <cellStyle name="Header2 4 4 4 2 7 2" xfId="21334"/>
    <cellStyle name="Header2 4 4 4 2 8" xfId="21700"/>
    <cellStyle name="Header2 4 4 4 3" xfId="16349"/>
    <cellStyle name="Header2 4 4 4 3 2" xfId="19326"/>
    <cellStyle name="Header2 4 4 4 3 2 2" xfId="31143"/>
    <cellStyle name="Header2 4 4 4 3 2 2 2" xfId="41142"/>
    <cellStyle name="Header2 4 4 4 3 2 3" xfId="26801"/>
    <cellStyle name="Header2 4 4 4 3 2 4" xfId="35991"/>
    <cellStyle name="Header2 4 4 4 3 3" xfId="19932"/>
    <cellStyle name="Header2 4 4 4 3 3 2" xfId="31749"/>
    <cellStyle name="Header2 4 4 4 3 3 2 2" xfId="41748"/>
    <cellStyle name="Header2 4 4 4 3 3 3" xfId="27407"/>
    <cellStyle name="Header2 4 4 4 3 3 4" xfId="36597"/>
    <cellStyle name="Header2 4 4 4 3 4" xfId="18115"/>
    <cellStyle name="Header2 4 4 4 3 4 2" xfId="29932"/>
    <cellStyle name="Header2 4 4 4 3 4 2 2" xfId="39931"/>
    <cellStyle name="Header2 4 4 4 3 4 3" xfId="25690"/>
    <cellStyle name="Header2 4 4 4 3 4 4" xfId="34780"/>
    <cellStyle name="Header2 4 4 4 3 5" xfId="20741"/>
    <cellStyle name="Header2 4 4 4 3 5 2" xfId="32558"/>
    <cellStyle name="Header2 4 4 4 3 5 2 2" xfId="42557"/>
    <cellStyle name="Header2 4 4 4 3 5 3" xfId="37406"/>
    <cellStyle name="Header2 4 4 4 3 6" xfId="28166"/>
    <cellStyle name="Header2 4 4 4 3 6 2" xfId="38165"/>
    <cellStyle name="Header2 4 4 4 3 7" xfId="22296"/>
    <cellStyle name="Header2 4 4 4 4" xfId="15857"/>
    <cellStyle name="Header2 4 4 4 4 2" xfId="27674"/>
    <cellStyle name="Header2 4 4 4 4 2 2" xfId="37673"/>
    <cellStyle name="Header2 4 4 4 4 3" xfId="23735"/>
    <cellStyle name="Header2 4 4 4 4 4" xfId="32825"/>
    <cellStyle name="Header2 4 4 4 5" xfId="16501"/>
    <cellStyle name="Header2 4 4 4 5 2" xfId="28318"/>
    <cellStyle name="Header2 4 4 4 5 2 2" xfId="38317"/>
    <cellStyle name="Header2 4 4 4 5 3" xfId="24076"/>
    <cellStyle name="Header2 4 4 4 5 4" xfId="33166"/>
    <cellStyle name="Header2 4 4 4 6" xfId="16802"/>
    <cellStyle name="Header2 4 4 4 6 2" xfId="28619"/>
    <cellStyle name="Header2 4 4 4 6 2 2" xfId="38618"/>
    <cellStyle name="Header2 4 4 4 6 3" xfId="24377"/>
    <cellStyle name="Header2 4 4 4 6 4" xfId="33467"/>
    <cellStyle name="Header2 4 4 4 7" xfId="17283"/>
    <cellStyle name="Header2 4 4 4 7 2" xfId="29100"/>
    <cellStyle name="Header2 4 4 4 7 2 2" xfId="39099"/>
    <cellStyle name="Header2 4 4 4 7 3" xfId="24858"/>
    <cellStyle name="Header2 4 4 4 7 4" xfId="33948"/>
    <cellStyle name="Header2 4 4 4 8" xfId="17586"/>
    <cellStyle name="Header2 4 4 4 8 2" xfId="29403"/>
    <cellStyle name="Header2 4 4 4 8 2 2" xfId="39402"/>
    <cellStyle name="Header2 4 4 4 8 3" xfId="25161"/>
    <cellStyle name="Header2 4 4 4 8 4" xfId="34251"/>
    <cellStyle name="Header2 4 4 4 9" xfId="18349"/>
    <cellStyle name="Header2 4 4 4 9 2" xfId="30166"/>
    <cellStyle name="Header2 4 4 4 9 2 2" xfId="40165"/>
    <cellStyle name="Header2 4 4 4 9 3" xfId="25824"/>
    <cellStyle name="Header2 4 4 4 9 4" xfId="35014"/>
    <cellStyle name="Header2 4 4 5" xfId="7962"/>
    <cellStyle name="Header2 4 4 5 10" xfId="18649"/>
    <cellStyle name="Header2 4 4 5 10 2" xfId="30466"/>
    <cellStyle name="Header2 4 4 5 10 2 2" xfId="40465"/>
    <cellStyle name="Header2 4 4 5 10 3" xfId="26124"/>
    <cellStyle name="Header2 4 4 5 10 4" xfId="35314"/>
    <cellStyle name="Header2 4 4 5 11" xfId="20178"/>
    <cellStyle name="Header2 4 4 5 11 2" xfId="31995"/>
    <cellStyle name="Header2 4 4 5 11 2 2" xfId="41994"/>
    <cellStyle name="Header2 4 4 5 11 3" xfId="36843"/>
    <cellStyle name="Header2 4 4 5 12" xfId="23140"/>
    <cellStyle name="Header2 4 4 5 12 2" xfId="22019"/>
    <cellStyle name="Header2 4 4 5 13" xfId="22534"/>
    <cellStyle name="Header2 4 4 5 2" xfId="15769"/>
    <cellStyle name="Header2 4 4 5 2 2" xfId="19024"/>
    <cellStyle name="Header2 4 4 5 2 2 2" xfId="30841"/>
    <cellStyle name="Header2 4 4 5 2 2 2 2" xfId="40840"/>
    <cellStyle name="Header2 4 4 5 2 2 3" xfId="26499"/>
    <cellStyle name="Header2 4 4 5 2 2 4" xfId="35689"/>
    <cellStyle name="Header2 4 4 5 2 3" xfId="19630"/>
    <cellStyle name="Header2 4 4 5 2 3 2" xfId="31447"/>
    <cellStyle name="Header2 4 4 5 2 3 2 2" xfId="41446"/>
    <cellStyle name="Header2 4 4 5 2 3 3" xfId="27105"/>
    <cellStyle name="Header2 4 4 5 2 3 4" xfId="36295"/>
    <cellStyle name="Header2 4 4 5 2 4" xfId="18023"/>
    <cellStyle name="Header2 4 4 5 2 4 2" xfId="29840"/>
    <cellStyle name="Header2 4 4 5 2 4 2 2" xfId="39839"/>
    <cellStyle name="Header2 4 4 5 2 4 3" xfId="25598"/>
    <cellStyle name="Header2 4 4 5 2 4 4" xfId="34688"/>
    <cellStyle name="Header2 4 4 5 2 5" xfId="20439"/>
    <cellStyle name="Header2 4 4 5 2 5 2" xfId="32256"/>
    <cellStyle name="Header2 4 4 5 2 5 2 2" xfId="42255"/>
    <cellStyle name="Header2 4 4 5 2 5 3" xfId="37104"/>
    <cellStyle name="Header2 4 4 5 2 6" xfId="23647"/>
    <cellStyle name="Header2 4 4 5 2 6 2" xfId="21786"/>
    <cellStyle name="Header2 4 4 5 2 7" xfId="22950"/>
    <cellStyle name="Header2 4 4 5 2 7 2" xfId="21335"/>
    <cellStyle name="Header2 4 4 5 2 8" xfId="21701"/>
    <cellStyle name="Header2 4 4 5 3" xfId="16350"/>
    <cellStyle name="Header2 4 4 5 3 2" xfId="19325"/>
    <cellStyle name="Header2 4 4 5 3 2 2" xfId="31142"/>
    <cellStyle name="Header2 4 4 5 3 2 2 2" xfId="41141"/>
    <cellStyle name="Header2 4 4 5 3 2 3" xfId="26800"/>
    <cellStyle name="Header2 4 4 5 3 2 4" xfId="35990"/>
    <cellStyle name="Header2 4 4 5 3 3" xfId="19931"/>
    <cellStyle name="Header2 4 4 5 3 3 2" xfId="31748"/>
    <cellStyle name="Header2 4 4 5 3 3 2 2" xfId="41747"/>
    <cellStyle name="Header2 4 4 5 3 3 3" xfId="27406"/>
    <cellStyle name="Header2 4 4 5 3 3 4" xfId="36596"/>
    <cellStyle name="Header2 4 4 5 3 4" xfId="18116"/>
    <cellStyle name="Header2 4 4 5 3 4 2" xfId="29933"/>
    <cellStyle name="Header2 4 4 5 3 4 2 2" xfId="39932"/>
    <cellStyle name="Header2 4 4 5 3 4 3" xfId="25691"/>
    <cellStyle name="Header2 4 4 5 3 4 4" xfId="34781"/>
    <cellStyle name="Header2 4 4 5 3 5" xfId="20740"/>
    <cellStyle name="Header2 4 4 5 3 5 2" xfId="32557"/>
    <cellStyle name="Header2 4 4 5 3 5 2 2" xfId="42556"/>
    <cellStyle name="Header2 4 4 5 3 5 3" xfId="37405"/>
    <cellStyle name="Header2 4 4 5 3 6" xfId="28167"/>
    <cellStyle name="Header2 4 4 5 3 6 2" xfId="38166"/>
    <cellStyle name="Header2 4 4 5 3 7" xfId="21565"/>
    <cellStyle name="Header2 4 4 5 4" xfId="16050"/>
    <cellStyle name="Header2 4 4 5 4 2" xfId="27867"/>
    <cellStyle name="Header2 4 4 5 4 2 2" xfId="37866"/>
    <cellStyle name="Header2 4 4 5 4 3" xfId="23928"/>
    <cellStyle name="Header2 4 4 5 4 4" xfId="33018"/>
    <cellStyle name="Header2 4 4 5 5" xfId="16500"/>
    <cellStyle name="Header2 4 4 5 5 2" xfId="28317"/>
    <cellStyle name="Header2 4 4 5 5 2 2" xfId="38316"/>
    <cellStyle name="Header2 4 4 5 5 3" xfId="24075"/>
    <cellStyle name="Header2 4 4 5 5 4" xfId="33165"/>
    <cellStyle name="Header2 4 4 5 6" xfId="16801"/>
    <cellStyle name="Header2 4 4 5 6 2" xfId="28618"/>
    <cellStyle name="Header2 4 4 5 6 2 2" xfId="38617"/>
    <cellStyle name="Header2 4 4 5 6 3" xfId="24376"/>
    <cellStyle name="Header2 4 4 5 6 4" xfId="33466"/>
    <cellStyle name="Header2 4 4 5 7" xfId="17284"/>
    <cellStyle name="Header2 4 4 5 7 2" xfId="29101"/>
    <cellStyle name="Header2 4 4 5 7 2 2" xfId="39100"/>
    <cellStyle name="Header2 4 4 5 7 3" xfId="24859"/>
    <cellStyle name="Header2 4 4 5 7 4" xfId="33949"/>
    <cellStyle name="Header2 4 4 5 8" xfId="17587"/>
    <cellStyle name="Header2 4 4 5 8 2" xfId="29404"/>
    <cellStyle name="Header2 4 4 5 8 2 2" xfId="39403"/>
    <cellStyle name="Header2 4 4 5 8 3" xfId="25162"/>
    <cellStyle name="Header2 4 4 5 8 4" xfId="34252"/>
    <cellStyle name="Header2 4 4 5 9" xfId="18348"/>
    <cellStyle name="Header2 4 4 5 9 2" xfId="30165"/>
    <cellStyle name="Header2 4 4 5 9 2 2" xfId="40164"/>
    <cellStyle name="Header2 4 4 5 9 3" xfId="25823"/>
    <cellStyle name="Header2 4 4 5 9 4" xfId="35013"/>
    <cellStyle name="Header2 4 4 6" xfId="7963"/>
    <cellStyle name="Header2 4 4 6 10" xfId="18850"/>
    <cellStyle name="Header2 4 4 6 10 2" xfId="30667"/>
    <cellStyle name="Header2 4 4 6 10 2 2" xfId="40666"/>
    <cellStyle name="Header2 4 4 6 10 3" xfId="26325"/>
    <cellStyle name="Header2 4 4 6 10 4" xfId="35515"/>
    <cellStyle name="Header2 4 4 6 11" xfId="20279"/>
    <cellStyle name="Header2 4 4 6 11 2" xfId="32096"/>
    <cellStyle name="Header2 4 4 6 11 2 2" xfId="42095"/>
    <cellStyle name="Header2 4 4 6 11 3" xfId="36944"/>
    <cellStyle name="Header2 4 4 6 12" xfId="23139"/>
    <cellStyle name="Header2 4 4 6 12 2" xfId="21755"/>
    <cellStyle name="Header2 4 4 6 13" xfId="22533"/>
    <cellStyle name="Header2 4 4 6 2" xfId="15770"/>
    <cellStyle name="Header2 4 4 6 2 2" xfId="19023"/>
    <cellStyle name="Header2 4 4 6 2 2 2" xfId="30840"/>
    <cellStyle name="Header2 4 4 6 2 2 2 2" xfId="40839"/>
    <cellStyle name="Header2 4 4 6 2 2 3" xfId="26498"/>
    <cellStyle name="Header2 4 4 6 2 2 4" xfId="35688"/>
    <cellStyle name="Header2 4 4 6 2 3" xfId="19629"/>
    <cellStyle name="Header2 4 4 6 2 3 2" xfId="31446"/>
    <cellStyle name="Header2 4 4 6 2 3 2 2" xfId="41445"/>
    <cellStyle name="Header2 4 4 6 2 3 3" xfId="27104"/>
    <cellStyle name="Header2 4 4 6 2 3 4" xfId="36294"/>
    <cellStyle name="Header2 4 4 6 2 4" xfId="17830"/>
    <cellStyle name="Header2 4 4 6 2 4 2" xfId="29647"/>
    <cellStyle name="Header2 4 4 6 2 4 2 2" xfId="39646"/>
    <cellStyle name="Header2 4 4 6 2 4 3" xfId="25405"/>
    <cellStyle name="Header2 4 4 6 2 4 4" xfId="34495"/>
    <cellStyle name="Header2 4 4 6 2 5" xfId="20438"/>
    <cellStyle name="Header2 4 4 6 2 5 2" xfId="32255"/>
    <cellStyle name="Header2 4 4 6 2 5 2 2" xfId="42254"/>
    <cellStyle name="Header2 4 4 6 2 5 3" xfId="37103"/>
    <cellStyle name="Header2 4 4 6 2 6" xfId="23648"/>
    <cellStyle name="Header2 4 4 6 2 6 2" xfId="21785"/>
    <cellStyle name="Header2 4 4 6 2 7" xfId="22949"/>
    <cellStyle name="Header2 4 4 6 2 7 2" xfId="22136"/>
    <cellStyle name="Header2 4 4 6 2 8" xfId="21702"/>
    <cellStyle name="Header2 4 4 6 3" xfId="16351"/>
    <cellStyle name="Header2 4 4 6 3 2" xfId="19525"/>
    <cellStyle name="Header2 4 4 6 3 2 2" xfId="31342"/>
    <cellStyle name="Header2 4 4 6 3 2 2 2" xfId="41341"/>
    <cellStyle name="Header2 4 4 6 3 2 3" xfId="27000"/>
    <cellStyle name="Header2 4 4 6 3 2 4" xfId="36190"/>
    <cellStyle name="Header2 4 4 6 3 3" xfId="20131"/>
    <cellStyle name="Header2 4 4 6 3 3 2" xfId="31948"/>
    <cellStyle name="Header2 4 4 6 3 3 2 2" xfId="41947"/>
    <cellStyle name="Header2 4 4 6 3 3 3" xfId="27606"/>
    <cellStyle name="Header2 4 4 6 3 3 4" xfId="36796"/>
    <cellStyle name="Header2 4 4 6 3 4" xfId="18041"/>
    <cellStyle name="Header2 4 4 6 3 4 2" xfId="29858"/>
    <cellStyle name="Header2 4 4 6 3 4 2 2" xfId="39857"/>
    <cellStyle name="Header2 4 4 6 3 4 3" xfId="25616"/>
    <cellStyle name="Header2 4 4 6 3 4 4" xfId="34706"/>
    <cellStyle name="Header2 4 4 6 3 5" xfId="20940"/>
    <cellStyle name="Header2 4 4 6 3 5 2" xfId="32757"/>
    <cellStyle name="Header2 4 4 6 3 5 2 2" xfId="42756"/>
    <cellStyle name="Header2 4 4 6 3 5 3" xfId="37605"/>
    <cellStyle name="Header2 4 4 6 3 6" xfId="28168"/>
    <cellStyle name="Header2 4 4 6 3 6 2" xfId="38167"/>
    <cellStyle name="Header2 4 4 6 3 7" xfId="21444"/>
    <cellStyle name="Header2 4 4 6 4" xfId="15835"/>
    <cellStyle name="Header2 4 4 6 4 2" xfId="27652"/>
    <cellStyle name="Header2 4 4 6 4 2 2" xfId="37651"/>
    <cellStyle name="Header2 4 4 6 4 3" xfId="23713"/>
    <cellStyle name="Header2 4 4 6 4 4" xfId="32803"/>
    <cellStyle name="Header2 4 4 6 5" xfId="16499"/>
    <cellStyle name="Header2 4 4 6 5 2" xfId="28316"/>
    <cellStyle name="Header2 4 4 6 5 2 2" xfId="38315"/>
    <cellStyle name="Header2 4 4 6 5 3" xfId="24074"/>
    <cellStyle name="Header2 4 4 6 5 4" xfId="33164"/>
    <cellStyle name="Header2 4 4 6 6" xfId="17001"/>
    <cellStyle name="Header2 4 4 6 6 2" xfId="28818"/>
    <cellStyle name="Header2 4 4 6 6 2 2" xfId="38817"/>
    <cellStyle name="Header2 4 4 6 6 3" xfId="24576"/>
    <cellStyle name="Header2 4 4 6 6 4" xfId="33666"/>
    <cellStyle name="Header2 4 4 6 7" xfId="17285"/>
    <cellStyle name="Header2 4 4 6 7 2" xfId="29102"/>
    <cellStyle name="Header2 4 4 6 7 2 2" xfId="39101"/>
    <cellStyle name="Header2 4 4 6 7 3" xfId="24860"/>
    <cellStyle name="Header2 4 4 6 7 4" xfId="33950"/>
    <cellStyle name="Header2 4 4 6 8" xfId="17588"/>
    <cellStyle name="Header2 4 4 6 8 2" xfId="29405"/>
    <cellStyle name="Header2 4 4 6 8 2 2" xfId="39404"/>
    <cellStyle name="Header2 4 4 6 8 3" xfId="25163"/>
    <cellStyle name="Header2 4 4 6 8 4" xfId="34253"/>
    <cellStyle name="Header2 4 4 6 9" xfId="18347"/>
    <cellStyle name="Header2 4 4 6 9 2" xfId="30164"/>
    <cellStyle name="Header2 4 4 6 9 2 2" xfId="40163"/>
    <cellStyle name="Header2 4 4 6 9 3" xfId="25822"/>
    <cellStyle name="Header2 4 4 6 9 4" xfId="35012"/>
    <cellStyle name="Header2 4 4 7" xfId="15759"/>
    <cellStyle name="Header2 4 4 7 2" xfId="19034"/>
    <cellStyle name="Header2 4 4 7 2 2" xfId="30851"/>
    <cellStyle name="Header2 4 4 7 2 2 2" xfId="40850"/>
    <cellStyle name="Header2 4 4 7 2 3" xfId="26509"/>
    <cellStyle name="Header2 4 4 7 2 4" xfId="35699"/>
    <cellStyle name="Header2 4 4 7 3" xfId="19640"/>
    <cellStyle name="Header2 4 4 7 3 2" xfId="31457"/>
    <cellStyle name="Header2 4 4 7 3 2 2" xfId="41456"/>
    <cellStyle name="Header2 4 4 7 3 3" xfId="27115"/>
    <cellStyle name="Header2 4 4 7 3 4" xfId="36305"/>
    <cellStyle name="Header2 4 4 7 4" xfId="17714"/>
    <cellStyle name="Header2 4 4 7 4 2" xfId="29531"/>
    <cellStyle name="Header2 4 4 7 4 2 2" xfId="39530"/>
    <cellStyle name="Header2 4 4 7 4 3" xfId="25289"/>
    <cellStyle name="Header2 4 4 7 4 4" xfId="34379"/>
    <cellStyle name="Header2 4 4 7 5" xfId="20449"/>
    <cellStyle name="Header2 4 4 7 5 2" xfId="32266"/>
    <cellStyle name="Header2 4 4 7 5 2 2" xfId="42265"/>
    <cellStyle name="Header2 4 4 7 5 3" xfId="37114"/>
    <cellStyle name="Header2 4 4 7 6" xfId="23637"/>
    <cellStyle name="Header2 4 4 7 6 2" xfId="20990"/>
    <cellStyle name="Header2 4 4 7 7" xfId="22811"/>
    <cellStyle name="Header2 4 4 7 7 2" xfId="21411"/>
    <cellStyle name="Header2 4 4 7 8" xfId="22458"/>
    <cellStyle name="Header2 4 4 8" xfId="16340"/>
    <cellStyle name="Header2 4 4 8 2" xfId="19335"/>
    <cellStyle name="Header2 4 4 8 2 2" xfId="31152"/>
    <cellStyle name="Header2 4 4 8 2 2 2" xfId="41151"/>
    <cellStyle name="Header2 4 4 8 2 3" xfId="26810"/>
    <cellStyle name="Header2 4 4 8 2 4" xfId="36000"/>
    <cellStyle name="Header2 4 4 8 3" xfId="19941"/>
    <cellStyle name="Header2 4 4 8 3 2" xfId="31758"/>
    <cellStyle name="Header2 4 4 8 3 2 2" xfId="41757"/>
    <cellStyle name="Header2 4 4 8 3 3" xfId="27416"/>
    <cellStyle name="Header2 4 4 8 3 4" xfId="36606"/>
    <cellStyle name="Header2 4 4 8 4" xfId="18873"/>
    <cellStyle name="Header2 4 4 8 4 2" xfId="30690"/>
    <cellStyle name="Header2 4 4 8 4 2 2" xfId="40689"/>
    <cellStyle name="Header2 4 4 8 4 3" xfId="26348"/>
    <cellStyle name="Header2 4 4 8 4 4" xfId="35538"/>
    <cellStyle name="Header2 4 4 8 5" xfId="20750"/>
    <cellStyle name="Header2 4 4 8 5 2" xfId="32567"/>
    <cellStyle name="Header2 4 4 8 5 2 2" xfId="42566"/>
    <cellStyle name="Header2 4 4 8 5 3" xfId="37415"/>
    <cellStyle name="Header2 4 4 8 6" xfId="28157"/>
    <cellStyle name="Header2 4 4 8 6 2" xfId="38156"/>
    <cellStyle name="Header2 4 4 8 7" xfId="21562"/>
    <cellStyle name="Header2 4 4 9" xfId="16041"/>
    <cellStyle name="Header2 4 4 9 2" xfId="27858"/>
    <cellStyle name="Header2 4 4 9 2 2" xfId="37857"/>
    <cellStyle name="Header2 4 4 9 3" xfId="23919"/>
    <cellStyle name="Header2 4 4 9 4" xfId="33009"/>
    <cellStyle name="Header2 4 5" xfId="7964"/>
    <cellStyle name="Header2 4 5 10" xfId="16498"/>
    <cellStyle name="Header2 4 5 10 2" xfId="28315"/>
    <cellStyle name="Header2 4 5 10 2 2" xfId="38314"/>
    <cellStyle name="Header2 4 5 10 3" xfId="24073"/>
    <cellStyle name="Header2 4 5 10 4" xfId="33163"/>
    <cellStyle name="Header2 4 5 11" xfId="16800"/>
    <cellStyle name="Header2 4 5 11 2" xfId="28617"/>
    <cellStyle name="Header2 4 5 11 2 2" xfId="38616"/>
    <cellStyle name="Header2 4 5 11 3" xfId="24375"/>
    <cellStyle name="Header2 4 5 11 4" xfId="33465"/>
    <cellStyle name="Header2 4 5 12" xfId="17286"/>
    <cellStyle name="Header2 4 5 12 2" xfId="29103"/>
    <cellStyle name="Header2 4 5 12 2 2" xfId="39102"/>
    <cellStyle name="Header2 4 5 12 3" xfId="24861"/>
    <cellStyle name="Header2 4 5 12 4" xfId="33951"/>
    <cellStyle name="Header2 4 5 13" xfId="17589"/>
    <cellStyle name="Header2 4 5 13 2" xfId="29406"/>
    <cellStyle name="Header2 4 5 13 2 2" xfId="39405"/>
    <cellStyle name="Header2 4 5 13 3" xfId="25164"/>
    <cellStyle name="Header2 4 5 13 4" xfId="34254"/>
    <cellStyle name="Header2 4 5 14" xfId="18346"/>
    <cellStyle name="Header2 4 5 14 2" xfId="30163"/>
    <cellStyle name="Header2 4 5 14 2 2" xfId="40162"/>
    <cellStyle name="Header2 4 5 14 3" xfId="25821"/>
    <cellStyle name="Header2 4 5 14 4" xfId="35011"/>
    <cellStyle name="Header2 4 5 15" xfId="18648"/>
    <cellStyle name="Header2 4 5 15 2" xfId="30465"/>
    <cellStyle name="Header2 4 5 15 2 2" xfId="40464"/>
    <cellStyle name="Header2 4 5 15 3" xfId="26123"/>
    <cellStyle name="Header2 4 5 15 4" xfId="35313"/>
    <cellStyle name="Header2 4 5 16" xfId="18285"/>
    <cellStyle name="Header2 4 5 16 2" xfId="30102"/>
    <cellStyle name="Header2 4 5 16 2 2" xfId="40101"/>
    <cellStyle name="Header2 4 5 16 3" xfId="34950"/>
    <cellStyle name="Header2 4 5 17" xfId="23138"/>
    <cellStyle name="Header2 4 5 17 2" xfId="21263"/>
    <cellStyle name="Header2 4 5 18" xfId="22532"/>
    <cellStyle name="Header2 4 5 2" xfId="7965"/>
    <cellStyle name="Header2 4 5 2 10" xfId="17287"/>
    <cellStyle name="Header2 4 5 2 10 2" xfId="29104"/>
    <cellStyle name="Header2 4 5 2 10 2 2" xfId="39103"/>
    <cellStyle name="Header2 4 5 2 10 3" xfId="24862"/>
    <cellStyle name="Header2 4 5 2 10 4" xfId="33952"/>
    <cellStyle name="Header2 4 5 2 11" xfId="17590"/>
    <cellStyle name="Header2 4 5 2 11 2" xfId="29407"/>
    <cellStyle name="Header2 4 5 2 11 2 2" xfId="39406"/>
    <cellStyle name="Header2 4 5 2 11 3" xfId="25165"/>
    <cellStyle name="Header2 4 5 2 11 4" xfId="34255"/>
    <cellStyle name="Header2 4 5 2 12" xfId="18345"/>
    <cellStyle name="Header2 4 5 2 12 2" xfId="30162"/>
    <cellStyle name="Header2 4 5 2 12 2 2" xfId="40161"/>
    <cellStyle name="Header2 4 5 2 12 3" xfId="25820"/>
    <cellStyle name="Header2 4 5 2 12 4" xfId="35010"/>
    <cellStyle name="Header2 4 5 2 13" xfId="18647"/>
    <cellStyle name="Header2 4 5 2 13 2" xfId="30464"/>
    <cellStyle name="Header2 4 5 2 13 2 2" xfId="40463"/>
    <cellStyle name="Header2 4 5 2 13 3" xfId="26122"/>
    <cellStyle name="Header2 4 5 2 13 4" xfId="35312"/>
    <cellStyle name="Header2 4 5 2 14" xfId="18286"/>
    <cellStyle name="Header2 4 5 2 14 2" xfId="30103"/>
    <cellStyle name="Header2 4 5 2 14 2 2" xfId="40102"/>
    <cellStyle name="Header2 4 5 2 14 3" xfId="34951"/>
    <cellStyle name="Header2 4 5 2 15" xfId="23137"/>
    <cellStyle name="Header2 4 5 2 15 2" xfId="22020"/>
    <cellStyle name="Header2 4 5 2 16" xfId="22531"/>
    <cellStyle name="Header2 4 5 2 2" xfId="7966"/>
    <cellStyle name="Header2 4 5 2 2 10" xfId="18646"/>
    <cellStyle name="Header2 4 5 2 2 10 2" xfId="30463"/>
    <cellStyle name="Header2 4 5 2 2 10 2 2" xfId="40462"/>
    <cellStyle name="Header2 4 5 2 2 10 3" xfId="26121"/>
    <cellStyle name="Header2 4 5 2 2 10 4" xfId="35311"/>
    <cellStyle name="Header2 4 5 2 2 11" xfId="20173"/>
    <cellStyle name="Header2 4 5 2 2 11 2" xfId="31990"/>
    <cellStyle name="Header2 4 5 2 2 11 2 2" xfId="41989"/>
    <cellStyle name="Header2 4 5 2 2 11 3" xfId="36838"/>
    <cellStyle name="Header2 4 5 2 2 12" xfId="23136"/>
    <cellStyle name="Header2 4 5 2 2 12 2" xfId="22021"/>
    <cellStyle name="Header2 4 5 2 2 13" xfId="22530"/>
    <cellStyle name="Header2 4 5 2 2 2" xfId="15773"/>
    <cellStyle name="Header2 4 5 2 2 2 2" xfId="19020"/>
    <cellStyle name="Header2 4 5 2 2 2 2 2" xfId="30837"/>
    <cellStyle name="Header2 4 5 2 2 2 2 2 2" xfId="40836"/>
    <cellStyle name="Header2 4 5 2 2 2 2 3" xfId="26495"/>
    <cellStyle name="Header2 4 5 2 2 2 2 4" xfId="35685"/>
    <cellStyle name="Header2 4 5 2 2 2 3" xfId="19626"/>
    <cellStyle name="Header2 4 5 2 2 2 3 2" xfId="31443"/>
    <cellStyle name="Header2 4 5 2 2 2 3 2 2" xfId="41442"/>
    <cellStyle name="Header2 4 5 2 2 2 3 3" xfId="27101"/>
    <cellStyle name="Header2 4 5 2 2 2 3 4" xfId="36291"/>
    <cellStyle name="Header2 4 5 2 2 2 4" xfId="17720"/>
    <cellStyle name="Header2 4 5 2 2 2 4 2" xfId="29537"/>
    <cellStyle name="Header2 4 5 2 2 2 4 2 2" xfId="39536"/>
    <cellStyle name="Header2 4 5 2 2 2 4 3" xfId="25295"/>
    <cellStyle name="Header2 4 5 2 2 2 4 4" xfId="34385"/>
    <cellStyle name="Header2 4 5 2 2 2 5" xfId="20435"/>
    <cellStyle name="Header2 4 5 2 2 2 5 2" xfId="32252"/>
    <cellStyle name="Header2 4 5 2 2 2 5 2 2" xfId="42251"/>
    <cellStyle name="Header2 4 5 2 2 2 5 3" xfId="37100"/>
    <cellStyle name="Header2 4 5 2 2 2 6" xfId="23651"/>
    <cellStyle name="Header2 4 5 2 2 2 6 2" xfId="21783"/>
    <cellStyle name="Header2 4 5 2 2 2 7" xfId="22947"/>
    <cellStyle name="Header2 4 5 2 2 2 7 2" xfId="22137"/>
    <cellStyle name="Header2 4 5 2 2 2 8" xfId="21705"/>
    <cellStyle name="Header2 4 5 2 2 3" xfId="16354"/>
    <cellStyle name="Header2 4 5 2 2 3 2" xfId="19322"/>
    <cellStyle name="Header2 4 5 2 2 3 2 2" xfId="31139"/>
    <cellStyle name="Header2 4 5 2 2 3 2 2 2" xfId="41138"/>
    <cellStyle name="Header2 4 5 2 2 3 2 3" xfId="26797"/>
    <cellStyle name="Header2 4 5 2 2 3 2 4" xfId="35987"/>
    <cellStyle name="Header2 4 5 2 2 3 3" xfId="19928"/>
    <cellStyle name="Header2 4 5 2 2 3 3 2" xfId="31745"/>
    <cellStyle name="Header2 4 5 2 2 3 3 2 2" xfId="41744"/>
    <cellStyle name="Header2 4 5 2 2 3 3 3" xfId="27403"/>
    <cellStyle name="Header2 4 5 2 2 3 3 4" xfId="36593"/>
    <cellStyle name="Header2 4 5 2 2 3 4" xfId="17798"/>
    <cellStyle name="Header2 4 5 2 2 3 4 2" xfId="29615"/>
    <cellStyle name="Header2 4 5 2 2 3 4 2 2" xfId="39614"/>
    <cellStyle name="Header2 4 5 2 2 3 4 3" xfId="25373"/>
    <cellStyle name="Header2 4 5 2 2 3 4 4" xfId="34463"/>
    <cellStyle name="Header2 4 5 2 2 3 5" xfId="20737"/>
    <cellStyle name="Header2 4 5 2 2 3 5 2" xfId="32554"/>
    <cellStyle name="Header2 4 5 2 2 3 5 2 2" xfId="42553"/>
    <cellStyle name="Header2 4 5 2 2 3 5 3" xfId="37402"/>
    <cellStyle name="Header2 4 5 2 2 3 6" xfId="28171"/>
    <cellStyle name="Header2 4 5 2 2 3 6 2" xfId="38170"/>
    <cellStyle name="Header2 4 5 2 2 3 7" xfId="22299"/>
    <cellStyle name="Header2 4 5 2 2 4" xfId="16053"/>
    <cellStyle name="Header2 4 5 2 2 4 2" xfId="27870"/>
    <cellStyle name="Header2 4 5 2 2 4 2 2" xfId="37869"/>
    <cellStyle name="Header2 4 5 2 2 4 3" xfId="23931"/>
    <cellStyle name="Header2 4 5 2 2 4 4" xfId="33021"/>
    <cellStyle name="Header2 4 5 2 2 5" xfId="16496"/>
    <cellStyle name="Header2 4 5 2 2 5 2" xfId="28313"/>
    <cellStyle name="Header2 4 5 2 2 5 2 2" xfId="38312"/>
    <cellStyle name="Header2 4 5 2 2 5 3" xfId="24071"/>
    <cellStyle name="Header2 4 5 2 2 5 4" xfId="33161"/>
    <cellStyle name="Header2 4 5 2 2 6" xfId="16798"/>
    <cellStyle name="Header2 4 5 2 2 6 2" xfId="28615"/>
    <cellStyle name="Header2 4 5 2 2 6 2 2" xfId="38614"/>
    <cellStyle name="Header2 4 5 2 2 6 3" xfId="24373"/>
    <cellStyle name="Header2 4 5 2 2 6 4" xfId="33463"/>
    <cellStyle name="Header2 4 5 2 2 7" xfId="17288"/>
    <cellStyle name="Header2 4 5 2 2 7 2" xfId="29105"/>
    <cellStyle name="Header2 4 5 2 2 7 2 2" xfId="39104"/>
    <cellStyle name="Header2 4 5 2 2 7 3" xfId="24863"/>
    <cellStyle name="Header2 4 5 2 2 7 4" xfId="33953"/>
    <cellStyle name="Header2 4 5 2 2 8" xfId="17591"/>
    <cellStyle name="Header2 4 5 2 2 8 2" xfId="29408"/>
    <cellStyle name="Header2 4 5 2 2 8 2 2" xfId="39407"/>
    <cellStyle name="Header2 4 5 2 2 8 3" xfId="25166"/>
    <cellStyle name="Header2 4 5 2 2 8 4" xfId="34256"/>
    <cellStyle name="Header2 4 5 2 2 9" xfId="18344"/>
    <cellStyle name="Header2 4 5 2 2 9 2" xfId="30161"/>
    <cellStyle name="Header2 4 5 2 2 9 2 2" xfId="40160"/>
    <cellStyle name="Header2 4 5 2 2 9 3" xfId="25819"/>
    <cellStyle name="Header2 4 5 2 2 9 4" xfId="35009"/>
    <cellStyle name="Header2 4 5 2 3" xfId="7967"/>
    <cellStyle name="Header2 4 5 2 3 10" xfId="18645"/>
    <cellStyle name="Header2 4 5 2 3 10 2" xfId="30462"/>
    <cellStyle name="Header2 4 5 2 3 10 2 2" xfId="40461"/>
    <cellStyle name="Header2 4 5 2 3 10 3" xfId="26120"/>
    <cellStyle name="Header2 4 5 2 3 10 4" xfId="35310"/>
    <cellStyle name="Header2 4 5 2 3 11" xfId="20274"/>
    <cellStyle name="Header2 4 5 2 3 11 2" xfId="32091"/>
    <cellStyle name="Header2 4 5 2 3 11 2 2" xfId="42090"/>
    <cellStyle name="Header2 4 5 2 3 11 3" xfId="36939"/>
    <cellStyle name="Header2 4 5 2 3 12" xfId="23135"/>
    <cellStyle name="Header2 4 5 2 3 12 2" xfId="22022"/>
    <cellStyle name="Header2 4 5 2 3 13" xfId="22529"/>
    <cellStyle name="Header2 4 5 2 3 2" xfId="15774"/>
    <cellStyle name="Header2 4 5 2 3 2 2" xfId="19019"/>
    <cellStyle name="Header2 4 5 2 3 2 2 2" xfId="30836"/>
    <cellStyle name="Header2 4 5 2 3 2 2 2 2" xfId="40835"/>
    <cellStyle name="Header2 4 5 2 3 2 2 3" xfId="26494"/>
    <cellStyle name="Header2 4 5 2 3 2 2 4" xfId="35684"/>
    <cellStyle name="Header2 4 5 2 3 2 3" xfId="19625"/>
    <cellStyle name="Header2 4 5 2 3 2 3 2" xfId="31442"/>
    <cellStyle name="Header2 4 5 2 3 2 3 2 2" xfId="41441"/>
    <cellStyle name="Header2 4 5 2 3 2 3 3" xfId="27100"/>
    <cellStyle name="Header2 4 5 2 3 2 3 4" xfId="36290"/>
    <cellStyle name="Header2 4 5 2 3 2 4" xfId="18173"/>
    <cellStyle name="Header2 4 5 2 3 2 4 2" xfId="29990"/>
    <cellStyle name="Header2 4 5 2 3 2 4 2 2" xfId="39989"/>
    <cellStyle name="Header2 4 5 2 3 2 4 3" xfId="25748"/>
    <cellStyle name="Header2 4 5 2 3 2 4 4" xfId="34838"/>
    <cellStyle name="Header2 4 5 2 3 2 5" xfId="20434"/>
    <cellStyle name="Header2 4 5 2 3 2 5 2" xfId="32251"/>
    <cellStyle name="Header2 4 5 2 3 2 5 2 2" xfId="42250"/>
    <cellStyle name="Header2 4 5 2 3 2 5 3" xfId="37099"/>
    <cellStyle name="Header2 4 5 2 3 2 6" xfId="23652"/>
    <cellStyle name="Header2 4 5 2 3 2 6 2" xfId="21782"/>
    <cellStyle name="Header2 4 5 2 3 2 7" xfId="22946"/>
    <cellStyle name="Header2 4 5 2 3 2 7 2" xfId="21337"/>
    <cellStyle name="Header2 4 5 2 3 2 8" xfId="22462"/>
    <cellStyle name="Header2 4 5 2 3 3" xfId="16355"/>
    <cellStyle name="Header2 4 5 2 3 3 2" xfId="19321"/>
    <cellStyle name="Header2 4 5 2 3 3 2 2" xfId="31138"/>
    <cellStyle name="Header2 4 5 2 3 3 2 2 2" xfId="41137"/>
    <cellStyle name="Header2 4 5 2 3 3 2 3" xfId="26796"/>
    <cellStyle name="Header2 4 5 2 3 3 2 4" xfId="35986"/>
    <cellStyle name="Header2 4 5 2 3 3 3" xfId="19927"/>
    <cellStyle name="Header2 4 5 2 3 3 3 2" xfId="31744"/>
    <cellStyle name="Header2 4 5 2 3 3 3 2 2" xfId="41743"/>
    <cellStyle name="Header2 4 5 2 3 3 3 3" xfId="27402"/>
    <cellStyle name="Header2 4 5 2 3 3 3 4" xfId="36592"/>
    <cellStyle name="Header2 4 5 2 3 3 4" xfId="18117"/>
    <cellStyle name="Header2 4 5 2 3 3 4 2" xfId="29934"/>
    <cellStyle name="Header2 4 5 2 3 3 4 2 2" xfId="39933"/>
    <cellStyle name="Header2 4 5 2 3 3 4 3" xfId="25692"/>
    <cellStyle name="Header2 4 5 2 3 3 4 4" xfId="34782"/>
    <cellStyle name="Header2 4 5 2 3 3 5" xfId="20736"/>
    <cellStyle name="Header2 4 5 2 3 3 5 2" xfId="32553"/>
    <cellStyle name="Header2 4 5 2 3 3 5 2 2" xfId="42552"/>
    <cellStyle name="Header2 4 5 2 3 3 5 3" xfId="37401"/>
    <cellStyle name="Header2 4 5 2 3 3 6" xfId="28172"/>
    <cellStyle name="Header2 4 5 2 3 3 6 2" xfId="38171"/>
    <cellStyle name="Header2 4 5 2 3 3 7" xfId="22300"/>
    <cellStyle name="Header2 4 5 2 3 4" xfId="16054"/>
    <cellStyle name="Header2 4 5 2 3 4 2" xfId="27871"/>
    <cellStyle name="Header2 4 5 2 3 4 2 2" xfId="37870"/>
    <cellStyle name="Header2 4 5 2 3 4 3" xfId="23932"/>
    <cellStyle name="Header2 4 5 2 3 4 4" xfId="33022"/>
    <cellStyle name="Header2 4 5 2 3 5" xfId="16495"/>
    <cellStyle name="Header2 4 5 2 3 5 2" xfId="28312"/>
    <cellStyle name="Header2 4 5 2 3 5 2 2" xfId="38311"/>
    <cellStyle name="Header2 4 5 2 3 5 3" xfId="24070"/>
    <cellStyle name="Header2 4 5 2 3 5 4" xfId="33160"/>
    <cellStyle name="Header2 4 5 2 3 6" xfId="16797"/>
    <cellStyle name="Header2 4 5 2 3 6 2" xfId="28614"/>
    <cellStyle name="Header2 4 5 2 3 6 2 2" xfId="38613"/>
    <cellStyle name="Header2 4 5 2 3 6 3" xfId="24372"/>
    <cellStyle name="Header2 4 5 2 3 6 4" xfId="33462"/>
    <cellStyle name="Header2 4 5 2 3 7" xfId="17289"/>
    <cellStyle name="Header2 4 5 2 3 7 2" xfId="29106"/>
    <cellStyle name="Header2 4 5 2 3 7 2 2" xfId="39105"/>
    <cellStyle name="Header2 4 5 2 3 7 3" xfId="24864"/>
    <cellStyle name="Header2 4 5 2 3 7 4" xfId="33954"/>
    <cellStyle name="Header2 4 5 2 3 8" xfId="17592"/>
    <cellStyle name="Header2 4 5 2 3 8 2" xfId="29409"/>
    <cellStyle name="Header2 4 5 2 3 8 2 2" xfId="39408"/>
    <cellStyle name="Header2 4 5 2 3 8 3" xfId="25167"/>
    <cellStyle name="Header2 4 5 2 3 8 4" xfId="34257"/>
    <cellStyle name="Header2 4 5 2 3 9" xfId="18343"/>
    <cellStyle name="Header2 4 5 2 3 9 2" xfId="30160"/>
    <cellStyle name="Header2 4 5 2 3 9 2 2" xfId="40159"/>
    <cellStyle name="Header2 4 5 2 3 9 3" xfId="25818"/>
    <cellStyle name="Header2 4 5 2 3 9 4" xfId="35008"/>
    <cellStyle name="Header2 4 5 2 4" xfId="7968"/>
    <cellStyle name="Header2 4 5 2 4 10" xfId="18644"/>
    <cellStyle name="Header2 4 5 2 4 10 2" xfId="30461"/>
    <cellStyle name="Header2 4 5 2 4 10 2 2" xfId="40460"/>
    <cellStyle name="Header2 4 5 2 4 10 3" xfId="26119"/>
    <cellStyle name="Header2 4 5 2 4 10 4" xfId="35309"/>
    <cellStyle name="Header2 4 5 2 4 11" xfId="18287"/>
    <cellStyle name="Header2 4 5 2 4 11 2" xfId="30104"/>
    <cellStyle name="Header2 4 5 2 4 11 2 2" xfId="40103"/>
    <cellStyle name="Header2 4 5 2 4 11 3" xfId="34952"/>
    <cellStyle name="Header2 4 5 2 4 12" xfId="23134"/>
    <cellStyle name="Header2 4 5 2 4 12 2" xfId="22023"/>
    <cellStyle name="Header2 4 5 2 4 13" xfId="22528"/>
    <cellStyle name="Header2 4 5 2 4 2" xfId="15775"/>
    <cellStyle name="Header2 4 5 2 4 2 2" xfId="19018"/>
    <cellStyle name="Header2 4 5 2 4 2 2 2" xfId="30835"/>
    <cellStyle name="Header2 4 5 2 4 2 2 2 2" xfId="40834"/>
    <cellStyle name="Header2 4 5 2 4 2 2 3" xfId="26493"/>
    <cellStyle name="Header2 4 5 2 4 2 2 4" xfId="35683"/>
    <cellStyle name="Header2 4 5 2 4 2 3" xfId="19624"/>
    <cellStyle name="Header2 4 5 2 4 2 3 2" xfId="31441"/>
    <cellStyle name="Header2 4 5 2 4 2 3 2 2" xfId="41440"/>
    <cellStyle name="Header2 4 5 2 4 2 3 3" xfId="27099"/>
    <cellStyle name="Header2 4 5 2 4 2 3 4" xfId="36289"/>
    <cellStyle name="Header2 4 5 2 4 2 4" xfId="18174"/>
    <cellStyle name="Header2 4 5 2 4 2 4 2" xfId="29991"/>
    <cellStyle name="Header2 4 5 2 4 2 4 2 2" xfId="39990"/>
    <cellStyle name="Header2 4 5 2 4 2 4 3" xfId="25749"/>
    <cellStyle name="Header2 4 5 2 4 2 4 4" xfId="34839"/>
    <cellStyle name="Header2 4 5 2 4 2 5" xfId="20433"/>
    <cellStyle name="Header2 4 5 2 4 2 5 2" xfId="32250"/>
    <cellStyle name="Header2 4 5 2 4 2 5 2 2" xfId="42249"/>
    <cellStyle name="Header2 4 5 2 4 2 5 3" xfId="37098"/>
    <cellStyle name="Header2 4 5 2 4 2 6" xfId="23653"/>
    <cellStyle name="Header2 4 5 2 4 2 6 2" xfId="21781"/>
    <cellStyle name="Header2 4 5 2 4 2 7" xfId="22945"/>
    <cellStyle name="Header2 4 5 2 4 2 7 2" xfId="22138"/>
    <cellStyle name="Header2 4 5 2 4 2 8" xfId="22463"/>
    <cellStyle name="Header2 4 5 2 4 3" xfId="16356"/>
    <cellStyle name="Header2 4 5 2 4 3 2" xfId="19320"/>
    <cellStyle name="Header2 4 5 2 4 3 2 2" xfId="31137"/>
    <cellStyle name="Header2 4 5 2 4 3 2 2 2" xfId="41136"/>
    <cellStyle name="Header2 4 5 2 4 3 2 3" xfId="26795"/>
    <cellStyle name="Header2 4 5 2 4 3 2 4" xfId="35985"/>
    <cellStyle name="Header2 4 5 2 4 3 3" xfId="19926"/>
    <cellStyle name="Header2 4 5 2 4 3 3 2" xfId="31743"/>
    <cellStyle name="Header2 4 5 2 4 3 3 2 2" xfId="41742"/>
    <cellStyle name="Header2 4 5 2 4 3 3 3" xfId="27401"/>
    <cellStyle name="Header2 4 5 2 4 3 3 4" xfId="36591"/>
    <cellStyle name="Header2 4 5 2 4 3 4" xfId="17799"/>
    <cellStyle name="Header2 4 5 2 4 3 4 2" xfId="29616"/>
    <cellStyle name="Header2 4 5 2 4 3 4 2 2" xfId="39615"/>
    <cellStyle name="Header2 4 5 2 4 3 4 3" xfId="25374"/>
    <cellStyle name="Header2 4 5 2 4 3 4 4" xfId="34464"/>
    <cellStyle name="Header2 4 5 2 4 3 5" xfId="20735"/>
    <cellStyle name="Header2 4 5 2 4 3 5 2" xfId="32552"/>
    <cellStyle name="Header2 4 5 2 4 3 5 2 2" xfId="42551"/>
    <cellStyle name="Header2 4 5 2 4 3 5 3" xfId="37400"/>
    <cellStyle name="Header2 4 5 2 4 3 6" xfId="28173"/>
    <cellStyle name="Header2 4 5 2 4 3 6 2" xfId="38172"/>
    <cellStyle name="Header2 4 5 2 4 3 7" xfId="22301"/>
    <cellStyle name="Header2 4 5 2 4 4" xfId="16055"/>
    <cellStyle name="Header2 4 5 2 4 4 2" xfId="27872"/>
    <cellStyle name="Header2 4 5 2 4 4 2 2" xfId="37871"/>
    <cellStyle name="Header2 4 5 2 4 4 3" xfId="23933"/>
    <cellStyle name="Header2 4 5 2 4 4 4" xfId="33023"/>
    <cellStyle name="Header2 4 5 2 4 5" xfId="16494"/>
    <cellStyle name="Header2 4 5 2 4 5 2" xfId="28311"/>
    <cellStyle name="Header2 4 5 2 4 5 2 2" xfId="38310"/>
    <cellStyle name="Header2 4 5 2 4 5 3" xfId="24069"/>
    <cellStyle name="Header2 4 5 2 4 5 4" xfId="33159"/>
    <cellStyle name="Header2 4 5 2 4 6" xfId="16796"/>
    <cellStyle name="Header2 4 5 2 4 6 2" xfId="28613"/>
    <cellStyle name="Header2 4 5 2 4 6 2 2" xfId="38612"/>
    <cellStyle name="Header2 4 5 2 4 6 3" xfId="24371"/>
    <cellStyle name="Header2 4 5 2 4 6 4" xfId="33461"/>
    <cellStyle name="Header2 4 5 2 4 7" xfId="17290"/>
    <cellStyle name="Header2 4 5 2 4 7 2" xfId="29107"/>
    <cellStyle name="Header2 4 5 2 4 7 2 2" xfId="39106"/>
    <cellStyle name="Header2 4 5 2 4 7 3" xfId="24865"/>
    <cellStyle name="Header2 4 5 2 4 7 4" xfId="33955"/>
    <cellStyle name="Header2 4 5 2 4 8" xfId="17593"/>
    <cellStyle name="Header2 4 5 2 4 8 2" xfId="29410"/>
    <cellStyle name="Header2 4 5 2 4 8 2 2" xfId="39409"/>
    <cellStyle name="Header2 4 5 2 4 8 3" xfId="25168"/>
    <cellStyle name="Header2 4 5 2 4 8 4" xfId="34258"/>
    <cellStyle name="Header2 4 5 2 4 9" xfId="18342"/>
    <cellStyle name="Header2 4 5 2 4 9 2" xfId="30159"/>
    <cellStyle name="Header2 4 5 2 4 9 2 2" xfId="40158"/>
    <cellStyle name="Header2 4 5 2 4 9 3" xfId="25817"/>
    <cellStyle name="Header2 4 5 2 4 9 4" xfId="35007"/>
    <cellStyle name="Header2 4 5 2 5" xfId="15772"/>
    <cellStyle name="Header2 4 5 2 5 2" xfId="19021"/>
    <cellStyle name="Header2 4 5 2 5 2 2" xfId="30838"/>
    <cellStyle name="Header2 4 5 2 5 2 2 2" xfId="40837"/>
    <cellStyle name="Header2 4 5 2 5 2 3" xfId="26496"/>
    <cellStyle name="Header2 4 5 2 5 2 4" xfId="35686"/>
    <cellStyle name="Header2 4 5 2 5 3" xfId="19627"/>
    <cellStyle name="Header2 4 5 2 5 3 2" xfId="31444"/>
    <cellStyle name="Header2 4 5 2 5 3 2 2" xfId="41443"/>
    <cellStyle name="Header2 4 5 2 5 3 3" xfId="27102"/>
    <cellStyle name="Header2 4 5 2 5 3 4" xfId="36292"/>
    <cellStyle name="Header2 4 5 2 5 4" xfId="17831"/>
    <cellStyle name="Header2 4 5 2 5 4 2" xfId="29648"/>
    <cellStyle name="Header2 4 5 2 5 4 2 2" xfId="39647"/>
    <cellStyle name="Header2 4 5 2 5 4 3" xfId="25406"/>
    <cellStyle name="Header2 4 5 2 5 4 4" xfId="34496"/>
    <cellStyle name="Header2 4 5 2 5 5" xfId="20436"/>
    <cellStyle name="Header2 4 5 2 5 5 2" xfId="32253"/>
    <cellStyle name="Header2 4 5 2 5 5 2 2" xfId="42252"/>
    <cellStyle name="Header2 4 5 2 5 5 3" xfId="37101"/>
    <cellStyle name="Header2 4 5 2 5 6" xfId="23650"/>
    <cellStyle name="Header2 4 5 2 5 6 2" xfId="21784"/>
    <cellStyle name="Header2 4 5 2 5 7" xfId="22948"/>
    <cellStyle name="Header2 4 5 2 5 7 2" xfId="21336"/>
    <cellStyle name="Header2 4 5 2 5 8" xfId="21704"/>
    <cellStyle name="Header2 4 5 2 6" xfId="16353"/>
    <cellStyle name="Header2 4 5 2 6 2" xfId="19323"/>
    <cellStyle name="Header2 4 5 2 6 2 2" xfId="31140"/>
    <cellStyle name="Header2 4 5 2 6 2 2 2" xfId="41139"/>
    <cellStyle name="Header2 4 5 2 6 2 3" xfId="26798"/>
    <cellStyle name="Header2 4 5 2 6 2 4" xfId="35988"/>
    <cellStyle name="Header2 4 5 2 6 3" xfId="19929"/>
    <cellStyle name="Header2 4 5 2 6 3 2" xfId="31746"/>
    <cellStyle name="Header2 4 5 2 6 3 2 2" xfId="41745"/>
    <cellStyle name="Header2 4 5 2 6 3 3" xfId="27404"/>
    <cellStyle name="Header2 4 5 2 6 3 4" xfId="36594"/>
    <cellStyle name="Header2 4 5 2 6 4" xfId="18856"/>
    <cellStyle name="Header2 4 5 2 6 4 2" xfId="30673"/>
    <cellStyle name="Header2 4 5 2 6 4 2 2" xfId="40672"/>
    <cellStyle name="Header2 4 5 2 6 4 3" xfId="26331"/>
    <cellStyle name="Header2 4 5 2 6 4 4" xfId="35521"/>
    <cellStyle name="Header2 4 5 2 6 5" xfId="20738"/>
    <cellStyle name="Header2 4 5 2 6 5 2" xfId="32555"/>
    <cellStyle name="Header2 4 5 2 6 5 2 2" xfId="42554"/>
    <cellStyle name="Header2 4 5 2 6 5 3" xfId="37403"/>
    <cellStyle name="Header2 4 5 2 6 6" xfId="28170"/>
    <cellStyle name="Header2 4 5 2 6 6 2" xfId="38169"/>
    <cellStyle name="Header2 4 5 2 6 7" xfId="22298"/>
    <cellStyle name="Header2 4 5 2 7" xfId="16052"/>
    <cellStyle name="Header2 4 5 2 7 2" xfId="27869"/>
    <cellStyle name="Header2 4 5 2 7 2 2" xfId="37868"/>
    <cellStyle name="Header2 4 5 2 7 3" xfId="23930"/>
    <cellStyle name="Header2 4 5 2 7 4" xfId="33020"/>
    <cellStyle name="Header2 4 5 2 8" xfId="16497"/>
    <cellStyle name="Header2 4 5 2 8 2" xfId="28314"/>
    <cellStyle name="Header2 4 5 2 8 2 2" xfId="38313"/>
    <cellStyle name="Header2 4 5 2 8 3" xfId="24072"/>
    <cellStyle name="Header2 4 5 2 8 4" xfId="33162"/>
    <cellStyle name="Header2 4 5 2 9" xfId="16799"/>
    <cellStyle name="Header2 4 5 2 9 2" xfId="28616"/>
    <cellStyle name="Header2 4 5 2 9 2 2" xfId="38615"/>
    <cellStyle name="Header2 4 5 2 9 3" xfId="24374"/>
    <cellStyle name="Header2 4 5 2 9 4" xfId="33464"/>
    <cellStyle name="Header2 4 5 3" xfId="7969"/>
    <cellStyle name="Header2 4 5 3 10" xfId="17291"/>
    <cellStyle name="Header2 4 5 3 10 2" xfId="29108"/>
    <cellStyle name="Header2 4 5 3 10 2 2" xfId="39107"/>
    <cellStyle name="Header2 4 5 3 10 3" xfId="24866"/>
    <cellStyle name="Header2 4 5 3 10 4" xfId="33956"/>
    <cellStyle name="Header2 4 5 3 11" xfId="17594"/>
    <cellStyle name="Header2 4 5 3 11 2" xfId="29411"/>
    <cellStyle name="Header2 4 5 3 11 2 2" xfId="39410"/>
    <cellStyle name="Header2 4 5 3 11 3" xfId="25169"/>
    <cellStyle name="Header2 4 5 3 11 4" xfId="34259"/>
    <cellStyle name="Header2 4 5 3 12" xfId="18341"/>
    <cellStyle name="Header2 4 5 3 12 2" xfId="30158"/>
    <cellStyle name="Header2 4 5 3 12 2 2" xfId="40157"/>
    <cellStyle name="Header2 4 5 3 12 3" xfId="25816"/>
    <cellStyle name="Header2 4 5 3 12 4" xfId="35006"/>
    <cellStyle name="Header2 4 5 3 13" xfId="18643"/>
    <cellStyle name="Header2 4 5 3 13 2" xfId="30460"/>
    <cellStyle name="Header2 4 5 3 13 2 2" xfId="40459"/>
    <cellStyle name="Header2 4 5 3 13 3" xfId="26118"/>
    <cellStyle name="Header2 4 5 3 13 4" xfId="35308"/>
    <cellStyle name="Header2 4 5 3 14" xfId="20172"/>
    <cellStyle name="Header2 4 5 3 14 2" xfId="31989"/>
    <cellStyle name="Header2 4 5 3 14 2 2" xfId="41988"/>
    <cellStyle name="Header2 4 5 3 14 3" xfId="36837"/>
    <cellStyle name="Header2 4 5 3 15" xfId="23133"/>
    <cellStyle name="Header2 4 5 3 15 2" xfId="22024"/>
    <cellStyle name="Header2 4 5 3 16" xfId="22527"/>
    <cellStyle name="Header2 4 5 3 2" xfId="7970"/>
    <cellStyle name="Header2 4 5 3 2 10" xfId="18642"/>
    <cellStyle name="Header2 4 5 3 2 10 2" xfId="30459"/>
    <cellStyle name="Header2 4 5 3 2 10 2 2" xfId="40458"/>
    <cellStyle name="Header2 4 5 3 2 10 3" xfId="26117"/>
    <cellStyle name="Header2 4 5 3 2 10 4" xfId="35307"/>
    <cellStyle name="Header2 4 5 3 2 11" xfId="20273"/>
    <cellStyle name="Header2 4 5 3 2 11 2" xfId="32090"/>
    <cellStyle name="Header2 4 5 3 2 11 2 2" xfId="42089"/>
    <cellStyle name="Header2 4 5 3 2 11 3" xfId="36938"/>
    <cellStyle name="Header2 4 5 3 2 12" xfId="23132"/>
    <cellStyle name="Header2 4 5 3 2 12 2" xfId="21264"/>
    <cellStyle name="Header2 4 5 3 2 13" xfId="22526"/>
    <cellStyle name="Header2 4 5 3 2 2" xfId="15777"/>
    <cellStyle name="Header2 4 5 3 2 2 2" xfId="19016"/>
    <cellStyle name="Header2 4 5 3 2 2 2 2" xfId="30833"/>
    <cellStyle name="Header2 4 5 3 2 2 2 2 2" xfId="40832"/>
    <cellStyle name="Header2 4 5 3 2 2 2 3" xfId="26491"/>
    <cellStyle name="Header2 4 5 3 2 2 2 4" xfId="35681"/>
    <cellStyle name="Header2 4 5 3 2 2 3" xfId="19622"/>
    <cellStyle name="Header2 4 5 3 2 2 3 2" xfId="31439"/>
    <cellStyle name="Header2 4 5 3 2 2 3 2 2" xfId="41438"/>
    <cellStyle name="Header2 4 5 3 2 2 3 3" xfId="27097"/>
    <cellStyle name="Header2 4 5 3 2 2 3 4" xfId="36287"/>
    <cellStyle name="Header2 4 5 3 2 2 4" xfId="18176"/>
    <cellStyle name="Header2 4 5 3 2 2 4 2" xfId="29993"/>
    <cellStyle name="Header2 4 5 3 2 2 4 2 2" xfId="39992"/>
    <cellStyle name="Header2 4 5 3 2 2 4 3" xfId="25751"/>
    <cellStyle name="Header2 4 5 3 2 2 4 4" xfId="34841"/>
    <cellStyle name="Header2 4 5 3 2 2 5" xfId="20431"/>
    <cellStyle name="Header2 4 5 3 2 2 5 2" xfId="32248"/>
    <cellStyle name="Header2 4 5 3 2 2 5 2 2" xfId="42247"/>
    <cellStyle name="Header2 4 5 3 2 2 5 3" xfId="37096"/>
    <cellStyle name="Header2 4 5 3 2 2 6" xfId="23655"/>
    <cellStyle name="Header2 4 5 3 2 2 6 2" xfId="20993"/>
    <cellStyle name="Header2 4 5 3 2 2 7" xfId="22805"/>
    <cellStyle name="Header2 4 5 3 2 2 7 2" xfId="22203"/>
    <cellStyle name="Header2 4 5 3 2 2 8" xfId="22465"/>
    <cellStyle name="Header2 4 5 3 2 3" xfId="16358"/>
    <cellStyle name="Header2 4 5 3 2 3 2" xfId="19318"/>
    <cellStyle name="Header2 4 5 3 2 3 2 2" xfId="31135"/>
    <cellStyle name="Header2 4 5 3 2 3 2 2 2" xfId="41134"/>
    <cellStyle name="Header2 4 5 3 2 3 2 3" xfId="26793"/>
    <cellStyle name="Header2 4 5 3 2 3 2 4" xfId="35983"/>
    <cellStyle name="Header2 4 5 3 2 3 3" xfId="19924"/>
    <cellStyle name="Header2 4 5 3 2 3 3 2" xfId="31741"/>
    <cellStyle name="Header2 4 5 3 2 3 3 2 2" xfId="41740"/>
    <cellStyle name="Header2 4 5 3 2 3 3 3" xfId="27399"/>
    <cellStyle name="Header2 4 5 3 2 3 3 4" xfId="36589"/>
    <cellStyle name="Header2 4 5 3 2 3 4" xfId="17662"/>
    <cellStyle name="Header2 4 5 3 2 3 4 2" xfId="29479"/>
    <cellStyle name="Header2 4 5 3 2 3 4 2 2" xfId="39478"/>
    <cellStyle name="Header2 4 5 3 2 3 4 3" xfId="25237"/>
    <cellStyle name="Header2 4 5 3 2 3 4 4" xfId="34327"/>
    <cellStyle name="Header2 4 5 3 2 3 5" xfId="20733"/>
    <cellStyle name="Header2 4 5 3 2 3 5 2" xfId="32550"/>
    <cellStyle name="Header2 4 5 3 2 3 5 2 2" xfId="42549"/>
    <cellStyle name="Header2 4 5 3 2 3 5 3" xfId="37398"/>
    <cellStyle name="Header2 4 5 3 2 3 6" xfId="28175"/>
    <cellStyle name="Header2 4 5 3 2 3 6 2" xfId="38174"/>
    <cellStyle name="Header2 4 5 3 2 3 7" xfId="21567"/>
    <cellStyle name="Header2 4 5 3 2 4" xfId="16057"/>
    <cellStyle name="Header2 4 5 3 2 4 2" xfId="27874"/>
    <cellStyle name="Header2 4 5 3 2 4 2 2" xfId="37873"/>
    <cellStyle name="Header2 4 5 3 2 4 3" xfId="23935"/>
    <cellStyle name="Header2 4 5 3 2 4 4" xfId="33025"/>
    <cellStyle name="Header2 4 5 3 2 5" xfId="16492"/>
    <cellStyle name="Header2 4 5 3 2 5 2" xfId="28309"/>
    <cellStyle name="Header2 4 5 3 2 5 2 2" xfId="38308"/>
    <cellStyle name="Header2 4 5 3 2 5 3" xfId="24067"/>
    <cellStyle name="Header2 4 5 3 2 5 4" xfId="33157"/>
    <cellStyle name="Header2 4 5 3 2 6" xfId="16794"/>
    <cellStyle name="Header2 4 5 3 2 6 2" xfId="28611"/>
    <cellStyle name="Header2 4 5 3 2 6 2 2" xfId="38610"/>
    <cellStyle name="Header2 4 5 3 2 6 3" xfId="24369"/>
    <cellStyle name="Header2 4 5 3 2 6 4" xfId="33459"/>
    <cellStyle name="Header2 4 5 3 2 7" xfId="17292"/>
    <cellStyle name="Header2 4 5 3 2 7 2" xfId="29109"/>
    <cellStyle name="Header2 4 5 3 2 7 2 2" xfId="39108"/>
    <cellStyle name="Header2 4 5 3 2 7 3" xfId="24867"/>
    <cellStyle name="Header2 4 5 3 2 7 4" xfId="33957"/>
    <cellStyle name="Header2 4 5 3 2 8" xfId="17595"/>
    <cellStyle name="Header2 4 5 3 2 8 2" xfId="29412"/>
    <cellStyle name="Header2 4 5 3 2 8 2 2" xfId="39411"/>
    <cellStyle name="Header2 4 5 3 2 8 3" xfId="25170"/>
    <cellStyle name="Header2 4 5 3 2 8 4" xfId="34260"/>
    <cellStyle name="Header2 4 5 3 2 9" xfId="18340"/>
    <cellStyle name="Header2 4 5 3 2 9 2" xfId="30157"/>
    <cellStyle name="Header2 4 5 3 2 9 2 2" xfId="40156"/>
    <cellStyle name="Header2 4 5 3 2 9 3" xfId="25815"/>
    <cellStyle name="Header2 4 5 3 2 9 4" xfId="35005"/>
    <cellStyle name="Header2 4 5 3 3" xfId="7971"/>
    <cellStyle name="Header2 4 5 3 3 10" xfId="18641"/>
    <cellStyle name="Header2 4 5 3 3 10 2" xfId="30458"/>
    <cellStyle name="Header2 4 5 3 3 10 2 2" xfId="40457"/>
    <cellStyle name="Header2 4 5 3 3 10 3" xfId="26116"/>
    <cellStyle name="Header2 4 5 3 3 10 4" xfId="35306"/>
    <cellStyle name="Header2 4 5 3 3 11" xfId="18288"/>
    <cellStyle name="Header2 4 5 3 3 11 2" xfId="30105"/>
    <cellStyle name="Header2 4 5 3 3 11 2 2" xfId="40104"/>
    <cellStyle name="Header2 4 5 3 3 11 3" xfId="34953"/>
    <cellStyle name="Header2 4 5 3 3 12" xfId="23131"/>
    <cellStyle name="Header2 4 5 3 3 12 2" xfId="21265"/>
    <cellStyle name="Header2 4 5 3 3 13" xfId="22525"/>
    <cellStyle name="Header2 4 5 3 3 2" xfId="15778"/>
    <cellStyle name="Header2 4 5 3 3 2 2" xfId="19015"/>
    <cellStyle name="Header2 4 5 3 3 2 2 2" xfId="30832"/>
    <cellStyle name="Header2 4 5 3 3 2 2 2 2" xfId="40831"/>
    <cellStyle name="Header2 4 5 3 3 2 2 3" xfId="26490"/>
    <cellStyle name="Header2 4 5 3 3 2 2 4" xfId="35680"/>
    <cellStyle name="Header2 4 5 3 3 2 3" xfId="19621"/>
    <cellStyle name="Header2 4 5 3 3 2 3 2" xfId="31438"/>
    <cellStyle name="Header2 4 5 3 3 2 3 2 2" xfId="41437"/>
    <cellStyle name="Header2 4 5 3 3 2 3 3" xfId="27096"/>
    <cellStyle name="Header2 4 5 3 3 2 3 4" xfId="36286"/>
    <cellStyle name="Header2 4 5 3 3 2 4" xfId="18177"/>
    <cellStyle name="Header2 4 5 3 3 2 4 2" xfId="29994"/>
    <cellStyle name="Header2 4 5 3 3 2 4 2 2" xfId="39993"/>
    <cellStyle name="Header2 4 5 3 3 2 4 3" xfId="25752"/>
    <cellStyle name="Header2 4 5 3 3 2 4 4" xfId="34842"/>
    <cellStyle name="Header2 4 5 3 3 2 5" xfId="20430"/>
    <cellStyle name="Header2 4 5 3 3 2 5 2" xfId="32247"/>
    <cellStyle name="Header2 4 5 3 3 2 5 2 2" xfId="42246"/>
    <cellStyle name="Header2 4 5 3 3 2 5 3" xfId="37095"/>
    <cellStyle name="Header2 4 5 3 3 2 6" xfId="23656"/>
    <cellStyle name="Header2 4 5 3 3 2 6 2" xfId="21779"/>
    <cellStyle name="Header2 4 5 3 3 2 7" xfId="22943"/>
    <cellStyle name="Header2 4 5 3 3 2 7 2" xfId="22140"/>
    <cellStyle name="Header2 4 5 3 3 2 8" xfId="22466"/>
    <cellStyle name="Header2 4 5 3 3 3" xfId="16359"/>
    <cellStyle name="Header2 4 5 3 3 3 2" xfId="19317"/>
    <cellStyle name="Header2 4 5 3 3 3 2 2" xfId="31134"/>
    <cellStyle name="Header2 4 5 3 3 3 2 2 2" xfId="41133"/>
    <cellStyle name="Header2 4 5 3 3 3 2 3" xfId="26792"/>
    <cellStyle name="Header2 4 5 3 3 3 2 4" xfId="35982"/>
    <cellStyle name="Header2 4 5 3 3 3 3" xfId="19923"/>
    <cellStyle name="Header2 4 5 3 3 3 3 2" xfId="31740"/>
    <cellStyle name="Header2 4 5 3 3 3 3 2 2" xfId="41739"/>
    <cellStyle name="Header2 4 5 3 3 3 3 3" xfId="27398"/>
    <cellStyle name="Header2 4 5 3 3 3 3 4" xfId="36588"/>
    <cellStyle name="Header2 4 5 3 3 3 4" xfId="18875"/>
    <cellStyle name="Header2 4 5 3 3 3 4 2" xfId="30692"/>
    <cellStyle name="Header2 4 5 3 3 3 4 2 2" xfId="40691"/>
    <cellStyle name="Header2 4 5 3 3 3 4 3" xfId="26350"/>
    <cellStyle name="Header2 4 5 3 3 3 4 4" xfId="35540"/>
    <cellStyle name="Header2 4 5 3 3 3 5" xfId="20732"/>
    <cellStyle name="Header2 4 5 3 3 3 5 2" xfId="32549"/>
    <cellStyle name="Header2 4 5 3 3 3 5 2 2" xfId="42548"/>
    <cellStyle name="Header2 4 5 3 3 3 5 3" xfId="37397"/>
    <cellStyle name="Header2 4 5 3 3 3 6" xfId="28176"/>
    <cellStyle name="Header2 4 5 3 3 3 6 2" xfId="38175"/>
    <cellStyle name="Header2 4 5 3 3 3 7" xfId="22302"/>
    <cellStyle name="Header2 4 5 3 3 4" xfId="16058"/>
    <cellStyle name="Header2 4 5 3 3 4 2" xfId="27875"/>
    <cellStyle name="Header2 4 5 3 3 4 2 2" xfId="37874"/>
    <cellStyle name="Header2 4 5 3 3 4 3" xfId="23936"/>
    <cellStyle name="Header2 4 5 3 3 4 4" xfId="33026"/>
    <cellStyle name="Header2 4 5 3 3 5" xfId="16491"/>
    <cellStyle name="Header2 4 5 3 3 5 2" xfId="28308"/>
    <cellStyle name="Header2 4 5 3 3 5 2 2" xfId="38307"/>
    <cellStyle name="Header2 4 5 3 3 5 3" xfId="24066"/>
    <cellStyle name="Header2 4 5 3 3 5 4" xfId="33156"/>
    <cellStyle name="Header2 4 5 3 3 6" xfId="16793"/>
    <cellStyle name="Header2 4 5 3 3 6 2" xfId="28610"/>
    <cellStyle name="Header2 4 5 3 3 6 2 2" xfId="38609"/>
    <cellStyle name="Header2 4 5 3 3 6 3" xfId="24368"/>
    <cellStyle name="Header2 4 5 3 3 6 4" xfId="33458"/>
    <cellStyle name="Header2 4 5 3 3 7" xfId="17293"/>
    <cellStyle name="Header2 4 5 3 3 7 2" xfId="29110"/>
    <cellStyle name="Header2 4 5 3 3 7 2 2" xfId="39109"/>
    <cellStyle name="Header2 4 5 3 3 7 3" xfId="24868"/>
    <cellStyle name="Header2 4 5 3 3 7 4" xfId="33958"/>
    <cellStyle name="Header2 4 5 3 3 8" xfId="17596"/>
    <cellStyle name="Header2 4 5 3 3 8 2" xfId="29413"/>
    <cellStyle name="Header2 4 5 3 3 8 2 2" xfId="39412"/>
    <cellStyle name="Header2 4 5 3 3 8 3" xfId="25171"/>
    <cellStyle name="Header2 4 5 3 3 8 4" xfId="34261"/>
    <cellStyle name="Header2 4 5 3 3 9" xfId="18339"/>
    <cellStyle name="Header2 4 5 3 3 9 2" xfId="30156"/>
    <cellStyle name="Header2 4 5 3 3 9 2 2" xfId="40155"/>
    <cellStyle name="Header2 4 5 3 3 9 3" xfId="25814"/>
    <cellStyle name="Header2 4 5 3 3 9 4" xfId="35004"/>
    <cellStyle name="Header2 4 5 3 4" xfId="7972"/>
    <cellStyle name="Header2 4 5 3 4 10" xfId="18640"/>
    <cellStyle name="Header2 4 5 3 4 10 2" xfId="30457"/>
    <cellStyle name="Header2 4 5 3 4 10 2 2" xfId="40456"/>
    <cellStyle name="Header2 4 5 3 4 10 3" xfId="26115"/>
    <cellStyle name="Header2 4 5 3 4 10 4" xfId="35305"/>
    <cellStyle name="Header2 4 5 3 4 11" xfId="20171"/>
    <cellStyle name="Header2 4 5 3 4 11 2" xfId="31988"/>
    <cellStyle name="Header2 4 5 3 4 11 2 2" xfId="41987"/>
    <cellStyle name="Header2 4 5 3 4 11 3" xfId="36836"/>
    <cellStyle name="Header2 4 5 3 4 12" xfId="23130"/>
    <cellStyle name="Header2 4 5 3 4 12 2" xfId="22025"/>
    <cellStyle name="Header2 4 5 3 4 13" xfId="22524"/>
    <cellStyle name="Header2 4 5 3 4 2" xfId="15779"/>
    <cellStyle name="Header2 4 5 3 4 2 2" xfId="19014"/>
    <cellStyle name="Header2 4 5 3 4 2 2 2" xfId="30831"/>
    <cellStyle name="Header2 4 5 3 4 2 2 2 2" xfId="40830"/>
    <cellStyle name="Header2 4 5 3 4 2 2 3" xfId="26489"/>
    <cellStyle name="Header2 4 5 3 4 2 2 4" xfId="35679"/>
    <cellStyle name="Header2 4 5 3 4 2 3" xfId="19620"/>
    <cellStyle name="Header2 4 5 3 4 2 3 2" xfId="31437"/>
    <cellStyle name="Header2 4 5 3 4 2 3 2 2" xfId="41436"/>
    <cellStyle name="Header2 4 5 3 4 2 3 3" xfId="27095"/>
    <cellStyle name="Header2 4 5 3 4 2 3 4" xfId="36285"/>
    <cellStyle name="Header2 4 5 3 4 2 4" xfId="17721"/>
    <cellStyle name="Header2 4 5 3 4 2 4 2" xfId="29538"/>
    <cellStyle name="Header2 4 5 3 4 2 4 2 2" xfId="39537"/>
    <cellStyle name="Header2 4 5 3 4 2 4 3" xfId="25296"/>
    <cellStyle name="Header2 4 5 3 4 2 4 4" xfId="34386"/>
    <cellStyle name="Header2 4 5 3 4 2 5" xfId="20429"/>
    <cellStyle name="Header2 4 5 3 4 2 5 2" xfId="32246"/>
    <cellStyle name="Header2 4 5 3 4 2 5 2 2" xfId="42245"/>
    <cellStyle name="Header2 4 5 3 4 2 5 3" xfId="37094"/>
    <cellStyle name="Header2 4 5 3 4 2 6" xfId="23657"/>
    <cellStyle name="Header2 4 5 3 4 2 6 2" xfId="20994"/>
    <cellStyle name="Header2 4 5 3 4 2 7" xfId="22804"/>
    <cellStyle name="Header2 4 5 3 4 2 7 2" xfId="21413"/>
    <cellStyle name="Header2 4 5 3 4 2 8" xfId="21706"/>
    <cellStyle name="Header2 4 5 3 4 3" xfId="16360"/>
    <cellStyle name="Header2 4 5 3 4 3 2" xfId="19316"/>
    <cellStyle name="Header2 4 5 3 4 3 2 2" xfId="31133"/>
    <cellStyle name="Header2 4 5 3 4 3 2 2 2" xfId="41132"/>
    <cellStyle name="Header2 4 5 3 4 3 2 3" xfId="26791"/>
    <cellStyle name="Header2 4 5 3 4 3 2 4" xfId="35981"/>
    <cellStyle name="Header2 4 5 3 4 3 3" xfId="19922"/>
    <cellStyle name="Header2 4 5 3 4 3 3 2" xfId="31739"/>
    <cellStyle name="Header2 4 5 3 4 3 3 2 2" xfId="41738"/>
    <cellStyle name="Header2 4 5 3 4 3 3 3" xfId="27397"/>
    <cellStyle name="Header2 4 5 3 4 3 3 4" xfId="36587"/>
    <cellStyle name="Header2 4 5 3 4 3 4" xfId="18118"/>
    <cellStyle name="Header2 4 5 3 4 3 4 2" xfId="29935"/>
    <cellStyle name="Header2 4 5 3 4 3 4 2 2" xfId="39934"/>
    <cellStyle name="Header2 4 5 3 4 3 4 3" xfId="25693"/>
    <cellStyle name="Header2 4 5 3 4 3 4 4" xfId="34783"/>
    <cellStyle name="Header2 4 5 3 4 3 5" xfId="20731"/>
    <cellStyle name="Header2 4 5 3 4 3 5 2" xfId="32548"/>
    <cellStyle name="Header2 4 5 3 4 3 5 2 2" xfId="42547"/>
    <cellStyle name="Header2 4 5 3 4 3 5 3" xfId="37396"/>
    <cellStyle name="Header2 4 5 3 4 3 6" xfId="28177"/>
    <cellStyle name="Header2 4 5 3 4 3 6 2" xfId="38176"/>
    <cellStyle name="Header2 4 5 3 4 3 7" xfId="21568"/>
    <cellStyle name="Header2 4 5 3 4 4" xfId="16059"/>
    <cellStyle name="Header2 4 5 3 4 4 2" xfId="27876"/>
    <cellStyle name="Header2 4 5 3 4 4 2 2" xfId="37875"/>
    <cellStyle name="Header2 4 5 3 4 4 3" xfId="23937"/>
    <cellStyle name="Header2 4 5 3 4 4 4" xfId="33027"/>
    <cellStyle name="Header2 4 5 3 4 5" xfId="16490"/>
    <cellStyle name="Header2 4 5 3 4 5 2" xfId="28307"/>
    <cellStyle name="Header2 4 5 3 4 5 2 2" xfId="38306"/>
    <cellStyle name="Header2 4 5 3 4 5 3" xfId="24065"/>
    <cellStyle name="Header2 4 5 3 4 5 4" xfId="33155"/>
    <cellStyle name="Header2 4 5 3 4 6" xfId="16792"/>
    <cellStyle name="Header2 4 5 3 4 6 2" xfId="28609"/>
    <cellStyle name="Header2 4 5 3 4 6 2 2" xfId="38608"/>
    <cellStyle name="Header2 4 5 3 4 6 3" xfId="24367"/>
    <cellStyle name="Header2 4 5 3 4 6 4" xfId="33457"/>
    <cellStyle name="Header2 4 5 3 4 7" xfId="17294"/>
    <cellStyle name="Header2 4 5 3 4 7 2" xfId="29111"/>
    <cellStyle name="Header2 4 5 3 4 7 2 2" xfId="39110"/>
    <cellStyle name="Header2 4 5 3 4 7 3" xfId="24869"/>
    <cellStyle name="Header2 4 5 3 4 7 4" xfId="33959"/>
    <cellStyle name="Header2 4 5 3 4 8" xfId="17597"/>
    <cellStyle name="Header2 4 5 3 4 8 2" xfId="29414"/>
    <cellStyle name="Header2 4 5 3 4 8 2 2" xfId="39413"/>
    <cellStyle name="Header2 4 5 3 4 8 3" xfId="25172"/>
    <cellStyle name="Header2 4 5 3 4 8 4" xfId="34262"/>
    <cellStyle name="Header2 4 5 3 4 9" xfId="18338"/>
    <cellStyle name="Header2 4 5 3 4 9 2" xfId="30155"/>
    <cellStyle name="Header2 4 5 3 4 9 2 2" xfId="40154"/>
    <cellStyle name="Header2 4 5 3 4 9 3" xfId="25813"/>
    <cellStyle name="Header2 4 5 3 4 9 4" xfId="35003"/>
    <cellStyle name="Header2 4 5 3 5" xfId="15776"/>
    <cellStyle name="Header2 4 5 3 5 2" xfId="19017"/>
    <cellStyle name="Header2 4 5 3 5 2 2" xfId="30834"/>
    <cellStyle name="Header2 4 5 3 5 2 2 2" xfId="40833"/>
    <cellStyle name="Header2 4 5 3 5 2 3" xfId="26492"/>
    <cellStyle name="Header2 4 5 3 5 2 4" xfId="35682"/>
    <cellStyle name="Header2 4 5 3 5 3" xfId="19623"/>
    <cellStyle name="Header2 4 5 3 5 3 2" xfId="31440"/>
    <cellStyle name="Header2 4 5 3 5 3 2 2" xfId="41439"/>
    <cellStyle name="Header2 4 5 3 5 3 3" xfId="27098"/>
    <cellStyle name="Header2 4 5 3 5 3 4" xfId="36288"/>
    <cellStyle name="Header2 4 5 3 5 4" xfId="18175"/>
    <cellStyle name="Header2 4 5 3 5 4 2" xfId="29992"/>
    <cellStyle name="Header2 4 5 3 5 4 2 2" xfId="39991"/>
    <cellStyle name="Header2 4 5 3 5 4 3" xfId="25750"/>
    <cellStyle name="Header2 4 5 3 5 4 4" xfId="34840"/>
    <cellStyle name="Header2 4 5 3 5 5" xfId="20432"/>
    <cellStyle name="Header2 4 5 3 5 5 2" xfId="32249"/>
    <cellStyle name="Header2 4 5 3 5 5 2 2" xfId="42248"/>
    <cellStyle name="Header2 4 5 3 5 5 3" xfId="37097"/>
    <cellStyle name="Header2 4 5 3 5 6" xfId="23654"/>
    <cellStyle name="Header2 4 5 3 5 6 2" xfId="21780"/>
    <cellStyle name="Header2 4 5 3 5 7" xfId="22944"/>
    <cellStyle name="Header2 4 5 3 5 7 2" xfId="22139"/>
    <cellStyle name="Header2 4 5 3 5 8" xfId="22464"/>
    <cellStyle name="Header2 4 5 3 6" xfId="16357"/>
    <cellStyle name="Header2 4 5 3 6 2" xfId="19319"/>
    <cellStyle name="Header2 4 5 3 6 2 2" xfId="31136"/>
    <cellStyle name="Header2 4 5 3 6 2 2 2" xfId="41135"/>
    <cellStyle name="Header2 4 5 3 6 2 3" xfId="26794"/>
    <cellStyle name="Header2 4 5 3 6 2 4" xfId="35984"/>
    <cellStyle name="Header2 4 5 3 6 3" xfId="19925"/>
    <cellStyle name="Header2 4 5 3 6 3 2" xfId="31742"/>
    <cellStyle name="Header2 4 5 3 6 3 2 2" xfId="41741"/>
    <cellStyle name="Header2 4 5 3 6 3 3" xfId="27400"/>
    <cellStyle name="Header2 4 5 3 6 3 4" xfId="36590"/>
    <cellStyle name="Header2 4 5 3 6 4" xfId="18874"/>
    <cellStyle name="Header2 4 5 3 6 4 2" xfId="30691"/>
    <cellStyle name="Header2 4 5 3 6 4 2 2" xfId="40690"/>
    <cellStyle name="Header2 4 5 3 6 4 3" xfId="26349"/>
    <cellStyle name="Header2 4 5 3 6 4 4" xfId="35539"/>
    <cellStyle name="Header2 4 5 3 6 5" xfId="20734"/>
    <cellStyle name="Header2 4 5 3 6 5 2" xfId="32551"/>
    <cellStyle name="Header2 4 5 3 6 5 2 2" xfId="42550"/>
    <cellStyle name="Header2 4 5 3 6 5 3" xfId="37399"/>
    <cellStyle name="Header2 4 5 3 6 6" xfId="28174"/>
    <cellStyle name="Header2 4 5 3 6 6 2" xfId="38173"/>
    <cellStyle name="Header2 4 5 3 6 7" xfId="21566"/>
    <cellStyle name="Header2 4 5 3 7" xfId="16056"/>
    <cellStyle name="Header2 4 5 3 7 2" xfId="27873"/>
    <cellStyle name="Header2 4 5 3 7 2 2" xfId="37872"/>
    <cellStyle name="Header2 4 5 3 7 3" xfId="23934"/>
    <cellStyle name="Header2 4 5 3 7 4" xfId="33024"/>
    <cellStyle name="Header2 4 5 3 8" xfId="16493"/>
    <cellStyle name="Header2 4 5 3 8 2" xfId="28310"/>
    <cellStyle name="Header2 4 5 3 8 2 2" xfId="38309"/>
    <cellStyle name="Header2 4 5 3 8 3" xfId="24068"/>
    <cellStyle name="Header2 4 5 3 8 4" xfId="33158"/>
    <cellStyle name="Header2 4 5 3 9" xfId="16795"/>
    <cellStyle name="Header2 4 5 3 9 2" xfId="28612"/>
    <cellStyle name="Header2 4 5 3 9 2 2" xfId="38611"/>
    <cellStyle name="Header2 4 5 3 9 3" xfId="24370"/>
    <cellStyle name="Header2 4 5 3 9 4" xfId="33460"/>
    <cellStyle name="Header2 4 5 4" xfId="7973"/>
    <cellStyle name="Header2 4 5 4 10" xfId="18639"/>
    <cellStyle name="Header2 4 5 4 10 2" xfId="30456"/>
    <cellStyle name="Header2 4 5 4 10 2 2" xfId="40455"/>
    <cellStyle name="Header2 4 5 4 10 3" xfId="26114"/>
    <cellStyle name="Header2 4 5 4 10 4" xfId="35304"/>
    <cellStyle name="Header2 4 5 4 11" xfId="20272"/>
    <cellStyle name="Header2 4 5 4 11 2" xfId="32089"/>
    <cellStyle name="Header2 4 5 4 11 2 2" xfId="42088"/>
    <cellStyle name="Header2 4 5 4 11 3" xfId="36937"/>
    <cellStyle name="Header2 4 5 4 12" xfId="23129"/>
    <cellStyle name="Header2 4 5 4 12 2" xfId="21266"/>
    <cellStyle name="Header2 4 5 4 13" xfId="22523"/>
    <cellStyle name="Header2 4 5 4 2" xfId="15780"/>
    <cellStyle name="Header2 4 5 4 2 2" xfId="19013"/>
    <cellStyle name="Header2 4 5 4 2 2 2" xfId="30830"/>
    <cellStyle name="Header2 4 5 4 2 2 2 2" xfId="40829"/>
    <cellStyle name="Header2 4 5 4 2 2 3" xfId="26488"/>
    <cellStyle name="Header2 4 5 4 2 2 4" xfId="35678"/>
    <cellStyle name="Header2 4 5 4 2 3" xfId="19619"/>
    <cellStyle name="Header2 4 5 4 2 3 2" xfId="31436"/>
    <cellStyle name="Header2 4 5 4 2 3 2 2" xfId="41435"/>
    <cellStyle name="Header2 4 5 4 2 3 3" xfId="27094"/>
    <cellStyle name="Header2 4 5 4 2 3 4" xfId="36284"/>
    <cellStyle name="Header2 4 5 4 2 4" xfId="17722"/>
    <cellStyle name="Header2 4 5 4 2 4 2" xfId="29539"/>
    <cellStyle name="Header2 4 5 4 2 4 2 2" xfId="39538"/>
    <cellStyle name="Header2 4 5 4 2 4 3" xfId="25297"/>
    <cellStyle name="Header2 4 5 4 2 4 4" xfId="34387"/>
    <cellStyle name="Header2 4 5 4 2 5" xfId="20428"/>
    <cellStyle name="Header2 4 5 4 2 5 2" xfId="32245"/>
    <cellStyle name="Header2 4 5 4 2 5 2 2" xfId="42244"/>
    <cellStyle name="Header2 4 5 4 2 5 3" xfId="37093"/>
    <cellStyle name="Header2 4 5 4 2 6" xfId="23658"/>
    <cellStyle name="Header2 4 5 4 2 6 2" xfId="21778"/>
    <cellStyle name="Header2 4 5 4 2 7" xfId="22942"/>
    <cellStyle name="Header2 4 5 4 2 7 2" xfId="22141"/>
    <cellStyle name="Header2 4 5 4 2 8" xfId="21707"/>
    <cellStyle name="Header2 4 5 4 3" xfId="16361"/>
    <cellStyle name="Header2 4 5 4 3 2" xfId="19315"/>
    <cellStyle name="Header2 4 5 4 3 2 2" xfId="31132"/>
    <cellStyle name="Header2 4 5 4 3 2 2 2" xfId="41131"/>
    <cellStyle name="Header2 4 5 4 3 2 3" xfId="26790"/>
    <cellStyle name="Header2 4 5 4 3 2 4" xfId="35980"/>
    <cellStyle name="Header2 4 5 4 3 3" xfId="19921"/>
    <cellStyle name="Header2 4 5 4 3 3 2" xfId="31738"/>
    <cellStyle name="Header2 4 5 4 3 3 2 2" xfId="41737"/>
    <cellStyle name="Header2 4 5 4 3 3 3" xfId="27396"/>
    <cellStyle name="Header2 4 5 4 3 3 4" xfId="36586"/>
    <cellStyle name="Header2 4 5 4 3 4" xfId="18876"/>
    <cellStyle name="Header2 4 5 4 3 4 2" xfId="30693"/>
    <cellStyle name="Header2 4 5 4 3 4 2 2" xfId="40692"/>
    <cellStyle name="Header2 4 5 4 3 4 3" xfId="26351"/>
    <cellStyle name="Header2 4 5 4 3 4 4" xfId="35541"/>
    <cellStyle name="Header2 4 5 4 3 5" xfId="20730"/>
    <cellStyle name="Header2 4 5 4 3 5 2" xfId="32547"/>
    <cellStyle name="Header2 4 5 4 3 5 2 2" xfId="42546"/>
    <cellStyle name="Header2 4 5 4 3 5 3" xfId="37395"/>
    <cellStyle name="Header2 4 5 4 3 6" xfId="28178"/>
    <cellStyle name="Header2 4 5 4 3 6 2" xfId="38177"/>
    <cellStyle name="Header2 4 5 4 3 7" xfId="22303"/>
    <cellStyle name="Header2 4 5 4 4" xfId="16060"/>
    <cellStyle name="Header2 4 5 4 4 2" xfId="27877"/>
    <cellStyle name="Header2 4 5 4 4 2 2" xfId="37876"/>
    <cellStyle name="Header2 4 5 4 4 3" xfId="23938"/>
    <cellStyle name="Header2 4 5 4 4 4" xfId="33028"/>
    <cellStyle name="Header2 4 5 4 5" xfId="16489"/>
    <cellStyle name="Header2 4 5 4 5 2" xfId="28306"/>
    <cellStyle name="Header2 4 5 4 5 2 2" xfId="38305"/>
    <cellStyle name="Header2 4 5 4 5 3" xfId="24064"/>
    <cellStyle name="Header2 4 5 4 5 4" xfId="33154"/>
    <cellStyle name="Header2 4 5 4 6" xfId="16791"/>
    <cellStyle name="Header2 4 5 4 6 2" xfId="28608"/>
    <cellStyle name="Header2 4 5 4 6 2 2" xfId="38607"/>
    <cellStyle name="Header2 4 5 4 6 3" xfId="24366"/>
    <cellStyle name="Header2 4 5 4 6 4" xfId="33456"/>
    <cellStyle name="Header2 4 5 4 7" xfId="17295"/>
    <cellStyle name="Header2 4 5 4 7 2" xfId="29112"/>
    <cellStyle name="Header2 4 5 4 7 2 2" xfId="39111"/>
    <cellStyle name="Header2 4 5 4 7 3" xfId="24870"/>
    <cellStyle name="Header2 4 5 4 7 4" xfId="33960"/>
    <cellStyle name="Header2 4 5 4 8" xfId="17598"/>
    <cellStyle name="Header2 4 5 4 8 2" xfId="29415"/>
    <cellStyle name="Header2 4 5 4 8 2 2" xfId="39414"/>
    <cellStyle name="Header2 4 5 4 8 3" xfId="25173"/>
    <cellStyle name="Header2 4 5 4 8 4" xfId="34263"/>
    <cellStyle name="Header2 4 5 4 9" xfId="18337"/>
    <cellStyle name="Header2 4 5 4 9 2" xfId="30154"/>
    <cellStyle name="Header2 4 5 4 9 2 2" xfId="40153"/>
    <cellStyle name="Header2 4 5 4 9 3" xfId="25812"/>
    <cellStyle name="Header2 4 5 4 9 4" xfId="35002"/>
    <cellStyle name="Header2 4 5 5" xfId="7974"/>
    <cellStyle name="Header2 4 5 5 10" xfId="18638"/>
    <cellStyle name="Header2 4 5 5 10 2" xfId="30455"/>
    <cellStyle name="Header2 4 5 5 10 2 2" xfId="40454"/>
    <cellStyle name="Header2 4 5 5 10 3" xfId="26113"/>
    <cellStyle name="Header2 4 5 5 10 4" xfId="35303"/>
    <cellStyle name="Header2 4 5 5 11" xfId="20174"/>
    <cellStyle name="Header2 4 5 5 11 2" xfId="31991"/>
    <cellStyle name="Header2 4 5 5 11 2 2" xfId="41990"/>
    <cellStyle name="Header2 4 5 5 11 3" xfId="36839"/>
    <cellStyle name="Header2 4 5 5 12" xfId="23128"/>
    <cellStyle name="Header2 4 5 5 12 2" xfId="22026"/>
    <cellStyle name="Header2 4 5 5 13" xfId="22522"/>
    <cellStyle name="Header2 4 5 5 2" xfId="15781"/>
    <cellStyle name="Header2 4 5 5 2 2" xfId="19012"/>
    <cellStyle name="Header2 4 5 5 2 2 2" xfId="30829"/>
    <cellStyle name="Header2 4 5 5 2 2 2 2" xfId="40828"/>
    <cellStyle name="Header2 4 5 5 2 2 3" xfId="26487"/>
    <cellStyle name="Header2 4 5 5 2 2 4" xfId="35677"/>
    <cellStyle name="Header2 4 5 5 2 3" xfId="19618"/>
    <cellStyle name="Header2 4 5 5 2 3 2" xfId="31435"/>
    <cellStyle name="Header2 4 5 5 2 3 2 2" xfId="41434"/>
    <cellStyle name="Header2 4 5 5 2 3 3" xfId="27093"/>
    <cellStyle name="Header2 4 5 5 2 3 4" xfId="36283"/>
    <cellStyle name="Header2 4 5 5 2 4" xfId="18178"/>
    <cellStyle name="Header2 4 5 5 2 4 2" xfId="29995"/>
    <cellStyle name="Header2 4 5 5 2 4 2 2" xfId="39994"/>
    <cellStyle name="Header2 4 5 5 2 4 3" xfId="25753"/>
    <cellStyle name="Header2 4 5 5 2 4 4" xfId="34843"/>
    <cellStyle name="Header2 4 5 5 2 5" xfId="20427"/>
    <cellStyle name="Header2 4 5 5 2 5 2" xfId="32244"/>
    <cellStyle name="Header2 4 5 5 2 5 2 2" xfId="42243"/>
    <cellStyle name="Header2 4 5 5 2 5 3" xfId="37092"/>
    <cellStyle name="Header2 4 5 5 2 6" xfId="23659"/>
    <cellStyle name="Header2 4 5 5 2 6 2" xfId="20997"/>
    <cellStyle name="Header2 4 5 5 2 7" xfId="22803"/>
    <cellStyle name="Header2 4 5 5 2 7 2" xfId="21414"/>
    <cellStyle name="Header2 4 5 5 2 8" xfId="21708"/>
    <cellStyle name="Header2 4 5 5 3" xfId="16362"/>
    <cellStyle name="Header2 4 5 5 3 2" xfId="19314"/>
    <cellStyle name="Header2 4 5 5 3 2 2" xfId="31131"/>
    <cellStyle name="Header2 4 5 5 3 2 2 2" xfId="41130"/>
    <cellStyle name="Header2 4 5 5 3 2 3" xfId="26789"/>
    <cellStyle name="Header2 4 5 5 3 2 4" xfId="35979"/>
    <cellStyle name="Header2 4 5 5 3 3" xfId="19920"/>
    <cellStyle name="Header2 4 5 5 3 3 2" xfId="31737"/>
    <cellStyle name="Header2 4 5 5 3 3 2 2" xfId="41736"/>
    <cellStyle name="Header2 4 5 5 3 3 3" xfId="27395"/>
    <cellStyle name="Header2 4 5 5 3 3 4" xfId="36585"/>
    <cellStyle name="Header2 4 5 5 3 4" xfId="17918"/>
    <cellStyle name="Header2 4 5 5 3 4 2" xfId="29735"/>
    <cellStyle name="Header2 4 5 5 3 4 2 2" xfId="39734"/>
    <cellStyle name="Header2 4 5 5 3 4 3" xfId="25493"/>
    <cellStyle name="Header2 4 5 5 3 4 4" xfId="34583"/>
    <cellStyle name="Header2 4 5 5 3 5" xfId="20729"/>
    <cellStyle name="Header2 4 5 5 3 5 2" xfId="32546"/>
    <cellStyle name="Header2 4 5 5 3 5 2 2" xfId="42545"/>
    <cellStyle name="Header2 4 5 5 3 5 3" xfId="37394"/>
    <cellStyle name="Header2 4 5 5 3 6" xfId="28179"/>
    <cellStyle name="Header2 4 5 5 3 6 2" xfId="38178"/>
    <cellStyle name="Header2 4 5 5 3 7" xfId="21569"/>
    <cellStyle name="Header2 4 5 5 4" xfId="16061"/>
    <cellStyle name="Header2 4 5 5 4 2" xfId="27878"/>
    <cellStyle name="Header2 4 5 5 4 2 2" xfId="37877"/>
    <cellStyle name="Header2 4 5 5 4 3" xfId="23939"/>
    <cellStyle name="Header2 4 5 5 4 4" xfId="33029"/>
    <cellStyle name="Header2 4 5 5 5" xfId="16488"/>
    <cellStyle name="Header2 4 5 5 5 2" xfId="28305"/>
    <cellStyle name="Header2 4 5 5 5 2 2" xfId="38304"/>
    <cellStyle name="Header2 4 5 5 5 3" xfId="24063"/>
    <cellStyle name="Header2 4 5 5 5 4" xfId="33153"/>
    <cellStyle name="Header2 4 5 5 6" xfId="16790"/>
    <cellStyle name="Header2 4 5 5 6 2" xfId="28607"/>
    <cellStyle name="Header2 4 5 5 6 2 2" xfId="38606"/>
    <cellStyle name="Header2 4 5 5 6 3" xfId="24365"/>
    <cellStyle name="Header2 4 5 5 6 4" xfId="33455"/>
    <cellStyle name="Header2 4 5 5 7" xfId="17296"/>
    <cellStyle name="Header2 4 5 5 7 2" xfId="29113"/>
    <cellStyle name="Header2 4 5 5 7 2 2" xfId="39112"/>
    <cellStyle name="Header2 4 5 5 7 3" xfId="24871"/>
    <cellStyle name="Header2 4 5 5 7 4" xfId="33961"/>
    <cellStyle name="Header2 4 5 5 8" xfId="17599"/>
    <cellStyle name="Header2 4 5 5 8 2" xfId="29416"/>
    <cellStyle name="Header2 4 5 5 8 2 2" xfId="39415"/>
    <cellStyle name="Header2 4 5 5 8 3" xfId="25174"/>
    <cellStyle name="Header2 4 5 5 8 4" xfId="34264"/>
    <cellStyle name="Header2 4 5 5 9" xfId="18336"/>
    <cellStyle name="Header2 4 5 5 9 2" xfId="30153"/>
    <cellStyle name="Header2 4 5 5 9 2 2" xfId="40152"/>
    <cellStyle name="Header2 4 5 5 9 3" xfId="25811"/>
    <cellStyle name="Header2 4 5 5 9 4" xfId="35001"/>
    <cellStyle name="Header2 4 5 6" xfId="7975"/>
    <cellStyle name="Header2 4 5 6 10" xfId="18637"/>
    <cellStyle name="Header2 4 5 6 10 2" xfId="30454"/>
    <cellStyle name="Header2 4 5 6 10 2 2" xfId="40453"/>
    <cellStyle name="Header2 4 5 6 10 3" xfId="26112"/>
    <cellStyle name="Header2 4 5 6 10 4" xfId="35302"/>
    <cellStyle name="Header2 4 5 6 11" xfId="20275"/>
    <cellStyle name="Header2 4 5 6 11 2" xfId="32092"/>
    <cellStyle name="Header2 4 5 6 11 2 2" xfId="42091"/>
    <cellStyle name="Header2 4 5 6 11 3" xfId="36940"/>
    <cellStyle name="Header2 4 5 6 12" xfId="23127"/>
    <cellStyle name="Header2 4 5 6 12 2" xfId="21267"/>
    <cellStyle name="Header2 4 5 6 13" xfId="22521"/>
    <cellStyle name="Header2 4 5 6 2" xfId="15782"/>
    <cellStyle name="Header2 4 5 6 2 2" xfId="19011"/>
    <cellStyle name="Header2 4 5 6 2 2 2" xfId="30828"/>
    <cellStyle name="Header2 4 5 6 2 2 2 2" xfId="40827"/>
    <cellStyle name="Header2 4 5 6 2 2 3" xfId="26486"/>
    <cellStyle name="Header2 4 5 6 2 2 4" xfId="35676"/>
    <cellStyle name="Header2 4 5 6 2 3" xfId="19617"/>
    <cellStyle name="Header2 4 5 6 2 3 2" xfId="31434"/>
    <cellStyle name="Header2 4 5 6 2 3 2 2" xfId="41433"/>
    <cellStyle name="Header2 4 5 6 2 3 3" xfId="27092"/>
    <cellStyle name="Header2 4 5 6 2 3 4" xfId="36282"/>
    <cellStyle name="Header2 4 5 6 2 4" xfId="18024"/>
    <cellStyle name="Header2 4 5 6 2 4 2" xfId="29841"/>
    <cellStyle name="Header2 4 5 6 2 4 2 2" xfId="39840"/>
    <cellStyle name="Header2 4 5 6 2 4 3" xfId="25599"/>
    <cellStyle name="Header2 4 5 6 2 4 4" xfId="34689"/>
    <cellStyle name="Header2 4 5 6 2 5" xfId="20426"/>
    <cellStyle name="Header2 4 5 6 2 5 2" xfId="32243"/>
    <cellStyle name="Header2 4 5 6 2 5 2 2" xfId="42242"/>
    <cellStyle name="Header2 4 5 6 2 5 3" xfId="37091"/>
    <cellStyle name="Header2 4 5 6 2 6" xfId="23660"/>
    <cellStyle name="Header2 4 5 6 2 6 2" xfId="20982"/>
    <cellStyle name="Header2 4 5 6 2 7" xfId="22802"/>
    <cellStyle name="Header2 4 5 6 2 7 2" xfId="21415"/>
    <cellStyle name="Header2 4 5 6 2 8" xfId="21709"/>
    <cellStyle name="Header2 4 5 6 3" xfId="16363"/>
    <cellStyle name="Header2 4 5 6 3 2" xfId="19313"/>
    <cellStyle name="Header2 4 5 6 3 2 2" xfId="31130"/>
    <cellStyle name="Header2 4 5 6 3 2 2 2" xfId="41129"/>
    <cellStyle name="Header2 4 5 6 3 2 3" xfId="26788"/>
    <cellStyle name="Header2 4 5 6 3 2 4" xfId="35978"/>
    <cellStyle name="Header2 4 5 6 3 3" xfId="19919"/>
    <cellStyle name="Header2 4 5 6 3 3 2" xfId="31736"/>
    <cellStyle name="Header2 4 5 6 3 3 2 2" xfId="41735"/>
    <cellStyle name="Header2 4 5 6 3 3 3" xfId="27394"/>
    <cellStyle name="Header2 4 5 6 3 3 4" xfId="36584"/>
    <cellStyle name="Header2 4 5 6 3 4" xfId="18877"/>
    <cellStyle name="Header2 4 5 6 3 4 2" xfId="30694"/>
    <cellStyle name="Header2 4 5 6 3 4 2 2" xfId="40693"/>
    <cellStyle name="Header2 4 5 6 3 4 3" xfId="26352"/>
    <cellStyle name="Header2 4 5 6 3 4 4" xfId="35542"/>
    <cellStyle name="Header2 4 5 6 3 5" xfId="20728"/>
    <cellStyle name="Header2 4 5 6 3 5 2" xfId="32545"/>
    <cellStyle name="Header2 4 5 6 3 5 2 2" xfId="42544"/>
    <cellStyle name="Header2 4 5 6 3 5 3" xfId="37393"/>
    <cellStyle name="Header2 4 5 6 3 6" xfId="28180"/>
    <cellStyle name="Header2 4 5 6 3 6 2" xfId="38179"/>
    <cellStyle name="Header2 4 5 6 3 7" xfId="21570"/>
    <cellStyle name="Header2 4 5 6 4" xfId="16062"/>
    <cellStyle name="Header2 4 5 6 4 2" xfId="27879"/>
    <cellStyle name="Header2 4 5 6 4 2 2" xfId="37878"/>
    <cellStyle name="Header2 4 5 6 4 3" xfId="23940"/>
    <cellStyle name="Header2 4 5 6 4 4" xfId="33030"/>
    <cellStyle name="Header2 4 5 6 5" xfId="16487"/>
    <cellStyle name="Header2 4 5 6 5 2" xfId="28304"/>
    <cellStyle name="Header2 4 5 6 5 2 2" xfId="38303"/>
    <cellStyle name="Header2 4 5 6 5 3" xfId="24062"/>
    <cellStyle name="Header2 4 5 6 5 4" xfId="33152"/>
    <cellStyle name="Header2 4 5 6 6" xfId="16789"/>
    <cellStyle name="Header2 4 5 6 6 2" xfId="28606"/>
    <cellStyle name="Header2 4 5 6 6 2 2" xfId="38605"/>
    <cellStyle name="Header2 4 5 6 6 3" xfId="24364"/>
    <cellStyle name="Header2 4 5 6 6 4" xfId="33454"/>
    <cellStyle name="Header2 4 5 6 7" xfId="17297"/>
    <cellStyle name="Header2 4 5 6 7 2" xfId="29114"/>
    <cellStyle name="Header2 4 5 6 7 2 2" xfId="39113"/>
    <cellStyle name="Header2 4 5 6 7 3" xfId="24872"/>
    <cellStyle name="Header2 4 5 6 7 4" xfId="33962"/>
    <cellStyle name="Header2 4 5 6 8" xfId="17600"/>
    <cellStyle name="Header2 4 5 6 8 2" xfId="29417"/>
    <cellStyle name="Header2 4 5 6 8 2 2" xfId="39416"/>
    <cellStyle name="Header2 4 5 6 8 3" xfId="25175"/>
    <cellStyle name="Header2 4 5 6 8 4" xfId="34265"/>
    <cellStyle name="Header2 4 5 6 9" xfId="18335"/>
    <cellStyle name="Header2 4 5 6 9 2" xfId="30152"/>
    <cellStyle name="Header2 4 5 6 9 2 2" xfId="40151"/>
    <cellStyle name="Header2 4 5 6 9 3" xfId="25810"/>
    <cellStyle name="Header2 4 5 6 9 4" xfId="35000"/>
    <cellStyle name="Header2 4 5 7" xfId="15771"/>
    <cellStyle name="Header2 4 5 7 2" xfId="19022"/>
    <cellStyle name="Header2 4 5 7 2 2" xfId="30839"/>
    <cellStyle name="Header2 4 5 7 2 2 2" xfId="40838"/>
    <cellStyle name="Header2 4 5 7 2 3" xfId="26497"/>
    <cellStyle name="Header2 4 5 7 2 4" xfId="35687"/>
    <cellStyle name="Header2 4 5 7 3" xfId="19628"/>
    <cellStyle name="Header2 4 5 7 3 2" xfId="31445"/>
    <cellStyle name="Header2 4 5 7 3 2 2" xfId="41444"/>
    <cellStyle name="Header2 4 5 7 3 3" xfId="27103"/>
    <cellStyle name="Header2 4 5 7 3 4" xfId="36293"/>
    <cellStyle name="Header2 4 5 7 4" xfId="18172"/>
    <cellStyle name="Header2 4 5 7 4 2" xfId="29989"/>
    <cellStyle name="Header2 4 5 7 4 2 2" xfId="39988"/>
    <cellStyle name="Header2 4 5 7 4 3" xfId="25747"/>
    <cellStyle name="Header2 4 5 7 4 4" xfId="34837"/>
    <cellStyle name="Header2 4 5 7 5" xfId="20437"/>
    <cellStyle name="Header2 4 5 7 5 2" xfId="32254"/>
    <cellStyle name="Header2 4 5 7 5 2 2" xfId="42253"/>
    <cellStyle name="Header2 4 5 7 5 3" xfId="37102"/>
    <cellStyle name="Header2 4 5 7 6" xfId="23649"/>
    <cellStyle name="Header2 4 5 7 6 2" xfId="20983"/>
    <cellStyle name="Header2 4 5 7 7" xfId="22806"/>
    <cellStyle name="Header2 4 5 7 7 2" xfId="22202"/>
    <cellStyle name="Header2 4 5 7 8" xfId="21703"/>
    <cellStyle name="Header2 4 5 8" xfId="16352"/>
    <cellStyle name="Header2 4 5 8 2" xfId="19324"/>
    <cellStyle name="Header2 4 5 8 2 2" xfId="31141"/>
    <cellStyle name="Header2 4 5 8 2 2 2" xfId="41140"/>
    <cellStyle name="Header2 4 5 8 2 3" xfId="26799"/>
    <cellStyle name="Header2 4 5 8 2 4" xfId="35989"/>
    <cellStyle name="Header2 4 5 8 3" xfId="19930"/>
    <cellStyle name="Header2 4 5 8 3 2" xfId="31747"/>
    <cellStyle name="Header2 4 5 8 3 2 2" xfId="41746"/>
    <cellStyle name="Header2 4 5 8 3 3" xfId="27405"/>
    <cellStyle name="Header2 4 5 8 3 4" xfId="36595"/>
    <cellStyle name="Header2 4 5 8 4" xfId="17797"/>
    <cellStyle name="Header2 4 5 8 4 2" xfId="29614"/>
    <cellStyle name="Header2 4 5 8 4 2 2" xfId="39613"/>
    <cellStyle name="Header2 4 5 8 4 3" xfId="25372"/>
    <cellStyle name="Header2 4 5 8 4 4" xfId="34462"/>
    <cellStyle name="Header2 4 5 8 5" xfId="20739"/>
    <cellStyle name="Header2 4 5 8 5 2" xfId="32556"/>
    <cellStyle name="Header2 4 5 8 5 2 2" xfId="42555"/>
    <cellStyle name="Header2 4 5 8 5 3" xfId="37404"/>
    <cellStyle name="Header2 4 5 8 6" xfId="28169"/>
    <cellStyle name="Header2 4 5 8 6 2" xfId="38168"/>
    <cellStyle name="Header2 4 5 8 7" xfId="22297"/>
    <cellStyle name="Header2 4 5 9" xfId="16051"/>
    <cellStyle name="Header2 4 5 9 2" xfId="27868"/>
    <cellStyle name="Header2 4 5 9 2 2" xfId="37867"/>
    <cellStyle name="Header2 4 5 9 3" xfId="23929"/>
    <cellStyle name="Header2 4 5 9 4" xfId="33019"/>
    <cellStyle name="Header2 4 6" xfId="7976"/>
    <cellStyle name="Header2 4 6 10" xfId="17298"/>
    <cellStyle name="Header2 4 6 10 2" xfId="29115"/>
    <cellStyle name="Header2 4 6 10 2 2" xfId="39114"/>
    <cellStyle name="Header2 4 6 10 3" xfId="24873"/>
    <cellStyle name="Header2 4 6 10 4" xfId="33963"/>
    <cellStyle name="Header2 4 6 11" xfId="17601"/>
    <cellStyle name="Header2 4 6 11 2" xfId="29418"/>
    <cellStyle name="Header2 4 6 11 2 2" xfId="39417"/>
    <cellStyle name="Header2 4 6 11 3" xfId="25176"/>
    <cellStyle name="Header2 4 6 11 4" xfId="34266"/>
    <cellStyle name="Header2 4 6 12" xfId="18334"/>
    <cellStyle name="Header2 4 6 12 2" xfId="30151"/>
    <cellStyle name="Header2 4 6 12 2 2" xfId="40150"/>
    <cellStyle name="Header2 4 6 12 3" xfId="25809"/>
    <cellStyle name="Header2 4 6 12 4" xfId="34999"/>
    <cellStyle name="Header2 4 6 13" xfId="18636"/>
    <cellStyle name="Header2 4 6 13 2" xfId="30453"/>
    <cellStyle name="Header2 4 6 13 2 2" xfId="40452"/>
    <cellStyle name="Header2 4 6 13 3" xfId="26111"/>
    <cellStyle name="Header2 4 6 13 4" xfId="35301"/>
    <cellStyle name="Header2 4 6 14" xfId="18289"/>
    <cellStyle name="Header2 4 6 14 2" xfId="30106"/>
    <cellStyle name="Header2 4 6 14 2 2" xfId="40105"/>
    <cellStyle name="Header2 4 6 14 3" xfId="34954"/>
    <cellStyle name="Header2 4 6 15" xfId="23126"/>
    <cellStyle name="Header2 4 6 15 2" xfId="21268"/>
    <cellStyle name="Header2 4 6 16" xfId="22520"/>
    <cellStyle name="Header2 4 6 2" xfId="7977"/>
    <cellStyle name="Header2 4 6 2 10" xfId="18635"/>
    <cellStyle name="Header2 4 6 2 10 2" xfId="30452"/>
    <cellStyle name="Header2 4 6 2 10 2 2" xfId="40451"/>
    <cellStyle name="Header2 4 6 2 10 3" xfId="26110"/>
    <cellStyle name="Header2 4 6 2 10 4" xfId="35300"/>
    <cellStyle name="Header2 4 6 2 11" xfId="20170"/>
    <cellStyle name="Header2 4 6 2 11 2" xfId="31987"/>
    <cellStyle name="Header2 4 6 2 11 2 2" xfId="41986"/>
    <cellStyle name="Header2 4 6 2 11 3" xfId="36835"/>
    <cellStyle name="Header2 4 6 2 12" xfId="23125"/>
    <cellStyle name="Header2 4 6 2 12 2" xfId="21269"/>
    <cellStyle name="Header2 4 6 2 13" xfId="22519"/>
    <cellStyle name="Header2 4 6 2 2" xfId="15784"/>
    <cellStyle name="Header2 4 6 2 2 2" xfId="19009"/>
    <cellStyle name="Header2 4 6 2 2 2 2" xfId="30826"/>
    <cellStyle name="Header2 4 6 2 2 2 2 2" xfId="40825"/>
    <cellStyle name="Header2 4 6 2 2 2 3" xfId="26484"/>
    <cellStyle name="Header2 4 6 2 2 2 4" xfId="35674"/>
    <cellStyle name="Header2 4 6 2 2 3" xfId="19615"/>
    <cellStyle name="Header2 4 6 2 2 3 2" xfId="31432"/>
    <cellStyle name="Header2 4 6 2 2 3 2 2" xfId="41431"/>
    <cellStyle name="Header2 4 6 2 2 3 3" xfId="27090"/>
    <cellStyle name="Header2 4 6 2 2 3 4" xfId="36280"/>
    <cellStyle name="Header2 4 6 2 2 4" xfId="17723"/>
    <cellStyle name="Header2 4 6 2 2 4 2" xfId="29540"/>
    <cellStyle name="Header2 4 6 2 2 4 2 2" xfId="39539"/>
    <cellStyle name="Header2 4 6 2 2 4 3" xfId="25298"/>
    <cellStyle name="Header2 4 6 2 2 4 4" xfId="34388"/>
    <cellStyle name="Header2 4 6 2 2 5" xfId="20424"/>
    <cellStyle name="Header2 4 6 2 2 5 2" xfId="32241"/>
    <cellStyle name="Header2 4 6 2 2 5 2 2" xfId="42240"/>
    <cellStyle name="Header2 4 6 2 2 5 3" xfId="37089"/>
    <cellStyle name="Header2 4 6 2 2 6" xfId="23662"/>
    <cellStyle name="Header2 4 6 2 2 6 2" xfId="21777"/>
    <cellStyle name="Header2 4 6 2 2 7" xfId="22941"/>
    <cellStyle name="Header2 4 6 2 2 7 2" xfId="22142"/>
    <cellStyle name="Header2 4 6 2 2 8" xfId="21710"/>
    <cellStyle name="Header2 4 6 2 3" xfId="16365"/>
    <cellStyle name="Header2 4 6 2 3 2" xfId="19311"/>
    <cellStyle name="Header2 4 6 2 3 2 2" xfId="31128"/>
    <cellStyle name="Header2 4 6 2 3 2 2 2" xfId="41127"/>
    <cellStyle name="Header2 4 6 2 3 2 3" xfId="26786"/>
    <cellStyle name="Header2 4 6 2 3 2 4" xfId="35976"/>
    <cellStyle name="Header2 4 6 2 3 3" xfId="19917"/>
    <cellStyle name="Header2 4 6 2 3 3 2" xfId="31734"/>
    <cellStyle name="Header2 4 6 2 3 3 2 2" xfId="41733"/>
    <cellStyle name="Header2 4 6 2 3 3 3" xfId="27392"/>
    <cellStyle name="Header2 4 6 2 3 3 4" xfId="36582"/>
    <cellStyle name="Header2 4 6 2 3 4" xfId="18878"/>
    <cellStyle name="Header2 4 6 2 3 4 2" xfId="30695"/>
    <cellStyle name="Header2 4 6 2 3 4 2 2" xfId="40694"/>
    <cellStyle name="Header2 4 6 2 3 4 3" xfId="26353"/>
    <cellStyle name="Header2 4 6 2 3 4 4" xfId="35543"/>
    <cellStyle name="Header2 4 6 2 3 5" xfId="20726"/>
    <cellStyle name="Header2 4 6 2 3 5 2" xfId="32543"/>
    <cellStyle name="Header2 4 6 2 3 5 2 2" xfId="42542"/>
    <cellStyle name="Header2 4 6 2 3 5 3" xfId="37391"/>
    <cellStyle name="Header2 4 6 2 3 6" xfId="28182"/>
    <cellStyle name="Header2 4 6 2 3 6 2" xfId="38181"/>
    <cellStyle name="Header2 4 6 2 3 7" xfId="22304"/>
    <cellStyle name="Header2 4 6 2 4" xfId="15850"/>
    <cellStyle name="Header2 4 6 2 4 2" xfId="27667"/>
    <cellStyle name="Header2 4 6 2 4 2 2" xfId="37666"/>
    <cellStyle name="Header2 4 6 2 4 3" xfId="23728"/>
    <cellStyle name="Header2 4 6 2 4 4" xfId="32818"/>
    <cellStyle name="Header2 4 6 2 5" xfId="16485"/>
    <cellStyle name="Header2 4 6 2 5 2" xfId="28302"/>
    <cellStyle name="Header2 4 6 2 5 2 2" xfId="38301"/>
    <cellStyle name="Header2 4 6 2 5 3" xfId="24060"/>
    <cellStyle name="Header2 4 6 2 5 4" xfId="33150"/>
    <cellStyle name="Header2 4 6 2 6" xfId="16787"/>
    <cellStyle name="Header2 4 6 2 6 2" xfId="28604"/>
    <cellStyle name="Header2 4 6 2 6 2 2" xfId="38603"/>
    <cellStyle name="Header2 4 6 2 6 3" xfId="24362"/>
    <cellStyle name="Header2 4 6 2 6 4" xfId="33452"/>
    <cellStyle name="Header2 4 6 2 7" xfId="17299"/>
    <cellStyle name="Header2 4 6 2 7 2" xfId="29116"/>
    <cellStyle name="Header2 4 6 2 7 2 2" xfId="39115"/>
    <cellStyle name="Header2 4 6 2 7 3" xfId="24874"/>
    <cellStyle name="Header2 4 6 2 7 4" xfId="33964"/>
    <cellStyle name="Header2 4 6 2 8" xfId="17602"/>
    <cellStyle name="Header2 4 6 2 8 2" xfId="29419"/>
    <cellStyle name="Header2 4 6 2 8 2 2" xfId="39418"/>
    <cellStyle name="Header2 4 6 2 8 3" xfId="25177"/>
    <cellStyle name="Header2 4 6 2 8 4" xfId="34267"/>
    <cellStyle name="Header2 4 6 2 9" xfId="18333"/>
    <cellStyle name="Header2 4 6 2 9 2" xfId="30150"/>
    <cellStyle name="Header2 4 6 2 9 2 2" xfId="40149"/>
    <cellStyle name="Header2 4 6 2 9 3" xfId="25808"/>
    <cellStyle name="Header2 4 6 2 9 4" xfId="34998"/>
    <cellStyle name="Header2 4 6 3" xfId="7978"/>
    <cellStyle name="Header2 4 6 3 10" xfId="18924"/>
    <cellStyle name="Header2 4 6 3 10 2" xfId="30741"/>
    <cellStyle name="Header2 4 6 3 10 2 2" xfId="40740"/>
    <cellStyle name="Header2 4 6 3 10 3" xfId="26399"/>
    <cellStyle name="Header2 4 6 3 10 4" xfId="35589"/>
    <cellStyle name="Header2 4 6 3 11" xfId="20271"/>
    <cellStyle name="Header2 4 6 3 11 2" xfId="32088"/>
    <cellStyle name="Header2 4 6 3 11 2 2" xfId="42087"/>
    <cellStyle name="Header2 4 6 3 11 3" xfId="36936"/>
    <cellStyle name="Header2 4 6 3 12" xfId="23124"/>
    <cellStyle name="Header2 4 6 3 12 2" xfId="22027"/>
    <cellStyle name="Header2 4 6 3 13" xfId="22518"/>
    <cellStyle name="Header2 4 6 3 2" xfId="15785"/>
    <cellStyle name="Header2 4 6 3 2 2" xfId="19008"/>
    <cellStyle name="Header2 4 6 3 2 2 2" xfId="30825"/>
    <cellStyle name="Header2 4 6 3 2 2 2 2" xfId="40824"/>
    <cellStyle name="Header2 4 6 3 2 2 3" xfId="26483"/>
    <cellStyle name="Header2 4 6 3 2 2 4" xfId="35673"/>
    <cellStyle name="Header2 4 6 3 2 3" xfId="19614"/>
    <cellStyle name="Header2 4 6 3 2 3 2" xfId="31431"/>
    <cellStyle name="Header2 4 6 3 2 3 2 2" xfId="41430"/>
    <cellStyle name="Header2 4 6 3 2 3 3" xfId="27089"/>
    <cellStyle name="Header2 4 6 3 2 3 4" xfId="36279"/>
    <cellStyle name="Header2 4 6 3 2 4" xfId="17724"/>
    <cellStyle name="Header2 4 6 3 2 4 2" xfId="29541"/>
    <cellStyle name="Header2 4 6 3 2 4 2 2" xfId="39540"/>
    <cellStyle name="Header2 4 6 3 2 4 3" xfId="25299"/>
    <cellStyle name="Header2 4 6 3 2 4 4" xfId="34389"/>
    <cellStyle name="Header2 4 6 3 2 5" xfId="20423"/>
    <cellStyle name="Header2 4 6 3 2 5 2" xfId="32240"/>
    <cellStyle name="Header2 4 6 3 2 5 2 2" xfId="42239"/>
    <cellStyle name="Header2 4 6 3 2 5 3" xfId="37088"/>
    <cellStyle name="Header2 4 6 3 2 6" xfId="23663"/>
    <cellStyle name="Header2 4 6 3 2 6 2" xfId="20980"/>
    <cellStyle name="Header2 4 6 3 2 7" xfId="22800"/>
    <cellStyle name="Header2 4 6 3 2 7 2" xfId="22204"/>
    <cellStyle name="Header2 4 6 3 2 8" xfId="21711"/>
    <cellStyle name="Header2 4 6 3 3" xfId="16366"/>
    <cellStyle name="Header2 4 6 3 3 2" xfId="19531"/>
    <cellStyle name="Header2 4 6 3 3 2 2" xfId="31348"/>
    <cellStyle name="Header2 4 6 3 3 2 2 2" xfId="41347"/>
    <cellStyle name="Header2 4 6 3 3 2 3" xfId="27006"/>
    <cellStyle name="Header2 4 6 3 3 2 4" xfId="36196"/>
    <cellStyle name="Header2 4 6 3 3 3" xfId="20137"/>
    <cellStyle name="Header2 4 6 3 3 3 2" xfId="31954"/>
    <cellStyle name="Header2 4 6 3 3 3 2 2" xfId="41953"/>
    <cellStyle name="Header2 4 6 3 3 3 3" xfId="27612"/>
    <cellStyle name="Header2 4 6 3 3 3 4" xfId="36802"/>
    <cellStyle name="Header2 4 6 3 3 4" xfId="17750"/>
    <cellStyle name="Header2 4 6 3 3 4 2" xfId="29567"/>
    <cellStyle name="Header2 4 6 3 3 4 2 2" xfId="39566"/>
    <cellStyle name="Header2 4 6 3 3 4 3" xfId="25325"/>
    <cellStyle name="Header2 4 6 3 3 4 4" xfId="34415"/>
    <cellStyle name="Header2 4 6 3 3 5" xfId="20946"/>
    <cellStyle name="Header2 4 6 3 3 5 2" xfId="32763"/>
    <cellStyle name="Header2 4 6 3 3 5 2 2" xfId="42762"/>
    <cellStyle name="Header2 4 6 3 3 5 3" xfId="37611"/>
    <cellStyle name="Header2 4 6 3 3 6" xfId="28183"/>
    <cellStyle name="Header2 4 6 3 3 6 2" xfId="38182"/>
    <cellStyle name="Header2 4 6 3 3 7" xfId="22217"/>
    <cellStyle name="Header2 4 6 3 4" xfId="15832"/>
    <cellStyle name="Header2 4 6 3 4 2" xfId="27649"/>
    <cellStyle name="Header2 4 6 3 4 2 2" xfId="37648"/>
    <cellStyle name="Header2 4 6 3 4 3" xfId="23710"/>
    <cellStyle name="Header2 4 6 3 4 4" xfId="32800"/>
    <cellStyle name="Header2 4 6 3 5" xfId="16484"/>
    <cellStyle name="Header2 4 6 3 5 2" xfId="28301"/>
    <cellStyle name="Header2 4 6 3 5 2 2" xfId="38300"/>
    <cellStyle name="Header2 4 6 3 5 3" xfId="24059"/>
    <cellStyle name="Header2 4 6 3 5 4" xfId="33149"/>
    <cellStyle name="Header2 4 6 3 6" xfId="17007"/>
    <cellStyle name="Header2 4 6 3 6 2" xfId="28824"/>
    <cellStyle name="Header2 4 6 3 6 2 2" xfId="38823"/>
    <cellStyle name="Header2 4 6 3 6 3" xfId="24582"/>
    <cellStyle name="Header2 4 6 3 6 4" xfId="33672"/>
    <cellStyle name="Header2 4 6 3 7" xfId="17300"/>
    <cellStyle name="Header2 4 6 3 7 2" xfId="29117"/>
    <cellStyle name="Header2 4 6 3 7 2 2" xfId="39116"/>
    <cellStyle name="Header2 4 6 3 7 3" xfId="24875"/>
    <cellStyle name="Header2 4 6 3 7 4" xfId="33965"/>
    <cellStyle name="Header2 4 6 3 8" xfId="17603"/>
    <cellStyle name="Header2 4 6 3 8 2" xfId="29420"/>
    <cellStyle name="Header2 4 6 3 8 2 2" xfId="39419"/>
    <cellStyle name="Header2 4 6 3 8 3" xfId="25178"/>
    <cellStyle name="Header2 4 6 3 8 4" xfId="34268"/>
    <cellStyle name="Header2 4 6 3 9" xfId="18332"/>
    <cellStyle name="Header2 4 6 3 9 2" xfId="30149"/>
    <cellStyle name="Header2 4 6 3 9 2 2" xfId="40148"/>
    <cellStyle name="Header2 4 6 3 9 3" xfId="25807"/>
    <cellStyle name="Header2 4 6 3 9 4" xfId="34997"/>
    <cellStyle name="Header2 4 6 4" xfId="7979"/>
    <cellStyle name="Header2 4 6 4 10" xfId="18634"/>
    <cellStyle name="Header2 4 6 4 10 2" xfId="30451"/>
    <cellStyle name="Header2 4 6 4 10 2 2" xfId="40450"/>
    <cellStyle name="Header2 4 6 4 10 3" xfId="26109"/>
    <cellStyle name="Header2 4 6 4 10 4" xfId="35299"/>
    <cellStyle name="Header2 4 6 4 11" xfId="20179"/>
    <cellStyle name="Header2 4 6 4 11 2" xfId="31996"/>
    <cellStyle name="Header2 4 6 4 11 2 2" xfId="41995"/>
    <cellStyle name="Header2 4 6 4 11 3" xfId="36844"/>
    <cellStyle name="Header2 4 6 4 12" xfId="23123"/>
    <cellStyle name="Header2 4 6 4 12 2" xfId="21270"/>
    <cellStyle name="Header2 4 6 4 13" xfId="22517"/>
    <cellStyle name="Header2 4 6 4 2" xfId="15786"/>
    <cellStyle name="Header2 4 6 4 2 2" xfId="19007"/>
    <cellStyle name="Header2 4 6 4 2 2 2" xfId="30824"/>
    <cellStyle name="Header2 4 6 4 2 2 2 2" xfId="40823"/>
    <cellStyle name="Header2 4 6 4 2 2 3" xfId="26482"/>
    <cellStyle name="Header2 4 6 4 2 2 4" xfId="35672"/>
    <cellStyle name="Header2 4 6 4 2 3" xfId="19613"/>
    <cellStyle name="Header2 4 6 4 2 3 2" xfId="31430"/>
    <cellStyle name="Header2 4 6 4 2 3 2 2" xfId="41429"/>
    <cellStyle name="Header2 4 6 4 2 3 3" xfId="27088"/>
    <cellStyle name="Header2 4 6 4 2 3 4" xfId="36278"/>
    <cellStyle name="Header2 4 6 4 2 4" xfId="17725"/>
    <cellStyle name="Header2 4 6 4 2 4 2" xfId="29542"/>
    <cellStyle name="Header2 4 6 4 2 4 2 2" xfId="39541"/>
    <cellStyle name="Header2 4 6 4 2 4 3" xfId="25300"/>
    <cellStyle name="Header2 4 6 4 2 4 4" xfId="34390"/>
    <cellStyle name="Header2 4 6 4 2 5" xfId="20422"/>
    <cellStyle name="Header2 4 6 4 2 5 2" xfId="32239"/>
    <cellStyle name="Header2 4 6 4 2 5 2 2" xfId="42238"/>
    <cellStyle name="Header2 4 6 4 2 5 3" xfId="37087"/>
    <cellStyle name="Header2 4 6 4 2 6" xfId="23664"/>
    <cellStyle name="Header2 4 6 4 2 6 2" xfId="21776"/>
    <cellStyle name="Header2 4 6 4 2 7" xfId="22940"/>
    <cellStyle name="Header2 4 6 4 2 7 2" xfId="22143"/>
    <cellStyle name="Header2 4 6 4 2 8" xfId="21712"/>
    <cellStyle name="Header2 4 6 4 3" xfId="16367"/>
    <cellStyle name="Header2 4 6 4 3 2" xfId="19310"/>
    <cellStyle name="Header2 4 6 4 3 2 2" xfId="31127"/>
    <cellStyle name="Header2 4 6 4 3 2 2 2" xfId="41126"/>
    <cellStyle name="Header2 4 6 4 3 2 3" xfId="26785"/>
    <cellStyle name="Header2 4 6 4 3 2 4" xfId="35975"/>
    <cellStyle name="Header2 4 6 4 3 3" xfId="19916"/>
    <cellStyle name="Header2 4 6 4 3 3 2" xfId="31733"/>
    <cellStyle name="Header2 4 6 4 3 3 2 2" xfId="41732"/>
    <cellStyle name="Header2 4 6 4 3 3 3" xfId="27391"/>
    <cellStyle name="Header2 4 6 4 3 3 4" xfId="36581"/>
    <cellStyle name="Header2 4 6 4 3 4" xfId="18879"/>
    <cellStyle name="Header2 4 6 4 3 4 2" xfId="30696"/>
    <cellStyle name="Header2 4 6 4 3 4 2 2" xfId="40695"/>
    <cellStyle name="Header2 4 6 4 3 4 3" xfId="26354"/>
    <cellStyle name="Header2 4 6 4 3 4 4" xfId="35544"/>
    <cellStyle name="Header2 4 6 4 3 5" xfId="20725"/>
    <cellStyle name="Header2 4 6 4 3 5 2" xfId="32542"/>
    <cellStyle name="Header2 4 6 4 3 5 2 2" xfId="42541"/>
    <cellStyle name="Header2 4 6 4 3 5 3" xfId="37390"/>
    <cellStyle name="Header2 4 6 4 3 6" xfId="28184"/>
    <cellStyle name="Header2 4 6 4 3 6 2" xfId="38183"/>
    <cellStyle name="Header2 4 6 4 3 7" xfId="21572"/>
    <cellStyle name="Header2 4 6 4 4" xfId="16064"/>
    <cellStyle name="Header2 4 6 4 4 2" xfId="27881"/>
    <cellStyle name="Header2 4 6 4 4 2 2" xfId="37880"/>
    <cellStyle name="Header2 4 6 4 4 3" xfId="23942"/>
    <cellStyle name="Header2 4 6 4 4 4" xfId="33032"/>
    <cellStyle name="Header2 4 6 4 5" xfId="16483"/>
    <cellStyle name="Header2 4 6 4 5 2" xfId="28300"/>
    <cellStyle name="Header2 4 6 4 5 2 2" xfId="38299"/>
    <cellStyle name="Header2 4 6 4 5 3" xfId="24058"/>
    <cellStyle name="Header2 4 6 4 5 4" xfId="33148"/>
    <cellStyle name="Header2 4 6 4 6" xfId="16786"/>
    <cellStyle name="Header2 4 6 4 6 2" xfId="28603"/>
    <cellStyle name="Header2 4 6 4 6 2 2" xfId="38602"/>
    <cellStyle name="Header2 4 6 4 6 3" xfId="24361"/>
    <cellStyle name="Header2 4 6 4 6 4" xfId="33451"/>
    <cellStyle name="Header2 4 6 4 7" xfId="17301"/>
    <cellStyle name="Header2 4 6 4 7 2" xfId="29118"/>
    <cellStyle name="Header2 4 6 4 7 2 2" xfId="39117"/>
    <cellStyle name="Header2 4 6 4 7 3" xfId="24876"/>
    <cellStyle name="Header2 4 6 4 7 4" xfId="33966"/>
    <cellStyle name="Header2 4 6 4 8" xfId="17604"/>
    <cellStyle name="Header2 4 6 4 8 2" xfId="29421"/>
    <cellStyle name="Header2 4 6 4 8 2 2" xfId="39420"/>
    <cellStyle name="Header2 4 6 4 8 3" xfId="25179"/>
    <cellStyle name="Header2 4 6 4 8 4" xfId="34269"/>
    <cellStyle name="Header2 4 6 4 9" xfId="18331"/>
    <cellStyle name="Header2 4 6 4 9 2" xfId="30148"/>
    <cellStyle name="Header2 4 6 4 9 2 2" xfId="40147"/>
    <cellStyle name="Header2 4 6 4 9 3" xfId="25806"/>
    <cellStyle name="Header2 4 6 4 9 4" xfId="34996"/>
    <cellStyle name="Header2 4 6 5" xfId="15783"/>
    <cellStyle name="Header2 4 6 5 2" xfId="19010"/>
    <cellStyle name="Header2 4 6 5 2 2" xfId="30827"/>
    <cellStyle name="Header2 4 6 5 2 2 2" xfId="40826"/>
    <cellStyle name="Header2 4 6 5 2 3" xfId="26485"/>
    <cellStyle name="Header2 4 6 5 2 4" xfId="35675"/>
    <cellStyle name="Header2 4 6 5 3" xfId="19616"/>
    <cellStyle name="Header2 4 6 5 3 2" xfId="31433"/>
    <cellStyle name="Header2 4 6 5 3 2 2" xfId="41432"/>
    <cellStyle name="Header2 4 6 5 3 3" xfId="27091"/>
    <cellStyle name="Header2 4 6 5 3 4" xfId="36281"/>
    <cellStyle name="Header2 4 6 5 4" xfId="17832"/>
    <cellStyle name="Header2 4 6 5 4 2" xfId="29649"/>
    <cellStyle name="Header2 4 6 5 4 2 2" xfId="39648"/>
    <cellStyle name="Header2 4 6 5 4 3" xfId="25407"/>
    <cellStyle name="Header2 4 6 5 4 4" xfId="34497"/>
    <cellStyle name="Header2 4 6 5 5" xfId="20425"/>
    <cellStyle name="Header2 4 6 5 5 2" xfId="32242"/>
    <cellStyle name="Header2 4 6 5 5 2 2" xfId="42241"/>
    <cellStyle name="Header2 4 6 5 5 3" xfId="37090"/>
    <cellStyle name="Header2 4 6 5 6" xfId="23661"/>
    <cellStyle name="Header2 4 6 5 6 2" xfId="20977"/>
    <cellStyle name="Header2 4 6 5 7" xfId="22801"/>
    <cellStyle name="Header2 4 6 5 7 2" xfId="21416"/>
    <cellStyle name="Header2 4 6 5 8" xfId="22467"/>
    <cellStyle name="Header2 4 6 6" xfId="16364"/>
    <cellStyle name="Header2 4 6 6 2" xfId="19312"/>
    <cellStyle name="Header2 4 6 6 2 2" xfId="31129"/>
    <cellStyle name="Header2 4 6 6 2 2 2" xfId="41128"/>
    <cellStyle name="Header2 4 6 6 2 3" xfId="26787"/>
    <cellStyle name="Header2 4 6 6 2 4" xfId="35977"/>
    <cellStyle name="Header2 4 6 6 3" xfId="19918"/>
    <cellStyle name="Header2 4 6 6 3 2" xfId="31735"/>
    <cellStyle name="Header2 4 6 6 3 2 2" xfId="41734"/>
    <cellStyle name="Header2 4 6 6 3 3" xfId="27393"/>
    <cellStyle name="Header2 4 6 6 3 4" xfId="36583"/>
    <cellStyle name="Header2 4 6 6 4" xfId="17800"/>
    <cellStyle name="Header2 4 6 6 4 2" xfId="29617"/>
    <cellStyle name="Header2 4 6 6 4 2 2" xfId="39616"/>
    <cellStyle name="Header2 4 6 6 4 3" xfId="25375"/>
    <cellStyle name="Header2 4 6 6 4 4" xfId="34465"/>
    <cellStyle name="Header2 4 6 6 5" xfId="20727"/>
    <cellStyle name="Header2 4 6 6 5 2" xfId="32544"/>
    <cellStyle name="Header2 4 6 6 5 2 2" xfId="42543"/>
    <cellStyle name="Header2 4 6 6 5 3" xfId="37392"/>
    <cellStyle name="Header2 4 6 6 6" xfId="28181"/>
    <cellStyle name="Header2 4 6 6 6 2" xfId="38180"/>
    <cellStyle name="Header2 4 6 6 7" xfId="21571"/>
    <cellStyle name="Header2 4 6 7" xfId="16063"/>
    <cellStyle name="Header2 4 6 7 2" xfId="27880"/>
    <cellStyle name="Header2 4 6 7 2 2" xfId="37879"/>
    <cellStyle name="Header2 4 6 7 3" xfId="23941"/>
    <cellStyle name="Header2 4 6 7 4" xfId="33031"/>
    <cellStyle name="Header2 4 6 8" xfId="16486"/>
    <cellStyle name="Header2 4 6 8 2" xfId="28303"/>
    <cellStyle name="Header2 4 6 8 2 2" xfId="38302"/>
    <cellStyle name="Header2 4 6 8 3" xfId="24061"/>
    <cellStyle name="Header2 4 6 8 4" xfId="33151"/>
    <cellStyle name="Header2 4 6 9" xfId="16788"/>
    <cellStyle name="Header2 4 6 9 2" xfId="28605"/>
    <cellStyle name="Header2 4 6 9 2 2" xfId="38604"/>
    <cellStyle name="Header2 4 6 9 3" xfId="24363"/>
    <cellStyle name="Header2 4 6 9 4" xfId="33453"/>
    <cellStyle name="Header2 4 7" xfId="7980"/>
    <cellStyle name="Header2 4 7 10" xfId="17302"/>
    <cellStyle name="Header2 4 7 10 2" xfId="29119"/>
    <cellStyle name="Header2 4 7 10 2 2" xfId="39118"/>
    <cellStyle name="Header2 4 7 10 3" xfId="24877"/>
    <cellStyle name="Header2 4 7 10 4" xfId="33967"/>
    <cellStyle name="Header2 4 7 11" xfId="17605"/>
    <cellStyle name="Header2 4 7 11 2" xfId="29422"/>
    <cellStyle name="Header2 4 7 11 2 2" xfId="39421"/>
    <cellStyle name="Header2 4 7 11 3" xfId="25180"/>
    <cellStyle name="Header2 4 7 11 4" xfId="34270"/>
    <cellStyle name="Header2 4 7 12" xfId="18330"/>
    <cellStyle name="Header2 4 7 12 2" xfId="30147"/>
    <cellStyle name="Header2 4 7 12 2 2" xfId="40146"/>
    <cellStyle name="Header2 4 7 12 3" xfId="25805"/>
    <cellStyle name="Header2 4 7 12 4" xfId="34995"/>
    <cellStyle name="Header2 4 7 13" xfId="18633"/>
    <cellStyle name="Header2 4 7 13 2" xfId="30450"/>
    <cellStyle name="Header2 4 7 13 2 2" xfId="40449"/>
    <cellStyle name="Header2 4 7 13 3" xfId="26108"/>
    <cellStyle name="Header2 4 7 13 4" xfId="35298"/>
    <cellStyle name="Header2 4 7 14" xfId="20280"/>
    <cellStyle name="Header2 4 7 14 2" xfId="32097"/>
    <cellStyle name="Header2 4 7 14 2 2" xfId="42096"/>
    <cellStyle name="Header2 4 7 14 3" xfId="36945"/>
    <cellStyle name="Header2 4 7 15" xfId="23122"/>
    <cellStyle name="Header2 4 7 15 2" xfId="22028"/>
    <cellStyle name="Header2 4 7 16" xfId="22516"/>
    <cellStyle name="Header2 4 7 2" xfId="7981"/>
    <cellStyle name="Header2 4 7 2 10" xfId="18632"/>
    <cellStyle name="Header2 4 7 2 10 2" xfId="30449"/>
    <cellStyle name="Header2 4 7 2 10 2 2" xfId="40448"/>
    <cellStyle name="Header2 4 7 2 10 3" xfId="26107"/>
    <cellStyle name="Header2 4 7 2 10 4" xfId="35297"/>
    <cellStyle name="Header2 4 7 2 11" xfId="18290"/>
    <cellStyle name="Header2 4 7 2 11 2" xfId="30107"/>
    <cellStyle name="Header2 4 7 2 11 2 2" xfId="40106"/>
    <cellStyle name="Header2 4 7 2 11 3" xfId="34955"/>
    <cellStyle name="Header2 4 7 2 12" xfId="23121"/>
    <cellStyle name="Header2 4 7 2 12 2" xfId="21271"/>
    <cellStyle name="Header2 4 7 2 13" xfId="22515"/>
    <cellStyle name="Header2 4 7 2 2" xfId="15788"/>
    <cellStyle name="Header2 4 7 2 2 2" xfId="19005"/>
    <cellStyle name="Header2 4 7 2 2 2 2" xfId="30822"/>
    <cellStyle name="Header2 4 7 2 2 2 2 2" xfId="40821"/>
    <cellStyle name="Header2 4 7 2 2 2 3" xfId="26480"/>
    <cellStyle name="Header2 4 7 2 2 2 4" xfId="35670"/>
    <cellStyle name="Header2 4 7 2 2 3" xfId="19611"/>
    <cellStyle name="Header2 4 7 2 2 3 2" xfId="31428"/>
    <cellStyle name="Header2 4 7 2 2 3 2 2" xfId="41427"/>
    <cellStyle name="Header2 4 7 2 2 3 3" xfId="27086"/>
    <cellStyle name="Header2 4 7 2 2 3 4" xfId="36276"/>
    <cellStyle name="Header2 4 7 2 2 4" xfId="18025"/>
    <cellStyle name="Header2 4 7 2 2 4 2" xfId="29842"/>
    <cellStyle name="Header2 4 7 2 2 4 2 2" xfId="39841"/>
    <cellStyle name="Header2 4 7 2 2 4 3" xfId="25600"/>
    <cellStyle name="Header2 4 7 2 2 4 4" xfId="34690"/>
    <cellStyle name="Header2 4 7 2 2 5" xfId="20420"/>
    <cellStyle name="Header2 4 7 2 2 5 2" xfId="32237"/>
    <cellStyle name="Header2 4 7 2 2 5 2 2" xfId="42236"/>
    <cellStyle name="Header2 4 7 2 2 5 3" xfId="37085"/>
    <cellStyle name="Header2 4 7 2 2 6" xfId="23666"/>
    <cellStyle name="Header2 4 7 2 2 6 2" xfId="20984"/>
    <cellStyle name="Header2 4 7 2 2 7" xfId="22798"/>
    <cellStyle name="Header2 4 7 2 2 7 2" xfId="21418"/>
    <cellStyle name="Header2 4 7 2 2 8" xfId="21714"/>
    <cellStyle name="Header2 4 7 2 3" xfId="16369"/>
    <cellStyle name="Header2 4 7 2 3 2" xfId="19308"/>
    <cellStyle name="Header2 4 7 2 3 2 2" xfId="31125"/>
    <cellStyle name="Header2 4 7 2 3 2 2 2" xfId="41124"/>
    <cellStyle name="Header2 4 7 2 3 2 3" xfId="26783"/>
    <cellStyle name="Header2 4 7 2 3 2 4" xfId="35973"/>
    <cellStyle name="Header2 4 7 2 3 3" xfId="19914"/>
    <cellStyle name="Header2 4 7 2 3 3 2" xfId="31731"/>
    <cellStyle name="Header2 4 7 2 3 3 2 2" xfId="41730"/>
    <cellStyle name="Header2 4 7 2 3 3 3" xfId="27389"/>
    <cellStyle name="Header2 4 7 2 3 3 4" xfId="36579"/>
    <cellStyle name="Header2 4 7 2 3 4" xfId="17801"/>
    <cellStyle name="Header2 4 7 2 3 4 2" xfId="29618"/>
    <cellStyle name="Header2 4 7 2 3 4 2 2" xfId="39617"/>
    <cellStyle name="Header2 4 7 2 3 4 3" xfId="25376"/>
    <cellStyle name="Header2 4 7 2 3 4 4" xfId="34466"/>
    <cellStyle name="Header2 4 7 2 3 5" xfId="20723"/>
    <cellStyle name="Header2 4 7 2 3 5 2" xfId="32540"/>
    <cellStyle name="Header2 4 7 2 3 5 2 2" xfId="42539"/>
    <cellStyle name="Header2 4 7 2 3 5 3" xfId="37388"/>
    <cellStyle name="Header2 4 7 2 3 6" xfId="28186"/>
    <cellStyle name="Header2 4 7 2 3 6 2" xfId="38185"/>
    <cellStyle name="Header2 4 7 2 3 7" xfId="21573"/>
    <cellStyle name="Header2 4 7 2 4" xfId="16066"/>
    <cellStyle name="Header2 4 7 2 4 2" xfId="27883"/>
    <cellStyle name="Header2 4 7 2 4 2 2" xfId="37882"/>
    <cellStyle name="Header2 4 7 2 4 3" xfId="23944"/>
    <cellStyle name="Header2 4 7 2 4 4" xfId="33034"/>
    <cellStyle name="Header2 4 7 2 5" xfId="16481"/>
    <cellStyle name="Header2 4 7 2 5 2" xfId="28298"/>
    <cellStyle name="Header2 4 7 2 5 2 2" xfId="38297"/>
    <cellStyle name="Header2 4 7 2 5 3" xfId="24056"/>
    <cellStyle name="Header2 4 7 2 5 4" xfId="33146"/>
    <cellStyle name="Header2 4 7 2 6" xfId="16784"/>
    <cellStyle name="Header2 4 7 2 6 2" xfId="28601"/>
    <cellStyle name="Header2 4 7 2 6 2 2" xfId="38600"/>
    <cellStyle name="Header2 4 7 2 6 3" xfId="24359"/>
    <cellStyle name="Header2 4 7 2 6 4" xfId="33449"/>
    <cellStyle name="Header2 4 7 2 7" xfId="17303"/>
    <cellStyle name="Header2 4 7 2 7 2" xfId="29120"/>
    <cellStyle name="Header2 4 7 2 7 2 2" xfId="39119"/>
    <cellStyle name="Header2 4 7 2 7 3" xfId="24878"/>
    <cellStyle name="Header2 4 7 2 7 4" xfId="33968"/>
    <cellStyle name="Header2 4 7 2 8" xfId="17606"/>
    <cellStyle name="Header2 4 7 2 8 2" xfId="29423"/>
    <cellStyle name="Header2 4 7 2 8 2 2" xfId="39422"/>
    <cellStyle name="Header2 4 7 2 8 3" xfId="25181"/>
    <cellStyle name="Header2 4 7 2 8 4" xfId="34271"/>
    <cellStyle name="Header2 4 7 2 9" xfId="18329"/>
    <cellStyle name="Header2 4 7 2 9 2" xfId="30146"/>
    <cellStyle name="Header2 4 7 2 9 2 2" xfId="40145"/>
    <cellStyle name="Header2 4 7 2 9 3" xfId="25804"/>
    <cellStyle name="Header2 4 7 2 9 4" xfId="34994"/>
    <cellStyle name="Header2 4 7 3" xfId="7982"/>
    <cellStyle name="Header2 4 7 3 10" xfId="18631"/>
    <cellStyle name="Header2 4 7 3 10 2" xfId="30448"/>
    <cellStyle name="Header2 4 7 3 10 2 2" xfId="40447"/>
    <cellStyle name="Header2 4 7 3 10 3" xfId="26106"/>
    <cellStyle name="Header2 4 7 3 10 4" xfId="35296"/>
    <cellStyle name="Header2 4 7 3 11" xfId="18291"/>
    <cellStyle name="Header2 4 7 3 11 2" xfId="30108"/>
    <cellStyle name="Header2 4 7 3 11 2 2" xfId="40107"/>
    <cellStyle name="Header2 4 7 3 11 3" xfId="34956"/>
    <cellStyle name="Header2 4 7 3 12" xfId="23120"/>
    <cellStyle name="Header2 4 7 3 12 2" xfId="22029"/>
    <cellStyle name="Header2 4 7 3 13" xfId="22514"/>
    <cellStyle name="Header2 4 7 3 2" xfId="15789"/>
    <cellStyle name="Header2 4 7 3 2 2" xfId="19004"/>
    <cellStyle name="Header2 4 7 3 2 2 2" xfId="30821"/>
    <cellStyle name="Header2 4 7 3 2 2 2 2" xfId="40820"/>
    <cellStyle name="Header2 4 7 3 2 2 3" xfId="26479"/>
    <cellStyle name="Header2 4 7 3 2 2 4" xfId="35669"/>
    <cellStyle name="Header2 4 7 3 2 3" xfId="19610"/>
    <cellStyle name="Header2 4 7 3 2 3 2" xfId="31427"/>
    <cellStyle name="Header2 4 7 3 2 3 2 2" xfId="41426"/>
    <cellStyle name="Header2 4 7 3 2 3 3" xfId="27085"/>
    <cellStyle name="Header2 4 7 3 2 3 4" xfId="36275"/>
    <cellStyle name="Header2 4 7 3 2 4" xfId="18180"/>
    <cellStyle name="Header2 4 7 3 2 4 2" xfId="29997"/>
    <cellStyle name="Header2 4 7 3 2 4 2 2" xfId="39996"/>
    <cellStyle name="Header2 4 7 3 2 4 3" xfId="25755"/>
    <cellStyle name="Header2 4 7 3 2 4 4" xfId="34845"/>
    <cellStyle name="Header2 4 7 3 2 5" xfId="20419"/>
    <cellStyle name="Header2 4 7 3 2 5 2" xfId="32236"/>
    <cellStyle name="Header2 4 7 3 2 5 2 2" xfId="42235"/>
    <cellStyle name="Header2 4 7 3 2 5 3" xfId="37084"/>
    <cellStyle name="Header2 4 7 3 2 6" xfId="23667"/>
    <cellStyle name="Header2 4 7 3 2 6 2" xfId="21775"/>
    <cellStyle name="Header2 4 7 3 2 7" xfId="22939"/>
    <cellStyle name="Header2 4 7 3 2 7 2" xfId="21338"/>
    <cellStyle name="Header2 4 7 3 2 8" xfId="22468"/>
    <cellStyle name="Header2 4 7 3 3" xfId="16370"/>
    <cellStyle name="Header2 4 7 3 3 2" xfId="19307"/>
    <cellStyle name="Header2 4 7 3 3 2 2" xfId="31124"/>
    <cellStyle name="Header2 4 7 3 3 2 2 2" xfId="41123"/>
    <cellStyle name="Header2 4 7 3 3 2 3" xfId="26782"/>
    <cellStyle name="Header2 4 7 3 3 2 4" xfId="35972"/>
    <cellStyle name="Header2 4 7 3 3 3" xfId="19913"/>
    <cellStyle name="Header2 4 7 3 3 3 2" xfId="31730"/>
    <cellStyle name="Header2 4 7 3 3 3 2 2" xfId="41729"/>
    <cellStyle name="Header2 4 7 3 3 3 3" xfId="27388"/>
    <cellStyle name="Header2 4 7 3 3 3 4" xfId="36578"/>
    <cellStyle name="Header2 4 7 3 3 4" xfId="18880"/>
    <cellStyle name="Header2 4 7 3 3 4 2" xfId="30697"/>
    <cellStyle name="Header2 4 7 3 3 4 2 2" xfId="40696"/>
    <cellStyle name="Header2 4 7 3 3 4 3" xfId="26355"/>
    <cellStyle name="Header2 4 7 3 3 4 4" xfId="35545"/>
    <cellStyle name="Header2 4 7 3 3 5" xfId="20722"/>
    <cellStyle name="Header2 4 7 3 3 5 2" xfId="32539"/>
    <cellStyle name="Header2 4 7 3 3 5 2 2" xfId="42538"/>
    <cellStyle name="Header2 4 7 3 3 5 3" xfId="37387"/>
    <cellStyle name="Header2 4 7 3 3 6" xfId="28187"/>
    <cellStyle name="Header2 4 7 3 3 6 2" xfId="38186"/>
    <cellStyle name="Header2 4 7 3 3 7" xfId="22306"/>
    <cellStyle name="Header2 4 7 3 4" xfId="16067"/>
    <cellStyle name="Header2 4 7 3 4 2" xfId="27884"/>
    <cellStyle name="Header2 4 7 3 4 2 2" xfId="37883"/>
    <cellStyle name="Header2 4 7 3 4 3" xfId="23945"/>
    <cellStyle name="Header2 4 7 3 4 4" xfId="33035"/>
    <cellStyle name="Header2 4 7 3 5" xfId="16480"/>
    <cellStyle name="Header2 4 7 3 5 2" xfId="28297"/>
    <cellStyle name="Header2 4 7 3 5 2 2" xfId="38296"/>
    <cellStyle name="Header2 4 7 3 5 3" xfId="24055"/>
    <cellStyle name="Header2 4 7 3 5 4" xfId="33145"/>
    <cellStyle name="Header2 4 7 3 6" xfId="16783"/>
    <cellStyle name="Header2 4 7 3 6 2" xfId="28600"/>
    <cellStyle name="Header2 4 7 3 6 2 2" xfId="38599"/>
    <cellStyle name="Header2 4 7 3 6 3" xfId="24358"/>
    <cellStyle name="Header2 4 7 3 6 4" xfId="33448"/>
    <cellStyle name="Header2 4 7 3 7" xfId="17304"/>
    <cellStyle name="Header2 4 7 3 7 2" xfId="29121"/>
    <cellStyle name="Header2 4 7 3 7 2 2" xfId="39120"/>
    <cellStyle name="Header2 4 7 3 7 3" xfId="24879"/>
    <cellStyle name="Header2 4 7 3 7 4" xfId="33969"/>
    <cellStyle name="Header2 4 7 3 8" xfId="17607"/>
    <cellStyle name="Header2 4 7 3 8 2" xfId="29424"/>
    <cellStyle name="Header2 4 7 3 8 2 2" xfId="39423"/>
    <cellStyle name="Header2 4 7 3 8 3" xfId="25182"/>
    <cellStyle name="Header2 4 7 3 8 4" xfId="34272"/>
    <cellStyle name="Header2 4 7 3 9" xfId="18328"/>
    <cellStyle name="Header2 4 7 3 9 2" xfId="30145"/>
    <cellStyle name="Header2 4 7 3 9 2 2" xfId="40144"/>
    <cellStyle name="Header2 4 7 3 9 3" xfId="25803"/>
    <cellStyle name="Header2 4 7 3 9 4" xfId="34993"/>
    <cellStyle name="Header2 4 7 4" xfId="7983"/>
    <cellStyle name="Header2 4 7 4 10" xfId="18630"/>
    <cellStyle name="Header2 4 7 4 10 2" xfId="30447"/>
    <cellStyle name="Header2 4 7 4 10 2 2" xfId="40446"/>
    <cellStyle name="Header2 4 7 4 10 3" xfId="26105"/>
    <cellStyle name="Header2 4 7 4 10 4" xfId="35295"/>
    <cellStyle name="Header2 4 7 4 11" xfId="20168"/>
    <cellStyle name="Header2 4 7 4 11 2" xfId="31985"/>
    <cellStyle name="Header2 4 7 4 11 2 2" xfId="41984"/>
    <cellStyle name="Header2 4 7 4 11 3" xfId="36833"/>
    <cellStyle name="Header2 4 7 4 12" xfId="23119"/>
    <cellStyle name="Header2 4 7 4 12 2" xfId="22030"/>
    <cellStyle name="Header2 4 7 4 13" xfId="22513"/>
    <cellStyle name="Header2 4 7 4 2" xfId="15790"/>
    <cellStyle name="Header2 4 7 4 2 2" xfId="19003"/>
    <cellStyle name="Header2 4 7 4 2 2 2" xfId="30820"/>
    <cellStyle name="Header2 4 7 4 2 2 2 2" xfId="40819"/>
    <cellStyle name="Header2 4 7 4 2 2 3" xfId="26478"/>
    <cellStyle name="Header2 4 7 4 2 2 4" xfId="35668"/>
    <cellStyle name="Header2 4 7 4 2 3" xfId="19609"/>
    <cellStyle name="Header2 4 7 4 2 3 2" xfId="31426"/>
    <cellStyle name="Header2 4 7 4 2 3 2 2" xfId="41425"/>
    <cellStyle name="Header2 4 7 4 2 3 3" xfId="27084"/>
    <cellStyle name="Header2 4 7 4 2 3 4" xfId="36274"/>
    <cellStyle name="Header2 4 7 4 2 4" xfId="17726"/>
    <cellStyle name="Header2 4 7 4 2 4 2" xfId="29543"/>
    <cellStyle name="Header2 4 7 4 2 4 2 2" xfId="39542"/>
    <cellStyle name="Header2 4 7 4 2 4 3" xfId="25301"/>
    <cellStyle name="Header2 4 7 4 2 4 4" xfId="34391"/>
    <cellStyle name="Header2 4 7 4 2 5" xfId="20418"/>
    <cellStyle name="Header2 4 7 4 2 5 2" xfId="32235"/>
    <cellStyle name="Header2 4 7 4 2 5 2 2" xfId="42234"/>
    <cellStyle name="Header2 4 7 4 2 5 3" xfId="37083"/>
    <cellStyle name="Header2 4 7 4 2 6" xfId="23668"/>
    <cellStyle name="Header2 4 7 4 2 6 2" xfId="21774"/>
    <cellStyle name="Header2 4 7 4 2 7" xfId="22938"/>
    <cellStyle name="Header2 4 7 4 2 7 2" xfId="22144"/>
    <cellStyle name="Header2 4 7 4 2 8" xfId="21715"/>
    <cellStyle name="Header2 4 7 4 3" xfId="16371"/>
    <cellStyle name="Header2 4 7 4 3 2" xfId="19306"/>
    <cellStyle name="Header2 4 7 4 3 2 2" xfId="31123"/>
    <cellStyle name="Header2 4 7 4 3 2 2 2" xfId="41122"/>
    <cellStyle name="Header2 4 7 4 3 2 3" xfId="26781"/>
    <cellStyle name="Header2 4 7 4 3 2 4" xfId="35971"/>
    <cellStyle name="Header2 4 7 4 3 3" xfId="19912"/>
    <cellStyle name="Header2 4 7 4 3 3 2" xfId="31729"/>
    <cellStyle name="Header2 4 7 4 3 3 2 2" xfId="41728"/>
    <cellStyle name="Header2 4 7 4 3 3 3" xfId="27387"/>
    <cellStyle name="Header2 4 7 4 3 3 4" xfId="36577"/>
    <cellStyle name="Header2 4 7 4 3 4" xfId="17664"/>
    <cellStyle name="Header2 4 7 4 3 4 2" xfId="29481"/>
    <cellStyle name="Header2 4 7 4 3 4 2 2" xfId="39480"/>
    <cellStyle name="Header2 4 7 4 3 4 3" xfId="25239"/>
    <cellStyle name="Header2 4 7 4 3 4 4" xfId="34329"/>
    <cellStyle name="Header2 4 7 4 3 5" xfId="20721"/>
    <cellStyle name="Header2 4 7 4 3 5 2" xfId="32538"/>
    <cellStyle name="Header2 4 7 4 3 5 2 2" xfId="42537"/>
    <cellStyle name="Header2 4 7 4 3 5 3" xfId="37386"/>
    <cellStyle name="Header2 4 7 4 3 6" xfId="28188"/>
    <cellStyle name="Header2 4 7 4 3 6 2" xfId="38187"/>
    <cellStyle name="Header2 4 7 4 3 7" xfId="22307"/>
    <cellStyle name="Header2 4 7 4 4" xfId="16068"/>
    <cellStyle name="Header2 4 7 4 4 2" xfId="27885"/>
    <cellStyle name="Header2 4 7 4 4 2 2" xfId="37884"/>
    <cellStyle name="Header2 4 7 4 4 3" xfId="23946"/>
    <cellStyle name="Header2 4 7 4 4 4" xfId="33036"/>
    <cellStyle name="Header2 4 7 4 5" xfId="16479"/>
    <cellStyle name="Header2 4 7 4 5 2" xfId="28296"/>
    <cellStyle name="Header2 4 7 4 5 2 2" xfId="38295"/>
    <cellStyle name="Header2 4 7 4 5 3" xfId="24054"/>
    <cellStyle name="Header2 4 7 4 5 4" xfId="33144"/>
    <cellStyle name="Header2 4 7 4 6" xfId="16782"/>
    <cellStyle name="Header2 4 7 4 6 2" xfId="28599"/>
    <cellStyle name="Header2 4 7 4 6 2 2" xfId="38598"/>
    <cellStyle name="Header2 4 7 4 6 3" xfId="24357"/>
    <cellStyle name="Header2 4 7 4 6 4" xfId="33447"/>
    <cellStyle name="Header2 4 7 4 7" xfId="17305"/>
    <cellStyle name="Header2 4 7 4 7 2" xfId="29122"/>
    <cellStyle name="Header2 4 7 4 7 2 2" xfId="39121"/>
    <cellStyle name="Header2 4 7 4 7 3" xfId="24880"/>
    <cellStyle name="Header2 4 7 4 7 4" xfId="33970"/>
    <cellStyle name="Header2 4 7 4 8" xfId="17608"/>
    <cellStyle name="Header2 4 7 4 8 2" xfId="29425"/>
    <cellStyle name="Header2 4 7 4 8 2 2" xfId="39424"/>
    <cellStyle name="Header2 4 7 4 8 3" xfId="25183"/>
    <cellStyle name="Header2 4 7 4 8 4" xfId="34273"/>
    <cellStyle name="Header2 4 7 4 9" xfId="18327"/>
    <cellStyle name="Header2 4 7 4 9 2" xfId="30144"/>
    <cellStyle name="Header2 4 7 4 9 2 2" xfId="40143"/>
    <cellStyle name="Header2 4 7 4 9 3" xfId="25802"/>
    <cellStyle name="Header2 4 7 4 9 4" xfId="34992"/>
    <cellStyle name="Header2 4 7 5" xfId="15787"/>
    <cellStyle name="Header2 4 7 5 2" xfId="19006"/>
    <cellStyle name="Header2 4 7 5 2 2" xfId="30823"/>
    <cellStyle name="Header2 4 7 5 2 2 2" xfId="40822"/>
    <cellStyle name="Header2 4 7 5 2 3" xfId="26481"/>
    <cellStyle name="Header2 4 7 5 2 4" xfId="35671"/>
    <cellStyle name="Header2 4 7 5 3" xfId="19612"/>
    <cellStyle name="Header2 4 7 5 3 2" xfId="31429"/>
    <cellStyle name="Header2 4 7 5 3 2 2" xfId="41428"/>
    <cellStyle name="Header2 4 7 5 3 3" xfId="27087"/>
    <cellStyle name="Header2 4 7 5 3 4" xfId="36277"/>
    <cellStyle name="Header2 4 7 5 4" xfId="18179"/>
    <cellStyle name="Header2 4 7 5 4 2" xfId="29996"/>
    <cellStyle name="Header2 4 7 5 4 2 2" xfId="39995"/>
    <cellStyle name="Header2 4 7 5 4 3" xfId="25754"/>
    <cellStyle name="Header2 4 7 5 4 4" xfId="34844"/>
    <cellStyle name="Header2 4 7 5 5" xfId="20421"/>
    <cellStyle name="Header2 4 7 5 5 2" xfId="32238"/>
    <cellStyle name="Header2 4 7 5 5 2 2" xfId="42237"/>
    <cellStyle name="Header2 4 7 5 5 3" xfId="37086"/>
    <cellStyle name="Header2 4 7 5 6" xfId="23665"/>
    <cellStyle name="Header2 4 7 5 6 2" xfId="20976"/>
    <cellStyle name="Header2 4 7 5 7" xfId="22799"/>
    <cellStyle name="Header2 4 7 5 7 2" xfId="21417"/>
    <cellStyle name="Header2 4 7 5 8" xfId="21713"/>
    <cellStyle name="Header2 4 7 6" xfId="16368"/>
    <cellStyle name="Header2 4 7 6 2" xfId="19309"/>
    <cellStyle name="Header2 4 7 6 2 2" xfId="31126"/>
    <cellStyle name="Header2 4 7 6 2 2 2" xfId="41125"/>
    <cellStyle name="Header2 4 7 6 2 3" xfId="26784"/>
    <cellStyle name="Header2 4 7 6 2 4" xfId="35974"/>
    <cellStyle name="Header2 4 7 6 3" xfId="19915"/>
    <cellStyle name="Header2 4 7 6 3 2" xfId="31732"/>
    <cellStyle name="Header2 4 7 6 3 2 2" xfId="41731"/>
    <cellStyle name="Header2 4 7 6 3 3" xfId="27390"/>
    <cellStyle name="Header2 4 7 6 3 4" xfId="36580"/>
    <cellStyle name="Header2 4 7 6 4" xfId="17663"/>
    <cellStyle name="Header2 4 7 6 4 2" xfId="29480"/>
    <cellStyle name="Header2 4 7 6 4 2 2" xfId="39479"/>
    <cellStyle name="Header2 4 7 6 4 3" xfId="25238"/>
    <cellStyle name="Header2 4 7 6 4 4" xfId="34328"/>
    <cellStyle name="Header2 4 7 6 5" xfId="20724"/>
    <cellStyle name="Header2 4 7 6 5 2" xfId="32541"/>
    <cellStyle name="Header2 4 7 6 5 2 2" xfId="42540"/>
    <cellStyle name="Header2 4 7 6 5 3" xfId="37389"/>
    <cellStyle name="Header2 4 7 6 6" xfId="28185"/>
    <cellStyle name="Header2 4 7 6 6 2" xfId="38184"/>
    <cellStyle name="Header2 4 7 6 7" xfId="22305"/>
    <cellStyle name="Header2 4 7 7" xfId="16065"/>
    <cellStyle name="Header2 4 7 7 2" xfId="27882"/>
    <cellStyle name="Header2 4 7 7 2 2" xfId="37881"/>
    <cellStyle name="Header2 4 7 7 3" xfId="23943"/>
    <cellStyle name="Header2 4 7 7 4" xfId="33033"/>
    <cellStyle name="Header2 4 7 8" xfId="16482"/>
    <cellStyle name="Header2 4 7 8 2" xfId="28299"/>
    <cellStyle name="Header2 4 7 8 2 2" xfId="38298"/>
    <cellStyle name="Header2 4 7 8 3" xfId="24057"/>
    <cellStyle name="Header2 4 7 8 4" xfId="33147"/>
    <cellStyle name="Header2 4 7 9" xfId="16785"/>
    <cellStyle name="Header2 4 7 9 2" xfId="28602"/>
    <cellStyle name="Header2 4 7 9 2 2" xfId="38601"/>
    <cellStyle name="Header2 4 7 9 3" xfId="24360"/>
    <cellStyle name="Header2 4 7 9 4" xfId="33450"/>
    <cellStyle name="Header2 4 8" xfId="7984"/>
    <cellStyle name="Header2 4 8 10" xfId="17306"/>
    <cellStyle name="Header2 4 8 10 2" xfId="29123"/>
    <cellStyle name="Header2 4 8 10 2 2" xfId="39122"/>
    <cellStyle name="Header2 4 8 10 3" xfId="24881"/>
    <cellStyle name="Header2 4 8 10 4" xfId="33971"/>
    <cellStyle name="Header2 4 8 11" xfId="17609"/>
    <cellStyle name="Header2 4 8 11 2" xfId="29426"/>
    <cellStyle name="Header2 4 8 11 2 2" xfId="39425"/>
    <cellStyle name="Header2 4 8 11 3" xfId="25184"/>
    <cellStyle name="Header2 4 8 11 4" xfId="34274"/>
    <cellStyle name="Header2 4 8 12" xfId="18326"/>
    <cellStyle name="Header2 4 8 12 2" xfId="30143"/>
    <cellStyle name="Header2 4 8 12 2 2" xfId="40142"/>
    <cellStyle name="Header2 4 8 12 3" xfId="25801"/>
    <cellStyle name="Header2 4 8 12 4" xfId="34991"/>
    <cellStyle name="Header2 4 8 13" xfId="18629"/>
    <cellStyle name="Header2 4 8 13 2" xfId="30446"/>
    <cellStyle name="Header2 4 8 13 2 2" xfId="40445"/>
    <cellStyle name="Header2 4 8 13 3" xfId="26104"/>
    <cellStyle name="Header2 4 8 13 4" xfId="35294"/>
    <cellStyle name="Header2 4 8 14" xfId="20269"/>
    <cellStyle name="Header2 4 8 14 2" xfId="32086"/>
    <cellStyle name="Header2 4 8 14 2 2" xfId="42085"/>
    <cellStyle name="Header2 4 8 14 3" xfId="36934"/>
    <cellStyle name="Header2 4 8 15" xfId="23118"/>
    <cellStyle name="Header2 4 8 15 2" xfId="22031"/>
    <cellStyle name="Header2 4 8 16" xfId="22512"/>
    <cellStyle name="Header2 4 8 2" xfId="7985"/>
    <cellStyle name="Header2 4 8 2 10" xfId="18628"/>
    <cellStyle name="Header2 4 8 2 10 2" xfId="30445"/>
    <cellStyle name="Header2 4 8 2 10 2 2" xfId="40444"/>
    <cellStyle name="Header2 4 8 2 10 3" xfId="26103"/>
    <cellStyle name="Header2 4 8 2 10 4" xfId="35293"/>
    <cellStyle name="Header2 4 8 2 11" xfId="18292"/>
    <cellStyle name="Header2 4 8 2 11 2" xfId="30109"/>
    <cellStyle name="Header2 4 8 2 11 2 2" xfId="40108"/>
    <cellStyle name="Header2 4 8 2 11 3" xfId="34957"/>
    <cellStyle name="Header2 4 8 2 12" xfId="23117"/>
    <cellStyle name="Header2 4 8 2 12 2" xfId="22032"/>
    <cellStyle name="Header2 4 8 2 13" xfId="22511"/>
    <cellStyle name="Header2 4 8 2 2" xfId="15792"/>
    <cellStyle name="Header2 4 8 2 2 2" xfId="19001"/>
    <cellStyle name="Header2 4 8 2 2 2 2" xfId="30818"/>
    <cellStyle name="Header2 4 8 2 2 2 2 2" xfId="40817"/>
    <cellStyle name="Header2 4 8 2 2 2 3" xfId="26476"/>
    <cellStyle name="Header2 4 8 2 2 2 4" xfId="35666"/>
    <cellStyle name="Header2 4 8 2 2 3" xfId="19607"/>
    <cellStyle name="Header2 4 8 2 2 3 2" xfId="31424"/>
    <cellStyle name="Header2 4 8 2 2 3 2 2" xfId="41423"/>
    <cellStyle name="Header2 4 8 2 2 3 3" xfId="27082"/>
    <cellStyle name="Header2 4 8 2 2 3 4" xfId="36272"/>
    <cellStyle name="Header2 4 8 2 2 4" xfId="18182"/>
    <cellStyle name="Header2 4 8 2 2 4 2" xfId="29999"/>
    <cellStyle name="Header2 4 8 2 2 4 2 2" xfId="39998"/>
    <cellStyle name="Header2 4 8 2 2 4 3" xfId="25757"/>
    <cellStyle name="Header2 4 8 2 2 4 4" xfId="34847"/>
    <cellStyle name="Header2 4 8 2 2 5" xfId="20416"/>
    <cellStyle name="Header2 4 8 2 2 5 2" xfId="32233"/>
    <cellStyle name="Header2 4 8 2 2 5 2 2" xfId="42232"/>
    <cellStyle name="Header2 4 8 2 2 5 3" xfId="37081"/>
    <cellStyle name="Header2 4 8 2 2 6" xfId="23670"/>
    <cellStyle name="Header2 4 8 2 2 6 2" xfId="21772"/>
    <cellStyle name="Header2 4 8 2 2 7" xfId="22936"/>
    <cellStyle name="Header2 4 8 2 2 7 2" xfId="22146"/>
    <cellStyle name="Header2 4 8 2 2 8" xfId="21717"/>
    <cellStyle name="Header2 4 8 2 3" xfId="16373"/>
    <cellStyle name="Header2 4 8 2 3 2" xfId="19304"/>
    <cellStyle name="Header2 4 8 2 3 2 2" xfId="31121"/>
    <cellStyle name="Header2 4 8 2 3 2 2 2" xfId="41120"/>
    <cellStyle name="Header2 4 8 2 3 2 3" xfId="26779"/>
    <cellStyle name="Header2 4 8 2 3 2 4" xfId="35969"/>
    <cellStyle name="Header2 4 8 2 3 3" xfId="19910"/>
    <cellStyle name="Header2 4 8 2 3 3 2" xfId="31727"/>
    <cellStyle name="Header2 4 8 2 3 3 2 2" xfId="41726"/>
    <cellStyle name="Header2 4 8 2 3 3 3" xfId="27385"/>
    <cellStyle name="Header2 4 8 2 3 3 4" xfId="36575"/>
    <cellStyle name="Header2 4 8 2 3 4" xfId="17802"/>
    <cellStyle name="Header2 4 8 2 3 4 2" xfId="29619"/>
    <cellStyle name="Header2 4 8 2 3 4 2 2" xfId="39618"/>
    <cellStyle name="Header2 4 8 2 3 4 3" xfId="25377"/>
    <cellStyle name="Header2 4 8 2 3 4 4" xfId="34467"/>
    <cellStyle name="Header2 4 8 2 3 5" xfId="20719"/>
    <cellStyle name="Header2 4 8 2 3 5 2" xfId="32536"/>
    <cellStyle name="Header2 4 8 2 3 5 2 2" xfId="42535"/>
    <cellStyle name="Header2 4 8 2 3 5 3" xfId="37384"/>
    <cellStyle name="Header2 4 8 2 3 6" xfId="28190"/>
    <cellStyle name="Header2 4 8 2 3 6 2" xfId="38189"/>
    <cellStyle name="Header2 4 8 2 3 7" xfId="22309"/>
    <cellStyle name="Header2 4 8 2 4" xfId="16070"/>
    <cellStyle name="Header2 4 8 2 4 2" xfId="27887"/>
    <cellStyle name="Header2 4 8 2 4 2 2" xfId="37886"/>
    <cellStyle name="Header2 4 8 2 4 3" xfId="23948"/>
    <cellStyle name="Header2 4 8 2 4 4" xfId="33038"/>
    <cellStyle name="Header2 4 8 2 5" xfId="16477"/>
    <cellStyle name="Header2 4 8 2 5 2" xfId="28294"/>
    <cellStyle name="Header2 4 8 2 5 2 2" xfId="38293"/>
    <cellStyle name="Header2 4 8 2 5 3" xfId="24052"/>
    <cellStyle name="Header2 4 8 2 5 4" xfId="33142"/>
    <cellStyle name="Header2 4 8 2 6" xfId="16780"/>
    <cellStyle name="Header2 4 8 2 6 2" xfId="28597"/>
    <cellStyle name="Header2 4 8 2 6 2 2" xfId="38596"/>
    <cellStyle name="Header2 4 8 2 6 3" xfId="24355"/>
    <cellStyle name="Header2 4 8 2 6 4" xfId="33445"/>
    <cellStyle name="Header2 4 8 2 7" xfId="17307"/>
    <cellStyle name="Header2 4 8 2 7 2" xfId="29124"/>
    <cellStyle name="Header2 4 8 2 7 2 2" xfId="39123"/>
    <cellStyle name="Header2 4 8 2 7 3" xfId="24882"/>
    <cellStyle name="Header2 4 8 2 7 4" xfId="33972"/>
    <cellStyle name="Header2 4 8 2 8" xfId="17610"/>
    <cellStyle name="Header2 4 8 2 8 2" xfId="29427"/>
    <cellStyle name="Header2 4 8 2 8 2 2" xfId="39426"/>
    <cellStyle name="Header2 4 8 2 8 3" xfId="25185"/>
    <cellStyle name="Header2 4 8 2 8 4" xfId="34275"/>
    <cellStyle name="Header2 4 8 2 9" xfId="18325"/>
    <cellStyle name="Header2 4 8 2 9 2" xfId="30142"/>
    <cellStyle name="Header2 4 8 2 9 2 2" xfId="40141"/>
    <cellStyle name="Header2 4 8 2 9 3" xfId="25800"/>
    <cellStyle name="Header2 4 8 2 9 4" xfId="34990"/>
    <cellStyle name="Header2 4 8 3" xfId="7986"/>
    <cellStyle name="Header2 4 8 3 10" xfId="18627"/>
    <cellStyle name="Header2 4 8 3 10 2" xfId="30444"/>
    <cellStyle name="Header2 4 8 3 10 2 2" xfId="40443"/>
    <cellStyle name="Header2 4 8 3 10 3" xfId="26102"/>
    <cellStyle name="Header2 4 8 3 10 4" xfId="35292"/>
    <cellStyle name="Header2 4 8 3 11" xfId="20167"/>
    <cellStyle name="Header2 4 8 3 11 2" xfId="31984"/>
    <cellStyle name="Header2 4 8 3 11 2 2" xfId="41983"/>
    <cellStyle name="Header2 4 8 3 11 3" xfId="36832"/>
    <cellStyle name="Header2 4 8 3 12" xfId="23116"/>
    <cellStyle name="Header2 4 8 3 12 2" xfId="22033"/>
    <cellStyle name="Header2 4 8 3 13" xfId="22510"/>
    <cellStyle name="Header2 4 8 3 2" xfId="15793"/>
    <cellStyle name="Header2 4 8 3 2 2" xfId="19000"/>
    <cellStyle name="Header2 4 8 3 2 2 2" xfId="30817"/>
    <cellStyle name="Header2 4 8 3 2 2 2 2" xfId="40816"/>
    <cellStyle name="Header2 4 8 3 2 2 3" xfId="26475"/>
    <cellStyle name="Header2 4 8 3 2 2 4" xfId="35665"/>
    <cellStyle name="Header2 4 8 3 2 3" xfId="19606"/>
    <cellStyle name="Header2 4 8 3 2 3 2" xfId="31423"/>
    <cellStyle name="Header2 4 8 3 2 3 2 2" xfId="41422"/>
    <cellStyle name="Header2 4 8 3 2 3 3" xfId="27081"/>
    <cellStyle name="Header2 4 8 3 2 3 4" xfId="36271"/>
    <cellStyle name="Header2 4 8 3 2 4" xfId="18183"/>
    <cellStyle name="Header2 4 8 3 2 4 2" xfId="30000"/>
    <cellStyle name="Header2 4 8 3 2 4 2 2" xfId="39999"/>
    <cellStyle name="Header2 4 8 3 2 4 3" xfId="25758"/>
    <cellStyle name="Header2 4 8 3 2 4 4" xfId="34848"/>
    <cellStyle name="Header2 4 8 3 2 5" xfId="20415"/>
    <cellStyle name="Header2 4 8 3 2 5 2" xfId="32232"/>
    <cellStyle name="Header2 4 8 3 2 5 2 2" xfId="42231"/>
    <cellStyle name="Header2 4 8 3 2 5 3" xfId="37080"/>
    <cellStyle name="Header2 4 8 3 2 6" xfId="23671"/>
    <cellStyle name="Header2 4 8 3 2 6 2" xfId="21771"/>
    <cellStyle name="Header2 4 8 3 2 7" xfId="22935"/>
    <cellStyle name="Header2 4 8 3 2 7 2" xfId="22147"/>
    <cellStyle name="Header2 4 8 3 2 8" xfId="21718"/>
    <cellStyle name="Header2 4 8 3 3" xfId="16374"/>
    <cellStyle name="Header2 4 8 3 3 2" xfId="19303"/>
    <cellStyle name="Header2 4 8 3 3 2 2" xfId="31120"/>
    <cellStyle name="Header2 4 8 3 3 2 2 2" xfId="41119"/>
    <cellStyle name="Header2 4 8 3 3 2 3" xfId="26778"/>
    <cellStyle name="Header2 4 8 3 3 2 4" xfId="35968"/>
    <cellStyle name="Header2 4 8 3 3 3" xfId="19909"/>
    <cellStyle name="Header2 4 8 3 3 3 2" xfId="31726"/>
    <cellStyle name="Header2 4 8 3 3 3 2 2" xfId="41725"/>
    <cellStyle name="Header2 4 8 3 3 3 3" xfId="27384"/>
    <cellStyle name="Header2 4 8 3 3 3 4" xfId="36574"/>
    <cellStyle name="Header2 4 8 3 3 4" xfId="18882"/>
    <cellStyle name="Header2 4 8 3 3 4 2" xfId="30699"/>
    <cellStyle name="Header2 4 8 3 3 4 2 2" xfId="40698"/>
    <cellStyle name="Header2 4 8 3 3 4 3" xfId="26357"/>
    <cellStyle name="Header2 4 8 3 3 4 4" xfId="35547"/>
    <cellStyle name="Header2 4 8 3 3 5" xfId="20718"/>
    <cellStyle name="Header2 4 8 3 3 5 2" xfId="32535"/>
    <cellStyle name="Header2 4 8 3 3 5 2 2" xfId="42534"/>
    <cellStyle name="Header2 4 8 3 3 5 3" xfId="37383"/>
    <cellStyle name="Header2 4 8 3 3 6" xfId="28191"/>
    <cellStyle name="Header2 4 8 3 3 6 2" xfId="38190"/>
    <cellStyle name="Header2 4 8 3 3 7" xfId="22310"/>
    <cellStyle name="Header2 4 8 3 4" xfId="16071"/>
    <cellStyle name="Header2 4 8 3 4 2" xfId="27888"/>
    <cellStyle name="Header2 4 8 3 4 2 2" xfId="37887"/>
    <cellStyle name="Header2 4 8 3 4 3" xfId="23949"/>
    <cellStyle name="Header2 4 8 3 4 4" xfId="33039"/>
    <cellStyle name="Header2 4 8 3 5" xfId="16476"/>
    <cellStyle name="Header2 4 8 3 5 2" xfId="28293"/>
    <cellStyle name="Header2 4 8 3 5 2 2" xfId="38292"/>
    <cellStyle name="Header2 4 8 3 5 3" xfId="24051"/>
    <cellStyle name="Header2 4 8 3 5 4" xfId="33141"/>
    <cellStyle name="Header2 4 8 3 6" xfId="16779"/>
    <cellStyle name="Header2 4 8 3 6 2" xfId="28596"/>
    <cellStyle name="Header2 4 8 3 6 2 2" xfId="38595"/>
    <cellStyle name="Header2 4 8 3 6 3" xfId="24354"/>
    <cellStyle name="Header2 4 8 3 6 4" xfId="33444"/>
    <cellStyle name="Header2 4 8 3 7" xfId="17308"/>
    <cellStyle name="Header2 4 8 3 7 2" xfId="29125"/>
    <cellStyle name="Header2 4 8 3 7 2 2" xfId="39124"/>
    <cellStyle name="Header2 4 8 3 7 3" xfId="24883"/>
    <cellStyle name="Header2 4 8 3 7 4" xfId="33973"/>
    <cellStyle name="Header2 4 8 3 8" xfId="17611"/>
    <cellStyle name="Header2 4 8 3 8 2" xfId="29428"/>
    <cellStyle name="Header2 4 8 3 8 2 2" xfId="39427"/>
    <cellStyle name="Header2 4 8 3 8 3" xfId="25186"/>
    <cellStyle name="Header2 4 8 3 8 4" xfId="34276"/>
    <cellStyle name="Header2 4 8 3 9" xfId="18324"/>
    <cellStyle name="Header2 4 8 3 9 2" xfId="30141"/>
    <cellStyle name="Header2 4 8 3 9 2 2" xfId="40140"/>
    <cellStyle name="Header2 4 8 3 9 3" xfId="25799"/>
    <cellStyle name="Header2 4 8 3 9 4" xfId="34989"/>
    <cellStyle name="Header2 4 8 4" xfId="7987"/>
    <cellStyle name="Header2 4 8 4 10" xfId="18626"/>
    <cellStyle name="Header2 4 8 4 10 2" xfId="30443"/>
    <cellStyle name="Header2 4 8 4 10 2 2" xfId="40442"/>
    <cellStyle name="Header2 4 8 4 10 3" xfId="26101"/>
    <cellStyle name="Header2 4 8 4 10 4" xfId="35291"/>
    <cellStyle name="Header2 4 8 4 11" xfId="20268"/>
    <cellStyle name="Header2 4 8 4 11 2" xfId="32085"/>
    <cellStyle name="Header2 4 8 4 11 2 2" xfId="42084"/>
    <cellStyle name="Header2 4 8 4 11 3" xfId="36933"/>
    <cellStyle name="Header2 4 8 4 12" xfId="23115"/>
    <cellStyle name="Header2 4 8 4 12 2" xfId="21272"/>
    <cellStyle name="Header2 4 8 4 13" xfId="22509"/>
    <cellStyle name="Header2 4 8 4 2" xfId="15794"/>
    <cellStyle name="Header2 4 8 4 2 2" xfId="18999"/>
    <cellStyle name="Header2 4 8 4 2 2 2" xfId="30816"/>
    <cellStyle name="Header2 4 8 4 2 2 2 2" xfId="40815"/>
    <cellStyle name="Header2 4 8 4 2 2 3" xfId="26474"/>
    <cellStyle name="Header2 4 8 4 2 2 4" xfId="35664"/>
    <cellStyle name="Header2 4 8 4 2 3" xfId="19605"/>
    <cellStyle name="Header2 4 8 4 2 3 2" xfId="31422"/>
    <cellStyle name="Header2 4 8 4 2 3 2 2" xfId="41421"/>
    <cellStyle name="Header2 4 8 4 2 3 3" xfId="27080"/>
    <cellStyle name="Header2 4 8 4 2 3 4" xfId="36270"/>
    <cellStyle name="Header2 4 8 4 2 4" xfId="18184"/>
    <cellStyle name="Header2 4 8 4 2 4 2" xfId="30001"/>
    <cellStyle name="Header2 4 8 4 2 4 2 2" xfId="40000"/>
    <cellStyle name="Header2 4 8 4 2 4 3" xfId="25759"/>
    <cellStyle name="Header2 4 8 4 2 4 4" xfId="34849"/>
    <cellStyle name="Header2 4 8 4 2 5" xfId="20414"/>
    <cellStyle name="Header2 4 8 4 2 5 2" xfId="32231"/>
    <cellStyle name="Header2 4 8 4 2 5 2 2" xfId="42230"/>
    <cellStyle name="Header2 4 8 4 2 5 3" xfId="37079"/>
    <cellStyle name="Header2 4 8 4 2 6" xfId="23672"/>
    <cellStyle name="Header2 4 8 4 2 6 2" xfId="20979"/>
    <cellStyle name="Header2 4 8 4 2 7" xfId="22797"/>
    <cellStyle name="Header2 4 8 4 2 7 2" xfId="21419"/>
    <cellStyle name="Header2 4 8 4 2 8" xfId="21719"/>
    <cellStyle name="Header2 4 8 4 3" xfId="16375"/>
    <cellStyle name="Header2 4 8 4 3 2" xfId="19302"/>
    <cellStyle name="Header2 4 8 4 3 2 2" xfId="31119"/>
    <cellStyle name="Header2 4 8 4 3 2 2 2" xfId="41118"/>
    <cellStyle name="Header2 4 8 4 3 2 3" xfId="26777"/>
    <cellStyle name="Header2 4 8 4 3 2 4" xfId="35967"/>
    <cellStyle name="Header2 4 8 4 3 3" xfId="19908"/>
    <cellStyle name="Header2 4 8 4 3 3 2" xfId="31725"/>
    <cellStyle name="Header2 4 8 4 3 3 2 2" xfId="41724"/>
    <cellStyle name="Header2 4 8 4 3 3 3" xfId="27383"/>
    <cellStyle name="Header2 4 8 4 3 3 4" xfId="36573"/>
    <cellStyle name="Header2 4 8 4 3 4" xfId="18883"/>
    <cellStyle name="Header2 4 8 4 3 4 2" xfId="30700"/>
    <cellStyle name="Header2 4 8 4 3 4 2 2" xfId="40699"/>
    <cellStyle name="Header2 4 8 4 3 4 3" xfId="26358"/>
    <cellStyle name="Header2 4 8 4 3 4 4" xfId="35548"/>
    <cellStyle name="Header2 4 8 4 3 5" xfId="20717"/>
    <cellStyle name="Header2 4 8 4 3 5 2" xfId="32534"/>
    <cellStyle name="Header2 4 8 4 3 5 2 2" xfId="42533"/>
    <cellStyle name="Header2 4 8 4 3 5 3" xfId="37382"/>
    <cellStyle name="Header2 4 8 4 3 6" xfId="28192"/>
    <cellStyle name="Header2 4 8 4 3 6 2" xfId="38191"/>
    <cellStyle name="Header2 4 8 4 3 7" xfId="21574"/>
    <cellStyle name="Header2 4 8 4 4" xfId="16072"/>
    <cellStyle name="Header2 4 8 4 4 2" xfId="27889"/>
    <cellStyle name="Header2 4 8 4 4 2 2" xfId="37888"/>
    <cellStyle name="Header2 4 8 4 4 3" xfId="23950"/>
    <cellStyle name="Header2 4 8 4 4 4" xfId="33040"/>
    <cellStyle name="Header2 4 8 4 5" xfId="16475"/>
    <cellStyle name="Header2 4 8 4 5 2" xfId="28292"/>
    <cellStyle name="Header2 4 8 4 5 2 2" xfId="38291"/>
    <cellStyle name="Header2 4 8 4 5 3" xfId="24050"/>
    <cellStyle name="Header2 4 8 4 5 4" xfId="33140"/>
    <cellStyle name="Header2 4 8 4 6" xfId="16778"/>
    <cellStyle name="Header2 4 8 4 6 2" xfId="28595"/>
    <cellStyle name="Header2 4 8 4 6 2 2" xfId="38594"/>
    <cellStyle name="Header2 4 8 4 6 3" xfId="24353"/>
    <cellStyle name="Header2 4 8 4 6 4" xfId="33443"/>
    <cellStyle name="Header2 4 8 4 7" xfId="17309"/>
    <cellStyle name="Header2 4 8 4 7 2" xfId="29126"/>
    <cellStyle name="Header2 4 8 4 7 2 2" xfId="39125"/>
    <cellStyle name="Header2 4 8 4 7 3" xfId="24884"/>
    <cellStyle name="Header2 4 8 4 7 4" xfId="33974"/>
    <cellStyle name="Header2 4 8 4 8" xfId="17612"/>
    <cellStyle name="Header2 4 8 4 8 2" xfId="29429"/>
    <cellStyle name="Header2 4 8 4 8 2 2" xfId="39428"/>
    <cellStyle name="Header2 4 8 4 8 3" xfId="25187"/>
    <cellStyle name="Header2 4 8 4 8 4" xfId="34277"/>
    <cellStyle name="Header2 4 8 4 9" xfId="18323"/>
    <cellStyle name="Header2 4 8 4 9 2" xfId="30140"/>
    <cellStyle name="Header2 4 8 4 9 2 2" xfId="40139"/>
    <cellStyle name="Header2 4 8 4 9 3" xfId="25798"/>
    <cellStyle name="Header2 4 8 4 9 4" xfId="34988"/>
    <cellStyle name="Header2 4 8 5" xfId="15791"/>
    <cellStyle name="Header2 4 8 5 2" xfId="19002"/>
    <cellStyle name="Header2 4 8 5 2 2" xfId="30819"/>
    <cellStyle name="Header2 4 8 5 2 2 2" xfId="40818"/>
    <cellStyle name="Header2 4 8 5 2 3" xfId="26477"/>
    <cellStyle name="Header2 4 8 5 2 4" xfId="35667"/>
    <cellStyle name="Header2 4 8 5 3" xfId="19608"/>
    <cellStyle name="Header2 4 8 5 3 2" xfId="31425"/>
    <cellStyle name="Header2 4 8 5 3 2 2" xfId="41424"/>
    <cellStyle name="Header2 4 8 5 3 3" xfId="27083"/>
    <cellStyle name="Header2 4 8 5 3 4" xfId="36273"/>
    <cellStyle name="Header2 4 8 5 4" xfId="18181"/>
    <cellStyle name="Header2 4 8 5 4 2" xfId="29998"/>
    <cellStyle name="Header2 4 8 5 4 2 2" xfId="39997"/>
    <cellStyle name="Header2 4 8 5 4 3" xfId="25756"/>
    <cellStyle name="Header2 4 8 5 4 4" xfId="34846"/>
    <cellStyle name="Header2 4 8 5 5" xfId="20417"/>
    <cellStyle name="Header2 4 8 5 5 2" xfId="32234"/>
    <cellStyle name="Header2 4 8 5 5 2 2" xfId="42233"/>
    <cellStyle name="Header2 4 8 5 5 3" xfId="37082"/>
    <cellStyle name="Header2 4 8 5 6" xfId="23669"/>
    <cellStyle name="Header2 4 8 5 6 2" xfId="21773"/>
    <cellStyle name="Header2 4 8 5 7" xfId="22937"/>
    <cellStyle name="Header2 4 8 5 7 2" xfId="22145"/>
    <cellStyle name="Header2 4 8 5 8" xfId="21716"/>
    <cellStyle name="Header2 4 8 6" xfId="16372"/>
    <cellStyle name="Header2 4 8 6 2" xfId="19305"/>
    <cellStyle name="Header2 4 8 6 2 2" xfId="31122"/>
    <cellStyle name="Header2 4 8 6 2 2 2" xfId="41121"/>
    <cellStyle name="Header2 4 8 6 2 3" xfId="26780"/>
    <cellStyle name="Header2 4 8 6 2 4" xfId="35970"/>
    <cellStyle name="Header2 4 8 6 3" xfId="19911"/>
    <cellStyle name="Header2 4 8 6 3 2" xfId="31728"/>
    <cellStyle name="Header2 4 8 6 3 2 2" xfId="41727"/>
    <cellStyle name="Header2 4 8 6 3 3" xfId="27386"/>
    <cellStyle name="Header2 4 8 6 3 4" xfId="36576"/>
    <cellStyle name="Header2 4 8 6 4" xfId="18881"/>
    <cellStyle name="Header2 4 8 6 4 2" xfId="30698"/>
    <cellStyle name="Header2 4 8 6 4 2 2" xfId="40697"/>
    <cellStyle name="Header2 4 8 6 4 3" xfId="26356"/>
    <cellStyle name="Header2 4 8 6 4 4" xfId="35546"/>
    <cellStyle name="Header2 4 8 6 5" xfId="20720"/>
    <cellStyle name="Header2 4 8 6 5 2" xfId="32537"/>
    <cellStyle name="Header2 4 8 6 5 2 2" xfId="42536"/>
    <cellStyle name="Header2 4 8 6 5 3" xfId="37385"/>
    <cellStyle name="Header2 4 8 6 6" xfId="28189"/>
    <cellStyle name="Header2 4 8 6 6 2" xfId="38188"/>
    <cellStyle name="Header2 4 8 6 7" xfId="22308"/>
    <cellStyle name="Header2 4 8 7" xfId="16069"/>
    <cellStyle name="Header2 4 8 7 2" xfId="27886"/>
    <cellStyle name="Header2 4 8 7 2 2" xfId="37885"/>
    <cellStyle name="Header2 4 8 7 3" xfId="23947"/>
    <cellStyle name="Header2 4 8 7 4" xfId="33037"/>
    <cellStyle name="Header2 4 8 8" xfId="16478"/>
    <cellStyle name="Header2 4 8 8 2" xfId="28295"/>
    <cellStyle name="Header2 4 8 8 2 2" xfId="38294"/>
    <cellStyle name="Header2 4 8 8 3" xfId="24053"/>
    <cellStyle name="Header2 4 8 8 4" xfId="33143"/>
    <cellStyle name="Header2 4 8 9" xfId="16781"/>
    <cellStyle name="Header2 4 8 9 2" xfId="28598"/>
    <cellStyle name="Header2 4 8 9 2 2" xfId="38597"/>
    <cellStyle name="Header2 4 8 9 3" xfId="24356"/>
    <cellStyle name="Header2 4 8 9 4" xfId="33446"/>
    <cellStyle name="Header2 4 9" xfId="7988"/>
    <cellStyle name="Header2 4 9 10" xfId="17310"/>
    <cellStyle name="Header2 4 9 10 2" xfId="29127"/>
    <cellStyle name="Header2 4 9 10 2 2" xfId="39126"/>
    <cellStyle name="Header2 4 9 10 3" xfId="24885"/>
    <cellStyle name="Header2 4 9 10 4" xfId="33975"/>
    <cellStyle name="Header2 4 9 11" xfId="17613"/>
    <cellStyle name="Header2 4 9 11 2" xfId="29430"/>
    <cellStyle name="Header2 4 9 11 2 2" xfId="39429"/>
    <cellStyle name="Header2 4 9 11 3" xfId="25188"/>
    <cellStyle name="Header2 4 9 11 4" xfId="34278"/>
    <cellStyle name="Header2 4 9 12" xfId="18322"/>
    <cellStyle name="Header2 4 9 12 2" xfId="30139"/>
    <cellStyle name="Header2 4 9 12 2 2" xfId="40138"/>
    <cellStyle name="Header2 4 9 12 3" xfId="25797"/>
    <cellStyle name="Header2 4 9 12 4" xfId="34987"/>
    <cellStyle name="Header2 4 9 13" xfId="18625"/>
    <cellStyle name="Header2 4 9 13 2" xfId="30442"/>
    <cellStyle name="Header2 4 9 13 2 2" xfId="40441"/>
    <cellStyle name="Header2 4 9 13 3" xfId="26100"/>
    <cellStyle name="Header2 4 9 13 4" xfId="35290"/>
    <cellStyle name="Header2 4 9 14" xfId="18293"/>
    <cellStyle name="Header2 4 9 14 2" xfId="30110"/>
    <cellStyle name="Header2 4 9 14 2 2" xfId="40109"/>
    <cellStyle name="Header2 4 9 14 3" xfId="34958"/>
    <cellStyle name="Header2 4 9 15" xfId="23114"/>
    <cellStyle name="Header2 4 9 15 2" xfId="22034"/>
    <cellStyle name="Header2 4 9 16" xfId="22508"/>
    <cellStyle name="Header2 4 9 2" xfId="7989"/>
    <cellStyle name="Header2 4 9 2 10" xfId="18624"/>
    <cellStyle name="Header2 4 9 2 10 2" xfId="30441"/>
    <cellStyle name="Header2 4 9 2 10 2 2" xfId="40440"/>
    <cellStyle name="Header2 4 9 2 10 3" xfId="26099"/>
    <cellStyle name="Header2 4 9 2 10 4" xfId="35289"/>
    <cellStyle name="Header2 4 9 2 11" xfId="20166"/>
    <cellStyle name="Header2 4 9 2 11 2" xfId="31983"/>
    <cellStyle name="Header2 4 9 2 11 2 2" xfId="41982"/>
    <cellStyle name="Header2 4 9 2 11 3" xfId="36831"/>
    <cellStyle name="Header2 4 9 2 12" xfId="23113"/>
    <cellStyle name="Header2 4 9 2 12 2" xfId="22035"/>
    <cellStyle name="Header2 4 9 2 13" xfId="22507"/>
    <cellStyle name="Header2 4 9 2 2" xfId="15796"/>
    <cellStyle name="Header2 4 9 2 2 2" xfId="18997"/>
    <cellStyle name="Header2 4 9 2 2 2 2" xfId="30814"/>
    <cellStyle name="Header2 4 9 2 2 2 2 2" xfId="40813"/>
    <cellStyle name="Header2 4 9 2 2 2 3" xfId="26472"/>
    <cellStyle name="Header2 4 9 2 2 2 4" xfId="35662"/>
    <cellStyle name="Header2 4 9 2 2 3" xfId="19603"/>
    <cellStyle name="Header2 4 9 2 2 3 2" xfId="31420"/>
    <cellStyle name="Header2 4 9 2 2 3 2 2" xfId="41419"/>
    <cellStyle name="Header2 4 9 2 2 3 3" xfId="27078"/>
    <cellStyle name="Header2 4 9 2 2 3 4" xfId="36268"/>
    <cellStyle name="Header2 4 9 2 2 4" xfId="17742"/>
    <cellStyle name="Header2 4 9 2 2 4 2" xfId="29559"/>
    <cellStyle name="Header2 4 9 2 2 4 2 2" xfId="39558"/>
    <cellStyle name="Header2 4 9 2 2 4 3" xfId="25317"/>
    <cellStyle name="Header2 4 9 2 2 4 4" xfId="34407"/>
    <cellStyle name="Header2 4 9 2 2 5" xfId="20412"/>
    <cellStyle name="Header2 4 9 2 2 5 2" xfId="32229"/>
    <cellStyle name="Header2 4 9 2 2 5 2 2" xfId="42228"/>
    <cellStyle name="Header2 4 9 2 2 5 3" xfId="37077"/>
    <cellStyle name="Header2 4 9 2 2 6" xfId="23674"/>
    <cellStyle name="Header2 4 9 2 2 6 2" xfId="21769"/>
    <cellStyle name="Header2 4 9 2 2 7" xfId="22933"/>
    <cellStyle name="Header2 4 9 2 2 7 2" xfId="21339"/>
    <cellStyle name="Header2 4 9 2 2 8" xfId="21721"/>
    <cellStyle name="Header2 4 9 2 3" xfId="16377"/>
    <cellStyle name="Header2 4 9 2 3 2" xfId="19300"/>
    <cellStyle name="Header2 4 9 2 3 2 2" xfId="31117"/>
    <cellStyle name="Header2 4 9 2 3 2 2 2" xfId="41116"/>
    <cellStyle name="Header2 4 9 2 3 2 3" xfId="26775"/>
    <cellStyle name="Header2 4 9 2 3 2 4" xfId="35965"/>
    <cellStyle name="Header2 4 9 2 3 3" xfId="19906"/>
    <cellStyle name="Header2 4 9 2 3 3 2" xfId="31723"/>
    <cellStyle name="Header2 4 9 2 3 3 2 2" xfId="41722"/>
    <cellStyle name="Header2 4 9 2 3 3 3" xfId="27381"/>
    <cellStyle name="Header2 4 9 2 3 3 4" xfId="36571"/>
    <cellStyle name="Header2 4 9 2 3 4" xfId="18119"/>
    <cellStyle name="Header2 4 9 2 3 4 2" xfId="29936"/>
    <cellStyle name="Header2 4 9 2 3 4 2 2" xfId="39935"/>
    <cellStyle name="Header2 4 9 2 3 4 3" xfId="25694"/>
    <cellStyle name="Header2 4 9 2 3 4 4" xfId="34784"/>
    <cellStyle name="Header2 4 9 2 3 5" xfId="20715"/>
    <cellStyle name="Header2 4 9 2 3 5 2" xfId="32532"/>
    <cellStyle name="Header2 4 9 2 3 5 2 2" xfId="42531"/>
    <cellStyle name="Header2 4 9 2 3 5 3" xfId="37380"/>
    <cellStyle name="Header2 4 9 2 3 6" xfId="28194"/>
    <cellStyle name="Header2 4 9 2 3 6 2" xfId="38193"/>
    <cellStyle name="Header2 4 9 2 3 7" xfId="22312"/>
    <cellStyle name="Header2 4 9 2 4" xfId="16074"/>
    <cellStyle name="Header2 4 9 2 4 2" xfId="27891"/>
    <cellStyle name="Header2 4 9 2 4 2 2" xfId="37890"/>
    <cellStyle name="Header2 4 9 2 4 3" xfId="23952"/>
    <cellStyle name="Header2 4 9 2 4 4" xfId="33042"/>
    <cellStyle name="Header2 4 9 2 5" xfId="16473"/>
    <cellStyle name="Header2 4 9 2 5 2" xfId="28290"/>
    <cellStyle name="Header2 4 9 2 5 2 2" xfId="38289"/>
    <cellStyle name="Header2 4 9 2 5 3" xfId="24048"/>
    <cellStyle name="Header2 4 9 2 5 4" xfId="33138"/>
    <cellStyle name="Header2 4 9 2 6" xfId="16776"/>
    <cellStyle name="Header2 4 9 2 6 2" xfId="28593"/>
    <cellStyle name="Header2 4 9 2 6 2 2" xfId="38592"/>
    <cellStyle name="Header2 4 9 2 6 3" xfId="24351"/>
    <cellStyle name="Header2 4 9 2 6 4" xfId="33441"/>
    <cellStyle name="Header2 4 9 2 7" xfId="17311"/>
    <cellStyle name="Header2 4 9 2 7 2" xfId="29128"/>
    <cellStyle name="Header2 4 9 2 7 2 2" xfId="39127"/>
    <cellStyle name="Header2 4 9 2 7 3" xfId="24886"/>
    <cellStyle name="Header2 4 9 2 7 4" xfId="33976"/>
    <cellStyle name="Header2 4 9 2 8" xfId="17614"/>
    <cellStyle name="Header2 4 9 2 8 2" xfId="29431"/>
    <cellStyle name="Header2 4 9 2 8 2 2" xfId="39430"/>
    <cellStyle name="Header2 4 9 2 8 3" xfId="25189"/>
    <cellStyle name="Header2 4 9 2 8 4" xfId="34279"/>
    <cellStyle name="Header2 4 9 2 9" xfId="18321"/>
    <cellStyle name="Header2 4 9 2 9 2" xfId="30138"/>
    <cellStyle name="Header2 4 9 2 9 2 2" xfId="40137"/>
    <cellStyle name="Header2 4 9 2 9 3" xfId="25796"/>
    <cellStyle name="Header2 4 9 2 9 4" xfId="34986"/>
    <cellStyle name="Header2 4 9 3" xfId="7990"/>
    <cellStyle name="Header2 4 9 3 10" xfId="18623"/>
    <cellStyle name="Header2 4 9 3 10 2" xfId="30440"/>
    <cellStyle name="Header2 4 9 3 10 2 2" xfId="40439"/>
    <cellStyle name="Header2 4 9 3 10 3" xfId="26098"/>
    <cellStyle name="Header2 4 9 3 10 4" xfId="35288"/>
    <cellStyle name="Header2 4 9 3 11" xfId="20267"/>
    <cellStyle name="Header2 4 9 3 11 2" xfId="32084"/>
    <cellStyle name="Header2 4 9 3 11 2 2" xfId="42083"/>
    <cellStyle name="Header2 4 9 3 11 3" xfId="36932"/>
    <cellStyle name="Header2 4 9 3 12" xfId="23112"/>
    <cellStyle name="Header2 4 9 3 12 2" xfId="22036"/>
    <cellStyle name="Header2 4 9 3 13" xfId="22506"/>
    <cellStyle name="Header2 4 9 3 2" xfId="15797"/>
    <cellStyle name="Header2 4 9 3 2 2" xfId="18996"/>
    <cellStyle name="Header2 4 9 3 2 2 2" xfId="30813"/>
    <cellStyle name="Header2 4 9 3 2 2 2 2" xfId="40812"/>
    <cellStyle name="Header2 4 9 3 2 2 3" xfId="26471"/>
    <cellStyle name="Header2 4 9 3 2 2 4" xfId="35661"/>
    <cellStyle name="Header2 4 9 3 2 3" xfId="19602"/>
    <cellStyle name="Header2 4 9 3 2 3 2" xfId="31419"/>
    <cellStyle name="Header2 4 9 3 2 3 2 2" xfId="41418"/>
    <cellStyle name="Header2 4 9 3 2 3 3" xfId="27077"/>
    <cellStyle name="Header2 4 9 3 2 3 4" xfId="36267"/>
    <cellStyle name="Header2 4 9 3 2 4" xfId="17727"/>
    <cellStyle name="Header2 4 9 3 2 4 2" xfId="29544"/>
    <cellStyle name="Header2 4 9 3 2 4 2 2" xfId="39543"/>
    <cellStyle name="Header2 4 9 3 2 4 3" xfId="25302"/>
    <cellStyle name="Header2 4 9 3 2 4 4" xfId="34392"/>
    <cellStyle name="Header2 4 9 3 2 5" xfId="20411"/>
    <cellStyle name="Header2 4 9 3 2 5 2" xfId="32228"/>
    <cellStyle name="Header2 4 9 3 2 5 2 2" xfId="42227"/>
    <cellStyle name="Header2 4 9 3 2 5 3" xfId="37076"/>
    <cellStyle name="Header2 4 9 3 2 6" xfId="23675"/>
    <cellStyle name="Header2 4 9 3 2 6 2" xfId="21768"/>
    <cellStyle name="Header2 4 9 3 2 7" xfId="22932"/>
    <cellStyle name="Header2 4 9 3 2 7 2" xfId="21340"/>
    <cellStyle name="Header2 4 9 3 2 8" xfId="21722"/>
    <cellStyle name="Header2 4 9 3 3" xfId="16378"/>
    <cellStyle name="Header2 4 9 3 3 2" xfId="19299"/>
    <cellStyle name="Header2 4 9 3 3 2 2" xfId="31116"/>
    <cellStyle name="Header2 4 9 3 3 2 2 2" xfId="41115"/>
    <cellStyle name="Header2 4 9 3 3 2 3" xfId="26774"/>
    <cellStyle name="Header2 4 9 3 3 2 4" xfId="35964"/>
    <cellStyle name="Header2 4 9 3 3 3" xfId="19905"/>
    <cellStyle name="Header2 4 9 3 3 3 2" xfId="31722"/>
    <cellStyle name="Header2 4 9 3 3 3 2 2" xfId="41721"/>
    <cellStyle name="Header2 4 9 3 3 3 3" xfId="27380"/>
    <cellStyle name="Header2 4 9 3 3 3 4" xfId="36570"/>
    <cellStyle name="Header2 4 9 3 3 4" xfId="17919"/>
    <cellStyle name="Header2 4 9 3 3 4 2" xfId="29736"/>
    <cellStyle name="Header2 4 9 3 3 4 2 2" xfId="39735"/>
    <cellStyle name="Header2 4 9 3 3 4 3" xfId="25494"/>
    <cellStyle name="Header2 4 9 3 3 4 4" xfId="34584"/>
    <cellStyle name="Header2 4 9 3 3 5" xfId="20714"/>
    <cellStyle name="Header2 4 9 3 3 5 2" xfId="32531"/>
    <cellStyle name="Header2 4 9 3 3 5 2 2" xfId="42530"/>
    <cellStyle name="Header2 4 9 3 3 5 3" xfId="37379"/>
    <cellStyle name="Header2 4 9 3 3 6" xfId="28195"/>
    <cellStyle name="Header2 4 9 3 3 6 2" xfId="38194"/>
    <cellStyle name="Header2 4 9 3 3 7" xfId="22313"/>
    <cellStyle name="Header2 4 9 3 4" xfId="16075"/>
    <cellStyle name="Header2 4 9 3 4 2" xfId="27892"/>
    <cellStyle name="Header2 4 9 3 4 2 2" xfId="37891"/>
    <cellStyle name="Header2 4 9 3 4 3" xfId="23953"/>
    <cellStyle name="Header2 4 9 3 4 4" xfId="33043"/>
    <cellStyle name="Header2 4 9 3 5" xfId="16472"/>
    <cellStyle name="Header2 4 9 3 5 2" xfId="28289"/>
    <cellStyle name="Header2 4 9 3 5 2 2" xfId="38288"/>
    <cellStyle name="Header2 4 9 3 5 3" xfId="24047"/>
    <cellStyle name="Header2 4 9 3 5 4" xfId="33137"/>
    <cellStyle name="Header2 4 9 3 6" xfId="16775"/>
    <cellStyle name="Header2 4 9 3 6 2" xfId="28592"/>
    <cellStyle name="Header2 4 9 3 6 2 2" xfId="38591"/>
    <cellStyle name="Header2 4 9 3 6 3" xfId="24350"/>
    <cellStyle name="Header2 4 9 3 6 4" xfId="33440"/>
    <cellStyle name="Header2 4 9 3 7" xfId="17312"/>
    <cellStyle name="Header2 4 9 3 7 2" xfId="29129"/>
    <cellStyle name="Header2 4 9 3 7 2 2" xfId="39128"/>
    <cellStyle name="Header2 4 9 3 7 3" xfId="24887"/>
    <cellStyle name="Header2 4 9 3 7 4" xfId="33977"/>
    <cellStyle name="Header2 4 9 3 8" xfId="17615"/>
    <cellStyle name="Header2 4 9 3 8 2" xfId="29432"/>
    <cellStyle name="Header2 4 9 3 8 2 2" xfId="39431"/>
    <cellStyle name="Header2 4 9 3 8 3" xfId="25190"/>
    <cellStyle name="Header2 4 9 3 8 4" xfId="34280"/>
    <cellStyle name="Header2 4 9 3 9" xfId="18320"/>
    <cellStyle name="Header2 4 9 3 9 2" xfId="30137"/>
    <cellStyle name="Header2 4 9 3 9 2 2" xfId="40136"/>
    <cellStyle name="Header2 4 9 3 9 3" xfId="25795"/>
    <cellStyle name="Header2 4 9 3 9 4" xfId="34985"/>
    <cellStyle name="Header2 4 9 4" xfId="7991"/>
    <cellStyle name="Header2 4 9 4 10" xfId="18622"/>
    <cellStyle name="Header2 4 9 4 10 2" xfId="30439"/>
    <cellStyle name="Header2 4 9 4 10 2 2" xfId="40438"/>
    <cellStyle name="Header2 4 9 4 10 3" xfId="26097"/>
    <cellStyle name="Header2 4 9 4 10 4" xfId="35287"/>
    <cellStyle name="Header2 4 9 4 11" xfId="20169"/>
    <cellStyle name="Header2 4 9 4 11 2" xfId="31986"/>
    <cellStyle name="Header2 4 9 4 11 2 2" xfId="41985"/>
    <cellStyle name="Header2 4 9 4 11 3" xfId="36834"/>
    <cellStyle name="Header2 4 9 4 12" xfId="23111"/>
    <cellStyle name="Header2 4 9 4 12 2" xfId="22037"/>
    <cellStyle name="Header2 4 9 4 13" xfId="22505"/>
    <cellStyle name="Header2 4 9 4 2" xfId="15798"/>
    <cellStyle name="Header2 4 9 4 2 2" xfId="18995"/>
    <cellStyle name="Header2 4 9 4 2 2 2" xfId="30812"/>
    <cellStyle name="Header2 4 9 4 2 2 2 2" xfId="40811"/>
    <cellStyle name="Header2 4 9 4 2 2 3" xfId="26470"/>
    <cellStyle name="Header2 4 9 4 2 2 4" xfId="35660"/>
    <cellStyle name="Header2 4 9 4 2 3" xfId="19601"/>
    <cellStyle name="Header2 4 9 4 2 3 2" xfId="31418"/>
    <cellStyle name="Header2 4 9 4 2 3 2 2" xfId="41417"/>
    <cellStyle name="Header2 4 9 4 2 3 3" xfId="27076"/>
    <cellStyle name="Header2 4 9 4 2 3 4" xfId="36266"/>
    <cellStyle name="Header2 4 9 4 2 4" xfId="18186"/>
    <cellStyle name="Header2 4 9 4 2 4 2" xfId="30003"/>
    <cellStyle name="Header2 4 9 4 2 4 2 2" xfId="40002"/>
    <cellStyle name="Header2 4 9 4 2 4 3" xfId="25761"/>
    <cellStyle name="Header2 4 9 4 2 4 4" xfId="34851"/>
    <cellStyle name="Header2 4 9 4 2 5" xfId="20410"/>
    <cellStyle name="Header2 4 9 4 2 5 2" xfId="32227"/>
    <cellStyle name="Header2 4 9 4 2 5 2 2" xfId="42226"/>
    <cellStyle name="Header2 4 9 4 2 5 3" xfId="37075"/>
    <cellStyle name="Header2 4 9 4 2 6" xfId="23676"/>
    <cellStyle name="Header2 4 9 4 2 6 2" xfId="21767"/>
    <cellStyle name="Header2 4 9 4 2 7" xfId="22931"/>
    <cellStyle name="Header2 4 9 4 2 7 2" xfId="21341"/>
    <cellStyle name="Header2 4 9 4 2 8" xfId="21723"/>
    <cellStyle name="Header2 4 9 4 3" xfId="16379"/>
    <cellStyle name="Header2 4 9 4 3 2" xfId="19298"/>
    <cellStyle name="Header2 4 9 4 3 2 2" xfId="31115"/>
    <cellStyle name="Header2 4 9 4 3 2 2 2" xfId="41114"/>
    <cellStyle name="Header2 4 9 4 3 2 3" xfId="26773"/>
    <cellStyle name="Header2 4 9 4 3 2 4" xfId="35963"/>
    <cellStyle name="Header2 4 9 4 3 3" xfId="19904"/>
    <cellStyle name="Header2 4 9 4 3 3 2" xfId="31721"/>
    <cellStyle name="Header2 4 9 4 3 3 2 2" xfId="41720"/>
    <cellStyle name="Header2 4 9 4 3 3 3" xfId="27379"/>
    <cellStyle name="Header2 4 9 4 3 3 4" xfId="36569"/>
    <cellStyle name="Header2 4 9 4 3 4" xfId="17666"/>
    <cellStyle name="Header2 4 9 4 3 4 2" xfId="29483"/>
    <cellStyle name="Header2 4 9 4 3 4 2 2" xfId="39482"/>
    <cellStyle name="Header2 4 9 4 3 4 3" xfId="25241"/>
    <cellStyle name="Header2 4 9 4 3 4 4" xfId="34331"/>
    <cellStyle name="Header2 4 9 4 3 5" xfId="20713"/>
    <cellStyle name="Header2 4 9 4 3 5 2" xfId="32530"/>
    <cellStyle name="Header2 4 9 4 3 5 2 2" xfId="42529"/>
    <cellStyle name="Header2 4 9 4 3 5 3" xfId="37378"/>
    <cellStyle name="Header2 4 9 4 3 6" xfId="28196"/>
    <cellStyle name="Header2 4 9 4 3 6 2" xfId="38195"/>
    <cellStyle name="Header2 4 9 4 3 7" xfId="22314"/>
    <cellStyle name="Header2 4 9 4 4" xfId="16076"/>
    <cellStyle name="Header2 4 9 4 4 2" xfId="27893"/>
    <cellStyle name="Header2 4 9 4 4 2 2" xfId="37892"/>
    <cellStyle name="Header2 4 9 4 4 3" xfId="23954"/>
    <cellStyle name="Header2 4 9 4 4 4" xfId="33044"/>
    <cellStyle name="Header2 4 9 4 5" xfId="16471"/>
    <cellStyle name="Header2 4 9 4 5 2" xfId="28288"/>
    <cellStyle name="Header2 4 9 4 5 2 2" xfId="38287"/>
    <cellStyle name="Header2 4 9 4 5 3" xfId="24046"/>
    <cellStyle name="Header2 4 9 4 5 4" xfId="33136"/>
    <cellStyle name="Header2 4 9 4 6" xfId="16774"/>
    <cellStyle name="Header2 4 9 4 6 2" xfId="28591"/>
    <cellStyle name="Header2 4 9 4 6 2 2" xfId="38590"/>
    <cellStyle name="Header2 4 9 4 6 3" xfId="24349"/>
    <cellStyle name="Header2 4 9 4 6 4" xfId="33439"/>
    <cellStyle name="Header2 4 9 4 7" xfId="17313"/>
    <cellStyle name="Header2 4 9 4 7 2" xfId="29130"/>
    <cellStyle name="Header2 4 9 4 7 2 2" xfId="39129"/>
    <cellStyle name="Header2 4 9 4 7 3" xfId="24888"/>
    <cellStyle name="Header2 4 9 4 7 4" xfId="33978"/>
    <cellStyle name="Header2 4 9 4 8" xfId="17616"/>
    <cellStyle name="Header2 4 9 4 8 2" xfId="29433"/>
    <cellStyle name="Header2 4 9 4 8 2 2" xfId="39432"/>
    <cellStyle name="Header2 4 9 4 8 3" xfId="25191"/>
    <cellStyle name="Header2 4 9 4 8 4" xfId="34281"/>
    <cellStyle name="Header2 4 9 4 9" xfId="18319"/>
    <cellStyle name="Header2 4 9 4 9 2" xfId="30136"/>
    <cellStyle name="Header2 4 9 4 9 2 2" xfId="40135"/>
    <cellStyle name="Header2 4 9 4 9 3" xfId="25794"/>
    <cellStyle name="Header2 4 9 4 9 4" xfId="34984"/>
    <cellStyle name="Header2 4 9 5" xfId="15795"/>
    <cellStyle name="Header2 4 9 5 2" xfId="18998"/>
    <cellStyle name="Header2 4 9 5 2 2" xfId="30815"/>
    <cellStyle name="Header2 4 9 5 2 2 2" xfId="40814"/>
    <cellStyle name="Header2 4 9 5 2 3" xfId="26473"/>
    <cellStyle name="Header2 4 9 5 2 4" xfId="35663"/>
    <cellStyle name="Header2 4 9 5 3" xfId="19604"/>
    <cellStyle name="Header2 4 9 5 3 2" xfId="31421"/>
    <cellStyle name="Header2 4 9 5 3 2 2" xfId="41420"/>
    <cellStyle name="Header2 4 9 5 3 3" xfId="27079"/>
    <cellStyle name="Header2 4 9 5 3 4" xfId="36269"/>
    <cellStyle name="Header2 4 9 5 4" xfId="18185"/>
    <cellStyle name="Header2 4 9 5 4 2" xfId="30002"/>
    <cellStyle name="Header2 4 9 5 4 2 2" xfId="40001"/>
    <cellStyle name="Header2 4 9 5 4 3" xfId="25760"/>
    <cellStyle name="Header2 4 9 5 4 4" xfId="34850"/>
    <cellStyle name="Header2 4 9 5 5" xfId="20413"/>
    <cellStyle name="Header2 4 9 5 5 2" xfId="32230"/>
    <cellStyle name="Header2 4 9 5 5 2 2" xfId="42229"/>
    <cellStyle name="Header2 4 9 5 5 3" xfId="37078"/>
    <cellStyle name="Header2 4 9 5 6" xfId="23673"/>
    <cellStyle name="Header2 4 9 5 6 2" xfId="21770"/>
    <cellStyle name="Header2 4 9 5 7" xfId="22934"/>
    <cellStyle name="Header2 4 9 5 7 2" xfId="22148"/>
    <cellStyle name="Header2 4 9 5 8" xfId="21720"/>
    <cellStyle name="Header2 4 9 6" xfId="16376"/>
    <cellStyle name="Header2 4 9 6 2" xfId="19301"/>
    <cellStyle name="Header2 4 9 6 2 2" xfId="31118"/>
    <cellStyle name="Header2 4 9 6 2 2 2" xfId="41117"/>
    <cellStyle name="Header2 4 9 6 2 3" xfId="26776"/>
    <cellStyle name="Header2 4 9 6 2 4" xfId="35966"/>
    <cellStyle name="Header2 4 9 6 3" xfId="19907"/>
    <cellStyle name="Header2 4 9 6 3 2" xfId="31724"/>
    <cellStyle name="Header2 4 9 6 3 2 2" xfId="41723"/>
    <cellStyle name="Header2 4 9 6 3 3" xfId="27382"/>
    <cellStyle name="Header2 4 9 6 3 4" xfId="36572"/>
    <cellStyle name="Header2 4 9 6 4" xfId="17665"/>
    <cellStyle name="Header2 4 9 6 4 2" xfId="29482"/>
    <cellStyle name="Header2 4 9 6 4 2 2" xfId="39481"/>
    <cellStyle name="Header2 4 9 6 4 3" xfId="25240"/>
    <cellStyle name="Header2 4 9 6 4 4" xfId="34330"/>
    <cellStyle name="Header2 4 9 6 5" xfId="20716"/>
    <cellStyle name="Header2 4 9 6 5 2" xfId="32533"/>
    <cellStyle name="Header2 4 9 6 5 2 2" xfId="42532"/>
    <cellStyle name="Header2 4 9 6 5 3" xfId="37381"/>
    <cellStyle name="Header2 4 9 6 6" xfId="28193"/>
    <cellStyle name="Header2 4 9 6 6 2" xfId="38192"/>
    <cellStyle name="Header2 4 9 6 7" xfId="22311"/>
    <cellStyle name="Header2 4 9 7" xfId="16073"/>
    <cellStyle name="Header2 4 9 7 2" xfId="27890"/>
    <cellStyle name="Header2 4 9 7 2 2" xfId="37889"/>
    <cellStyle name="Header2 4 9 7 3" xfId="23951"/>
    <cellStyle name="Header2 4 9 7 4" xfId="33041"/>
    <cellStyle name="Header2 4 9 8" xfId="16474"/>
    <cellStyle name="Header2 4 9 8 2" xfId="28291"/>
    <cellStyle name="Header2 4 9 8 2 2" xfId="38290"/>
    <cellStyle name="Header2 4 9 8 3" xfId="24049"/>
    <cellStyle name="Header2 4 9 8 4" xfId="33139"/>
    <cellStyle name="Header2 4 9 9" xfId="16777"/>
    <cellStyle name="Header2 4 9 9 2" xfId="28594"/>
    <cellStyle name="Header2 4 9 9 2 2" xfId="38593"/>
    <cellStyle name="Header2 4 9 9 3" xfId="24352"/>
    <cellStyle name="Header2 4 9 9 4" xfId="33442"/>
    <cellStyle name="Header2 5" xfId="7992"/>
    <cellStyle name="Header2 5 10" xfId="16773"/>
    <cellStyle name="Header2 5 10 2" xfId="28590"/>
    <cellStyle name="Header2 5 10 2 2" xfId="38589"/>
    <cellStyle name="Header2 5 10 3" xfId="24348"/>
    <cellStyle name="Header2 5 10 4" xfId="33438"/>
    <cellStyle name="Header2 5 11" xfId="17314"/>
    <cellStyle name="Header2 5 11 2" xfId="29131"/>
    <cellStyle name="Header2 5 11 2 2" xfId="39130"/>
    <cellStyle name="Header2 5 11 3" xfId="24889"/>
    <cellStyle name="Header2 5 11 4" xfId="33979"/>
    <cellStyle name="Header2 5 12" xfId="17617"/>
    <cellStyle name="Header2 5 12 2" xfId="29434"/>
    <cellStyle name="Header2 5 12 2 2" xfId="39433"/>
    <cellStyle name="Header2 5 12 3" xfId="25192"/>
    <cellStyle name="Header2 5 12 4" xfId="34282"/>
    <cellStyle name="Header2 5 13" xfId="18318"/>
    <cellStyle name="Header2 5 13 2" xfId="30135"/>
    <cellStyle name="Header2 5 13 2 2" xfId="40134"/>
    <cellStyle name="Header2 5 13 3" xfId="25793"/>
    <cellStyle name="Header2 5 13 4" xfId="34983"/>
    <cellStyle name="Header2 5 14" xfId="18621"/>
    <cellStyle name="Header2 5 14 2" xfId="30438"/>
    <cellStyle name="Header2 5 14 2 2" xfId="40437"/>
    <cellStyle name="Header2 5 14 3" xfId="26096"/>
    <cellStyle name="Header2 5 14 4" xfId="35286"/>
    <cellStyle name="Header2 5 15" xfId="20270"/>
    <cellStyle name="Header2 5 15 2" xfId="32087"/>
    <cellStyle name="Header2 5 15 2 2" xfId="42086"/>
    <cellStyle name="Header2 5 15 3" xfId="36935"/>
    <cellStyle name="Header2 5 16" xfId="23110"/>
    <cellStyle name="Header2 5 16 2" xfId="22038"/>
    <cellStyle name="Header2 5 17" xfId="22504"/>
    <cellStyle name="Header2 5 2" xfId="7993"/>
    <cellStyle name="Header2 5 2 10" xfId="17315"/>
    <cellStyle name="Header2 5 2 10 2" xfId="29132"/>
    <cellStyle name="Header2 5 2 10 2 2" xfId="39131"/>
    <cellStyle name="Header2 5 2 10 3" xfId="24890"/>
    <cellStyle name="Header2 5 2 10 4" xfId="33980"/>
    <cellStyle name="Header2 5 2 11" xfId="17618"/>
    <cellStyle name="Header2 5 2 11 2" xfId="29435"/>
    <cellStyle name="Header2 5 2 11 2 2" xfId="39434"/>
    <cellStyle name="Header2 5 2 11 3" xfId="25193"/>
    <cellStyle name="Header2 5 2 11 4" xfId="34283"/>
    <cellStyle name="Header2 5 2 12" xfId="18317"/>
    <cellStyle name="Header2 5 2 12 2" xfId="30134"/>
    <cellStyle name="Header2 5 2 12 2 2" xfId="40133"/>
    <cellStyle name="Header2 5 2 12 3" xfId="25792"/>
    <cellStyle name="Header2 5 2 12 4" xfId="34982"/>
    <cellStyle name="Header2 5 2 13" xfId="18620"/>
    <cellStyle name="Header2 5 2 13 2" xfId="30437"/>
    <cellStyle name="Header2 5 2 13 2 2" xfId="40436"/>
    <cellStyle name="Header2 5 2 13 3" xfId="26095"/>
    <cellStyle name="Header2 5 2 13 4" xfId="35285"/>
    <cellStyle name="Header2 5 2 14" xfId="18294"/>
    <cellStyle name="Header2 5 2 14 2" xfId="30111"/>
    <cellStyle name="Header2 5 2 14 2 2" xfId="40110"/>
    <cellStyle name="Header2 5 2 14 3" xfId="34959"/>
    <cellStyle name="Header2 5 2 15" xfId="23109"/>
    <cellStyle name="Header2 5 2 15 2" xfId="21273"/>
    <cellStyle name="Header2 5 2 16" xfId="22503"/>
    <cellStyle name="Header2 5 2 2" xfId="7994"/>
    <cellStyle name="Header2 5 2 2 10" xfId="17316"/>
    <cellStyle name="Header2 5 2 2 10 2" xfId="29133"/>
    <cellStyle name="Header2 5 2 2 10 2 2" xfId="39132"/>
    <cellStyle name="Header2 5 2 2 10 3" xfId="24891"/>
    <cellStyle name="Header2 5 2 2 10 4" xfId="33981"/>
    <cellStyle name="Header2 5 2 2 11" xfId="17619"/>
    <cellStyle name="Header2 5 2 2 11 2" xfId="29436"/>
    <cellStyle name="Header2 5 2 2 11 2 2" xfId="39435"/>
    <cellStyle name="Header2 5 2 2 11 3" xfId="25194"/>
    <cellStyle name="Header2 5 2 2 11 4" xfId="34284"/>
    <cellStyle name="Header2 5 2 2 12" xfId="18316"/>
    <cellStyle name="Header2 5 2 2 12 2" xfId="30133"/>
    <cellStyle name="Header2 5 2 2 12 2 2" xfId="40132"/>
    <cellStyle name="Header2 5 2 2 12 3" xfId="25791"/>
    <cellStyle name="Header2 5 2 2 12 4" xfId="34981"/>
    <cellStyle name="Header2 5 2 2 13" xfId="18619"/>
    <cellStyle name="Header2 5 2 2 13 2" xfId="30436"/>
    <cellStyle name="Header2 5 2 2 13 2 2" xfId="40435"/>
    <cellStyle name="Header2 5 2 2 13 3" xfId="26094"/>
    <cellStyle name="Header2 5 2 2 13 4" xfId="35284"/>
    <cellStyle name="Header2 5 2 2 14" xfId="18295"/>
    <cellStyle name="Header2 5 2 2 14 2" xfId="30112"/>
    <cellStyle name="Header2 5 2 2 14 2 2" xfId="40111"/>
    <cellStyle name="Header2 5 2 2 14 3" xfId="34960"/>
    <cellStyle name="Header2 5 2 2 15" xfId="23108"/>
    <cellStyle name="Header2 5 2 2 15 2" xfId="21274"/>
    <cellStyle name="Header2 5 2 2 16" xfId="22502"/>
    <cellStyle name="Header2 5 2 2 2" xfId="7995"/>
    <cellStyle name="Header2 5 2 2 2 10" xfId="18618"/>
    <cellStyle name="Header2 5 2 2 2 10 2" xfId="30435"/>
    <cellStyle name="Header2 5 2 2 2 10 2 2" xfId="40434"/>
    <cellStyle name="Header2 5 2 2 2 10 3" xfId="26093"/>
    <cellStyle name="Header2 5 2 2 2 10 4" xfId="35283"/>
    <cellStyle name="Header2 5 2 2 2 11" xfId="20164"/>
    <cellStyle name="Header2 5 2 2 2 11 2" xfId="31981"/>
    <cellStyle name="Header2 5 2 2 2 11 2 2" xfId="41980"/>
    <cellStyle name="Header2 5 2 2 2 11 3" xfId="36829"/>
    <cellStyle name="Header2 5 2 2 2 12" xfId="23107"/>
    <cellStyle name="Header2 5 2 2 2 12 2" xfId="22039"/>
    <cellStyle name="Header2 5 2 2 2 13" xfId="22501"/>
    <cellStyle name="Header2 5 2 2 2 2" xfId="15802"/>
    <cellStyle name="Header2 5 2 2 2 2 2" xfId="18991"/>
    <cellStyle name="Header2 5 2 2 2 2 2 2" xfId="30808"/>
    <cellStyle name="Header2 5 2 2 2 2 2 2 2" xfId="40807"/>
    <cellStyle name="Header2 5 2 2 2 2 2 3" xfId="26466"/>
    <cellStyle name="Header2 5 2 2 2 2 2 4" xfId="35656"/>
    <cellStyle name="Header2 5 2 2 2 2 3" xfId="19597"/>
    <cellStyle name="Header2 5 2 2 2 2 3 2" xfId="31414"/>
    <cellStyle name="Header2 5 2 2 2 2 3 2 2" xfId="41413"/>
    <cellStyle name="Header2 5 2 2 2 2 3 3" xfId="27072"/>
    <cellStyle name="Header2 5 2 2 2 2 3 4" xfId="36262"/>
    <cellStyle name="Header2 5 2 2 2 2 4" xfId="18190"/>
    <cellStyle name="Header2 5 2 2 2 2 4 2" xfId="30007"/>
    <cellStyle name="Header2 5 2 2 2 2 4 2 2" xfId="40006"/>
    <cellStyle name="Header2 5 2 2 2 2 4 3" xfId="25765"/>
    <cellStyle name="Header2 5 2 2 2 2 4 4" xfId="34855"/>
    <cellStyle name="Header2 5 2 2 2 2 5" xfId="20406"/>
    <cellStyle name="Header2 5 2 2 2 2 5 2" xfId="32223"/>
    <cellStyle name="Header2 5 2 2 2 2 5 2 2" xfId="42222"/>
    <cellStyle name="Header2 5 2 2 2 2 5 3" xfId="37071"/>
    <cellStyle name="Header2 5 2 2 2 2 6" xfId="23680"/>
    <cellStyle name="Header2 5 2 2 2 2 6 2" xfId="20988"/>
    <cellStyle name="Header2 5 2 2 2 2 7" xfId="22795"/>
    <cellStyle name="Header2 5 2 2 2 2 7 2" xfId="21421"/>
    <cellStyle name="Header2 5 2 2 2 2 8" xfId="21726"/>
    <cellStyle name="Header2 5 2 2 2 3" xfId="16383"/>
    <cellStyle name="Header2 5 2 2 2 3 2" xfId="19294"/>
    <cellStyle name="Header2 5 2 2 2 3 2 2" xfId="31111"/>
    <cellStyle name="Header2 5 2 2 2 3 2 2 2" xfId="41110"/>
    <cellStyle name="Header2 5 2 2 2 3 2 3" xfId="26769"/>
    <cellStyle name="Header2 5 2 2 2 3 2 4" xfId="35959"/>
    <cellStyle name="Header2 5 2 2 2 3 3" xfId="19900"/>
    <cellStyle name="Header2 5 2 2 2 3 3 2" xfId="31717"/>
    <cellStyle name="Header2 5 2 2 2 3 3 2 2" xfId="41716"/>
    <cellStyle name="Header2 5 2 2 2 3 3 3" xfId="27375"/>
    <cellStyle name="Header2 5 2 2 2 3 3 4" xfId="36565"/>
    <cellStyle name="Header2 5 2 2 2 3 4" xfId="17921"/>
    <cellStyle name="Header2 5 2 2 2 3 4 2" xfId="29738"/>
    <cellStyle name="Header2 5 2 2 2 3 4 2 2" xfId="39737"/>
    <cellStyle name="Header2 5 2 2 2 3 4 3" xfId="25496"/>
    <cellStyle name="Header2 5 2 2 2 3 4 4" xfId="34586"/>
    <cellStyle name="Header2 5 2 2 2 3 5" xfId="20709"/>
    <cellStyle name="Header2 5 2 2 2 3 5 2" xfId="32526"/>
    <cellStyle name="Header2 5 2 2 2 3 5 2 2" xfId="42525"/>
    <cellStyle name="Header2 5 2 2 2 3 5 3" xfId="37374"/>
    <cellStyle name="Header2 5 2 2 2 3 6" xfId="28200"/>
    <cellStyle name="Header2 5 2 2 2 3 6 2" xfId="38199"/>
    <cellStyle name="Header2 5 2 2 2 3 7" xfId="22316"/>
    <cellStyle name="Header2 5 2 2 2 4" xfId="16080"/>
    <cellStyle name="Header2 5 2 2 2 4 2" xfId="27897"/>
    <cellStyle name="Header2 5 2 2 2 4 2 2" xfId="37896"/>
    <cellStyle name="Header2 5 2 2 2 4 3" xfId="23958"/>
    <cellStyle name="Header2 5 2 2 2 4 4" xfId="33048"/>
    <cellStyle name="Header2 5 2 2 2 5" xfId="16467"/>
    <cellStyle name="Header2 5 2 2 2 5 2" xfId="28284"/>
    <cellStyle name="Header2 5 2 2 2 5 2 2" xfId="38283"/>
    <cellStyle name="Header2 5 2 2 2 5 3" xfId="24042"/>
    <cellStyle name="Header2 5 2 2 2 5 4" xfId="33132"/>
    <cellStyle name="Header2 5 2 2 2 6" xfId="16770"/>
    <cellStyle name="Header2 5 2 2 2 6 2" xfId="28587"/>
    <cellStyle name="Header2 5 2 2 2 6 2 2" xfId="38586"/>
    <cellStyle name="Header2 5 2 2 2 6 3" xfId="24345"/>
    <cellStyle name="Header2 5 2 2 2 6 4" xfId="33435"/>
    <cellStyle name="Header2 5 2 2 2 7" xfId="17317"/>
    <cellStyle name="Header2 5 2 2 2 7 2" xfId="29134"/>
    <cellStyle name="Header2 5 2 2 2 7 2 2" xfId="39133"/>
    <cellStyle name="Header2 5 2 2 2 7 3" xfId="24892"/>
    <cellStyle name="Header2 5 2 2 2 7 4" xfId="33982"/>
    <cellStyle name="Header2 5 2 2 2 8" xfId="17620"/>
    <cellStyle name="Header2 5 2 2 2 8 2" xfId="29437"/>
    <cellStyle name="Header2 5 2 2 2 8 2 2" xfId="39436"/>
    <cellStyle name="Header2 5 2 2 2 8 3" xfId="25195"/>
    <cellStyle name="Header2 5 2 2 2 8 4" xfId="34285"/>
    <cellStyle name="Header2 5 2 2 2 9" xfId="18315"/>
    <cellStyle name="Header2 5 2 2 2 9 2" xfId="30132"/>
    <cellStyle name="Header2 5 2 2 2 9 2 2" xfId="40131"/>
    <cellStyle name="Header2 5 2 2 2 9 3" xfId="25790"/>
    <cellStyle name="Header2 5 2 2 2 9 4" xfId="34980"/>
    <cellStyle name="Header2 5 2 2 3" xfId="7996"/>
    <cellStyle name="Header2 5 2 2 3 10" xfId="18617"/>
    <cellStyle name="Header2 5 2 2 3 10 2" xfId="30434"/>
    <cellStyle name="Header2 5 2 2 3 10 2 2" xfId="40433"/>
    <cellStyle name="Header2 5 2 2 3 10 3" xfId="26092"/>
    <cellStyle name="Header2 5 2 2 3 10 4" xfId="35282"/>
    <cellStyle name="Header2 5 2 2 3 11" xfId="20265"/>
    <cellStyle name="Header2 5 2 2 3 11 2" xfId="32082"/>
    <cellStyle name="Header2 5 2 2 3 11 2 2" xfId="42081"/>
    <cellStyle name="Header2 5 2 2 3 11 3" xfId="36930"/>
    <cellStyle name="Header2 5 2 2 3 12" xfId="23106"/>
    <cellStyle name="Header2 5 2 2 3 12 2" xfId="21275"/>
    <cellStyle name="Header2 5 2 2 3 13" xfId="22500"/>
    <cellStyle name="Header2 5 2 2 3 2" xfId="15803"/>
    <cellStyle name="Header2 5 2 2 3 2 2" xfId="18990"/>
    <cellStyle name="Header2 5 2 2 3 2 2 2" xfId="30807"/>
    <cellStyle name="Header2 5 2 2 3 2 2 2 2" xfId="40806"/>
    <cellStyle name="Header2 5 2 2 3 2 2 3" xfId="26465"/>
    <cellStyle name="Header2 5 2 2 3 2 2 4" xfId="35655"/>
    <cellStyle name="Header2 5 2 2 3 2 3" xfId="19596"/>
    <cellStyle name="Header2 5 2 2 3 2 3 2" xfId="31413"/>
    <cellStyle name="Header2 5 2 2 3 2 3 2 2" xfId="41412"/>
    <cellStyle name="Header2 5 2 2 3 2 3 3" xfId="27071"/>
    <cellStyle name="Header2 5 2 2 3 2 3 4" xfId="36261"/>
    <cellStyle name="Header2 5 2 2 3 2 4" xfId="17728"/>
    <cellStyle name="Header2 5 2 2 3 2 4 2" xfId="29545"/>
    <cellStyle name="Header2 5 2 2 3 2 4 2 2" xfId="39544"/>
    <cellStyle name="Header2 5 2 2 3 2 4 3" xfId="25303"/>
    <cellStyle name="Header2 5 2 2 3 2 4 4" xfId="34393"/>
    <cellStyle name="Header2 5 2 2 3 2 5" xfId="20405"/>
    <cellStyle name="Header2 5 2 2 3 2 5 2" xfId="32222"/>
    <cellStyle name="Header2 5 2 2 3 2 5 2 2" xfId="42221"/>
    <cellStyle name="Header2 5 2 2 3 2 5 3" xfId="37070"/>
    <cellStyle name="Header2 5 2 2 3 2 6" xfId="23681"/>
    <cellStyle name="Header2 5 2 2 3 2 6 2" xfId="21764"/>
    <cellStyle name="Header2 5 2 2 3 2 7" xfId="22928"/>
    <cellStyle name="Header2 5 2 2 3 2 7 2" xfId="22150"/>
    <cellStyle name="Header2 5 2 2 3 2 8" xfId="22470"/>
    <cellStyle name="Header2 5 2 2 3 3" xfId="16384"/>
    <cellStyle name="Header2 5 2 2 3 3 2" xfId="19293"/>
    <cellStyle name="Header2 5 2 2 3 3 2 2" xfId="31110"/>
    <cellStyle name="Header2 5 2 2 3 3 2 2 2" xfId="41109"/>
    <cellStyle name="Header2 5 2 2 3 3 2 3" xfId="26768"/>
    <cellStyle name="Header2 5 2 2 3 3 2 4" xfId="35958"/>
    <cellStyle name="Header2 5 2 2 3 3 3" xfId="19899"/>
    <cellStyle name="Header2 5 2 2 3 3 3 2" xfId="31716"/>
    <cellStyle name="Header2 5 2 2 3 3 3 2 2" xfId="41715"/>
    <cellStyle name="Header2 5 2 2 3 3 3 3" xfId="27374"/>
    <cellStyle name="Header2 5 2 2 3 3 3 4" xfId="36564"/>
    <cellStyle name="Header2 5 2 2 3 3 4" xfId="17922"/>
    <cellStyle name="Header2 5 2 2 3 3 4 2" xfId="29739"/>
    <cellStyle name="Header2 5 2 2 3 3 4 2 2" xfId="39738"/>
    <cellStyle name="Header2 5 2 2 3 3 4 3" xfId="25497"/>
    <cellStyle name="Header2 5 2 2 3 3 4 4" xfId="34587"/>
    <cellStyle name="Header2 5 2 2 3 3 5" xfId="20708"/>
    <cellStyle name="Header2 5 2 2 3 3 5 2" xfId="32525"/>
    <cellStyle name="Header2 5 2 2 3 3 5 2 2" xfId="42524"/>
    <cellStyle name="Header2 5 2 2 3 3 5 3" xfId="37373"/>
    <cellStyle name="Header2 5 2 2 3 3 6" xfId="28201"/>
    <cellStyle name="Header2 5 2 2 3 3 6 2" xfId="38200"/>
    <cellStyle name="Header2 5 2 2 3 3 7" xfId="21577"/>
    <cellStyle name="Header2 5 2 2 3 4" xfId="16081"/>
    <cellStyle name="Header2 5 2 2 3 4 2" xfId="27898"/>
    <cellStyle name="Header2 5 2 2 3 4 2 2" xfId="37897"/>
    <cellStyle name="Header2 5 2 2 3 4 3" xfId="23959"/>
    <cellStyle name="Header2 5 2 2 3 4 4" xfId="33049"/>
    <cellStyle name="Header2 5 2 2 3 5" xfId="16466"/>
    <cellStyle name="Header2 5 2 2 3 5 2" xfId="28283"/>
    <cellStyle name="Header2 5 2 2 3 5 2 2" xfId="38282"/>
    <cellStyle name="Header2 5 2 2 3 5 3" xfId="24041"/>
    <cellStyle name="Header2 5 2 2 3 5 4" xfId="33131"/>
    <cellStyle name="Header2 5 2 2 3 6" xfId="16769"/>
    <cellStyle name="Header2 5 2 2 3 6 2" xfId="28586"/>
    <cellStyle name="Header2 5 2 2 3 6 2 2" xfId="38585"/>
    <cellStyle name="Header2 5 2 2 3 6 3" xfId="24344"/>
    <cellStyle name="Header2 5 2 2 3 6 4" xfId="33434"/>
    <cellStyle name="Header2 5 2 2 3 7" xfId="17318"/>
    <cellStyle name="Header2 5 2 2 3 7 2" xfId="29135"/>
    <cellStyle name="Header2 5 2 2 3 7 2 2" xfId="39134"/>
    <cellStyle name="Header2 5 2 2 3 7 3" xfId="24893"/>
    <cellStyle name="Header2 5 2 2 3 7 4" xfId="33983"/>
    <cellStyle name="Header2 5 2 2 3 8" xfId="17621"/>
    <cellStyle name="Header2 5 2 2 3 8 2" xfId="29438"/>
    <cellStyle name="Header2 5 2 2 3 8 2 2" xfId="39437"/>
    <cellStyle name="Header2 5 2 2 3 8 3" xfId="25196"/>
    <cellStyle name="Header2 5 2 2 3 8 4" xfId="34286"/>
    <cellStyle name="Header2 5 2 2 3 9" xfId="18314"/>
    <cellStyle name="Header2 5 2 2 3 9 2" xfId="30131"/>
    <cellStyle name="Header2 5 2 2 3 9 2 2" xfId="40130"/>
    <cellStyle name="Header2 5 2 2 3 9 3" xfId="25789"/>
    <cellStyle name="Header2 5 2 2 3 9 4" xfId="34979"/>
    <cellStyle name="Header2 5 2 2 4" xfId="7997"/>
    <cellStyle name="Header2 5 2 2 4 10" xfId="18616"/>
    <cellStyle name="Header2 5 2 2 4 10 2" xfId="30433"/>
    <cellStyle name="Header2 5 2 2 4 10 2 2" xfId="40432"/>
    <cellStyle name="Header2 5 2 2 4 10 3" xfId="26091"/>
    <cellStyle name="Header2 5 2 2 4 10 4" xfId="35281"/>
    <cellStyle name="Header2 5 2 2 4 11" xfId="18296"/>
    <cellStyle name="Header2 5 2 2 4 11 2" xfId="30113"/>
    <cellStyle name="Header2 5 2 2 4 11 2 2" xfId="40112"/>
    <cellStyle name="Header2 5 2 2 4 11 3" xfId="34961"/>
    <cellStyle name="Header2 5 2 2 4 12" xfId="23105"/>
    <cellStyle name="Header2 5 2 2 4 12 2" xfId="22040"/>
    <cellStyle name="Header2 5 2 2 4 13" xfId="22499"/>
    <cellStyle name="Header2 5 2 2 4 2" xfId="15804"/>
    <cellStyle name="Header2 5 2 2 4 2 2" xfId="18989"/>
    <cellStyle name="Header2 5 2 2 4 2 2 2" xfId="30806"/>
    <cellStyle name="Header2 5 2 2 4 2 2 2 2" xfId="40805"/>
    <cellStyle name="Header2 5 2 2 4 2 2 3" xfId="26464"/>
    <cellStyle name="Header2 5 2 2 4 2 2 4" xfId="35654"/>
    <cellStyle name="Header2 5 2 2 4 2 3" xfId="19595"/>
    <cellStyle name="Header2 5 2 2 4 2 3 2" xfId="31412"/>
    <cellStyle name="Header2 5 2 2 4 2 3 2 2" xfId="41411"/>
    <cellStyle name="Header2 5 2 2 4 2 3 3" xfId="27070"/>
    <cellStyle name="Header2 5 2 2 4 2 3 4" xfId="36260"/>
    <cellStyle name="Header2 5 2 2 4 2 4" xfId="18026"/>
    <cellStyle name="Header2 5 2 2 4 2 4 2" xfId="29843"/>
    <cellStyle name="Header2 5 2 2 4 2 4 2 2" xfId="39842"/>
    <cellStyle name="Header2 5 2 2 4 2 4 3" xfId="25601"/>
    <cellStyle name="Header2 5 2 2 4 2 4 4" xfId="34691"/>
    <cellStyle name="Header2 5 2 2 4 2 5" xfId="20404"/>
    <cellStyle name="Header2 5 2 2 4 2 5 2" xfId="32221"/>
    <cellStyle name="Header2 5 2 2 4 2 5 2 2" xfId="42220"/>
    <cellStyle name="Header2 5 2 2 4 2 5 3" xfId="37069"/>
    <cellStyle name="Header2 5 2 2 4 2 6" xfId="23682"/>
    <cellStyle name="Header2 5 2 2 4 2 6 2" xfId="20981"/>
    <cellStyle name="Header2 5 2 2 4 2 7" xfId="22794"/>
    <cellStyle name="Header2 5 2 2 4 2 7 2" xfId="22205"/>
    <cellStyle name="Header2 5 2 2 4 2 8" xfId="21727"/>
    <cellStyle name="Header2 5 2 2 4 3" xfId="16385"/>
    <cellStyle name="Header2 5 2 2 4 3 2" xfId="19292"/>
    <cellStyle name="Header2 5 2 2 4 3 2 2" xfId="31109"/>
    <cellStyle name="Header2 5 2 2 4 3 2 2 2" xfId="41108"/>
    <cellStyle name="Header2 5 2 2 4 3 2 3" xfId="26767"/>
    <cellStyle name="Header2 5 2 2 4 3 2 4" xfId="35957"/>
    <cellStyle name="Header2 5 2 2 4 3 3" xfId="19898"/>
    <cellStyle name="Header2 5 2 2 4 3 3 2" xfId="31715"/>
    <cellStyle name="Header2 5 2 2 4 3 3 2 2" xfId="41714"/>
    <cellStyle name="Header2 5 2 2 4 3 3 3" xfId="27373"/>
    <cellStyle name="Header2 5 2 2 4 3 3 4" xfId="36563"/>
    <cellStyle name="Header2 5 2 2 4 3 4" xfId="18120"/>
    <cellStyle name="Header2 5 2 2 4 3 4 2" xfId="29937"/>
    <cellStyle name="Header2 5 2 2 4 3 4 2 2" xfId="39936"/>
    <cellStyle name="Header2 5 2 2 4 3 4 3" xfId="25695"/>
    <cellStyle name="Header2 5 2 2 4 3 4 4" xfId="34785"/>
    <cellStyle name="Header2 5 2 2 4 3 5" xfId="20707"/>
    <cellStyle name="Header2 5 2 2 4 3 5 2" xfId="32524"/>
    <cellStyle name="Header2 5 2 2 4 3 5 2 2" xfId="42523"/>
    <cellStyle name="Header2 5 2 2 4 3 5 3" xfId="37372"/>
    <cellStyle name="Header2 5 2 2 4 3 6" xfId="28202"/>
    <cellStyle name="Header2 5 2 2 4 3 6 2" xfId="38201"/>
    <cellStyle name="Header2 5 2 2 4 3 7" xfId="22317"/>
    <cellStyle name="Header2 5 2 2 4 4" xfId="16082"/>
    <cellStyle name="Header2 5 2 2 4 4 2" xfId="27899"/>
    <cellStyle name="Header2 5 2 2 4 4 2 2" xfId="37898"/>
    <cellStyle name="Header2 5 2 2 4 4 3" xfId="23960"/>
    <cellStyle name="Header2 5 2 2 4 4 4" xfId="33050"/>
    <cellStyle name="Header2 5 2 2 4 5" xfId="16465"/>
    <cellStyle name="Header2 5 2 2 4 5 2" xfId="28282"/>
    <cellStyle name="Header2 5 2 2 4 5 2 2" xfId="38281"/>
    <cellStyle name="Header2 5 2 2 4 5 3" xfId="24040"/>
    <cellStyle name="Header2 5 2 2 4 5 4" xfId="33130"/>
    <cellStyle name="Header2 5 2 2 4 6" xfId="16768"/>
    <cellStyle name="Header2 5 2 2 4 6 2" xfId="28585"/>
    <cellStyle name="Header2 5 2 2 4 6 2 2" xfId="38584"/>
    <cellStyle name="Header2 5 2 2 4 6 3" xfId="24343"/>
    <cellStyle name="Header2 5 2 2 4 6 4" xfId="33433"/>
    <cellStyle name="Header2 5 2 2 4 7" xfId="17319"/>
    <cellStyle name="Header2 5 2 2 4 7 2" xfId="29136"/>
    <cellStyle name="Header2 5 2 2 4 7 2 2" xfId="39135"/>
    <cellStyle name="Header2 5 2 2 4 7 3" xfId="24894"/>
    <cellStyle name="Header2 5 2 2 4 7 4" xfId="33984"/>
    <cellStyle name="Header2 5 2 2 4 8" xfId="17622"/>
    <cellStyle name="Header2 5 2 2 4 8 2" xfId="29439"/>
    <cellStyle name="Header2 5 2 2 4 8 2 2" xfId="39438"/>
    <cellStyle name="Header2 5 2 2 4 8 3" xfId="25197"/>
    <cellStyle name="Header2 5 2 2 4 8 4" xfId="34287"/>
    <cellStyle name="Header2 5 2 2 4 9" xfId="18313"/>
    <cellStyle name="Header2 5 2 2 4 9 2" xfId="30130"/>
    <cellStyle name="Header2 5 2 2 4 9 2 2" xfId="40129"/>
    <cellStyle name="Header2 5 2 2 4 9 3" xfId="25788"/>
    <cellStyle name="Header2 5 2 2 4 9 4" xfId="34978"/>
    <cellStyle name="Header2 5 2 2 5" xfId="15801"/>
    <cellStyle name="Header2 5 2 2 5 2" xfId="18992"/>
    <cellStyle name="Header2 5 2 2 5 2 2" xfId="30809"/>
    <cellStyle name="Header2 5 2 2 5 2 2 2" xfId="40808"/>
    <cellStyle name="Header2 5 2 2 5 2 3" xfId="26467"/>
    <cellStyle name="Header2 5 2 2 5 2 4" xfId="35657"/>
    <cellStyle name="Header2 5 2 2 5 3" xfId="19598"/>
    <cellStyle name="Header2 5 2 2 5 3 2" xfId="31415"/>
    <cellStyle name="Header2 5 2 2 5 3 2 2" xfId="41414"/>
    <cellStyle name="Header2 5 2 2 5 3 3" xfId="27073"/>
    <cellStyle name="Header2 5 2 2 5 3 4" xfId="36263"/>
    <cellStyle name="Header2 5 2 2 5 4" xfId="18189"/>
    <cellStyle name="Header2 5 2 2 5 4 2" xfId="30006"/>
    <cellStyle name="Header2 5 2 2 5 4 2 2" xfId="40005"/>
    <cellStyle name="Header2 5 2 2 5 4 3" xfId="25764"/>
    <cellStyle name="Header2 5 2 2 5 4 4" xfId="34854"/>
    <cellStyle name="Header2 5 2 2 5 5" xfId="20407"/>
    <cellStyle name="Header2 5 2 2 5 5 2" xfId="32224"/>
    <cellStyle name="Header2 5 2 2 5 5 2 2" xfId="42223"/>
    <cellStyle name="Header2 5 2 2 5 5 3" xfId="37072"/>
    <cellStyle name="Header2 5 2 2 5 6" xfId="23679"/>
    <cellStyle name="Header2 5 2 2 5 6 2" xfId="21765"/>
    <cellStyle name="Header2 5 2 2 5 7" xfId="22929"/>
    <cellStyle name="Header2 5 2 2 5 7 2" xfId="21342"/>
    <cellStyle name="Header2 5 2 2 5 8" xfId="21725"/>
    <cellStyle name="Header2 5 2 2 6" xfId="16382"/>
    <cellStyle name="Header2 5 2 2 6 2" xfId="19295"/>
    <cellStyle name="Header2 5 2 2 6 2 2" xfId="31112"/>
    <cellStyle name="Header2 5 2 2 6 2 2 2" xfId="41111"/>
    <cellStyle name="Header2 5 2 2 6 2 3" xfId="26770"/>
    <cellStyle name="Header2 5 2 2 6 2 4" xfId="35960"/>
    <cellStyle name="Header2 5 2 2 6 3" xfId="19901"/>
    <cellStyle name="Header2 5 2 2 6 3 2" xfId="31718"/>
    <cellStyle name="Header2 5 2 2 6 3 2 2" xfId="41717"/>
    <cellStyle name="Header2 5 2 2 6 3 3" xfId="27376"/>
    <cellStyle name="Header2 5 2 2 6 3 4" xfId="36566"/>
    <cellStyle name="Header2 5 2 2 6 4" xfId="17667"/>
    <cellStyle name="Header2 5 2 2 6 4 2" xfId="29484"/>
    <cellStyle name="Header2 5 2 2 6 4 2 2" xfId="39483"/>
    <cellStyle name="Header2 5 2 2 6 4 3" xfId="25242"/>
    <cellStyle name="Header2 5 2 2 6 4 4" xfId="34332"/>
    <cellStyle name="Header2 5 2 2 6 5" xfId="20710"/>
    <cellStyle name="Header2 5 2 2 6 5 2" xfId="32527"/>
    <cellStyle name="Header2 5 2 2 6 5 2 2" xfId="42526"/>
    <cellStyle name="Header2 5 2 2 6 5 3" xfId="37375"/>
    <cellStyle name="Header2 5 2 2 6 6" xfId="28199"/>
    <cellStyle name="Header2 5 2 2 6 6 2" xfId="38198"/>
    <cellStyle name="Header2 5 2 2 6 7" xfId="21576"/>
    <cellStyle name="Header2 5 2 2 7" xfId="16079"/>
    <cellStyle name="Header2 5 2 2 7 2" xfId="27896"/>
    <cellStyle name="Header2 5 2 2 7 2 2" xfId="37895"/>
    <cellStyle name="Header2 5 2 2 7 3" xfId="23957"/>
    <cellStyle name="Header2 5 2 2 7 4" xfId="33047"/>
    <cellStyle name="Header2 5 2 2 8" xfId="16468"/>
    <cellStyle name="Header2 5 2 2 8 2" xfId="28285"/>
    <cellStyle name="Header2 5 2 2 8 2 2" xfId="38284"/>
    <cellStyle name="Header2 5 2 2 8 3" xfId="24043"/>
    <cellStyle name="Header2 5 2 2 8 4" xfId="33133"/>
    <cellStyle name="Header2 5 2 2 9" xfId="16771"/>
    <cellStyle name="Header2 5 2 2 9 2" xfId="28588"/>
    <cellStyle name="Header2 5 2 2 9 2 2" xfId="38587"/>
    <cellStyle name="Header2 5 2 2 9 3" xfId="24346"/>
    <cellStyle name="Header2 5 2 2 9 4" xfId="33436"/>
    <cellStyle name="Header2 5 2 3" xfId="7998"/>
    <cellStyle name="Header2 5 2 3 10" xfId="17320"/>
    <cellStyle name="Header2 5 2 3 10 2" xfId="29137"/>
    <cellStyle name="Header2 5 2 3 10 2 2" xfId="39136"/>
    <cellStyle name="Header2 5 2 3 10 3" xfId="24895"/>
    <cellStyle name="Header2 5 2 3 10 4" xfId="33985"/>
    <cellStyle name="Header2 5 2 3 11" xfId="17623"/>
    <cellStyle name="Header2 5 2 3 11 2" xfId="29440"/>
    <cellStyle name="Header2 5 2 3 11 2 2" xfId="39439"/>
    <cellStyle name="Header2 5 2 3 11 3" xfId="25198"/>
    <cellStyle name="Header2 5 2 3 11 4" xfId="34288"/>
    <cellStyle name="Header2 5 2 3 12" xfId="18312"/>
    <cellStyle name="Header2 5 2 3 12 2" xfId="30129"/>
    <cellStyle name="Header2 5 2 3 12 2 2" xfId="40128"/>
    <cellStyle name="Header2 5 2 3 12 3" xfId="25787"/>
    <cellStyle name="Header2 5 2 3 12 4" xfId="34977"/>
    <cellStyle name="Header2 5 2 3 13" xfId="18615"/>
    <cellStyle name="Header2 5 2 3 13 2" xfId="30432"/>
    <cellStyle name="Header2 5 2 3 13 2 2" xfId="40431"/>
    <cellStyle name="Header2 5 2 3 13 3" xfId="26090"/>
    <cellStyle name="Header2 5 2 3 13 4" xfId="35280"/>
    <cellStyle name="Header2 5 2 3 14" xfId="20163"/>
    <cellStyle name="Header2 5 2 3 14 2" xfId="31980"/>
    <cellStyle name="Header2 5 2 3 14 2 2" xfId="41979"/>
    <cellStyle name="Header2 5 2 3 14 3" xfId="36828"/>
    <cellStyle name="Header2 5 2 3 15" xfId="23104"/>
    <cellStyle name="Header2 5 2 3 15 2" xfId="21276"/>
    <cellStyle name="Header2 5 2 3 16" xfId="22498"/>
    <cellStyle name="Header2 5 2 3 2" xfId="7999"/>
    <cellStyle name="Header2 5 2 3 2 10" xfId="18614"/>
    <cellStyle name="Header2 5 2 3 2 10 2" xfId="30431"/>
    <cellStyle name="Header2 5 2 3 2 10 2 2" xfId="40430"/>
    <cellStyle name="Header2 5 2 3 2 10 3" xfId="26089"/>
    <cellStyle name="Header2 5 2 3 2 10 4" xfId="35279"/>
    <cellStyle name="Header2 5 2 3 2 11" xfId="20264"/>
    <cellStyle name="Header2 5 2 3 2 11 2" xfId="32081"/>
    <cellStyle name="Header2 5 2 3 2 11 2 2" xfId="42080"/>
    <cellStyle name="Header2 5 2 3 2 11 3" xfId="36929"/>
    <cellStyle name="Header2 5 2 3 2 12" xfId="23103"/>
    <cellStyle name="Header2 5 2 3 2 12 2" xfId="21277"/>
    <cellStyle name="Header2 5 2 3 2 13" xfId="22497"/>
    <cellStyle name="Header2 5 2 3 2 2" xfId="15806"/>
    <cellStyle name="Header2 5 2 3 2 2 2" xfId="18987"/>
    <cellStyle name="Header2 5 2 3 2 2 2 2" xfId="30804"/>
    <cellStyle name="Header2 5 2 3 2 2 2 2 2" xfId="40803"/>
    <cellStyle name="Header2 5 2 3 2 2 2 3" xfId="26462"/>
    <cellStyle name="Header2 5 2 3 2 2 2 4" xfId="35652"/>
    <cellStyle name="Header2 5 2 3 2 2 3" xfId="19593"/>
    <cellStyle name="Header2 5 2 3 2 2 3 2" xfId="31410"/>
    <cellStyle name="Header2 5 2 3 2 2 3 2 2" xfId="41409"/>
    <cellStyle name="Header2 5 2 3 2 2 3 3" xfId="27068"/>
    <cellStyle name="Header2 5 2 3 2 2 3 4" xfId="36258"/>
    <cellStyle name="Header2 5 2 3 2 2 4" xfId="17729"/>
    <cellStyle name="Header2 5 2 3 2 2 4 2" xfId="29546"/>
    <cellStyle name="Header2 5 2 3 2 2 4 2 2" xfId="39545"/>
    <cellStyle name="Header2 5 2 3 2 2 4 3" xfId="25304"/>
    <cellStyle name="Header2 5 2 3 2 2 4 4" xfId="34394"/>
    <cellStyle name="Header2 5 2 3 2 2 5" xfId="20402"/>
    <cellStyle name="Header2 5 2 3 2 2 5 2" xfId="32219"/>
    <cellStyle name="Header2 5 2 3 2 2 5 2 2" xfId="42218"/>
    <cellStyle name="Header2 5 2 3 2 2 5 3" xfId="37067"/>
    <cellStyle name="Header2 5 2 3 2 2 6" xfId="23684"/>
    <cellStyle name="Header2 5 2 3 2 2 6 2" xfId="20972"/>
    <cellStyle name="Header2 5 2 3 2 2 7" xfId="22792"/>
    <cellStyle name="Header2 5 2 3 2 2 7 2" xfId="21423"/>
    <cellStyle name="Header2 5 2 3 2 2 8" xfId="21729"/>
    <cellStyle name="Header2 5 2 3 2 3" xfId="16387"/>
    <cellStyle name="Header2 5 2 3 2 3 2" xfId="19290"/>
    <cellStyle name="Header2 5 2 3 2 3 2 2" xfId="31107"/>
    <cellStyle name="Header2 5 2 3 2 3 2 2 2" xfId="41106"/>
    <cellStyle name="Header2 5 2 3 2 3 2 3" xfId="26765"/>
    <cellStyle name="Header2 5 2 3 2 3 2 4" xfId="35955"/>
    <cellStyle name="Header2 5 2 3 2 3 3" xfId="19896"/>
    <cellStyle name="Header2 5 2 3 2 3 3 2" xfId="31713"/>
    <cellStyle name="Header2 5 2 3 2 3 3 2 2" xfId="41712"/>
    <cellStyle name="Header2 5 2 3 2 3 3 3" xfId="27371"/>
    <cellStyle name="Header2 5 2 3 2 3 3 4" xfId="36561"/>
    <cellStyle name="Header2 5 2 3 2 3 4" xfId="18884"/>
    <cellStyle name="Header2 5 2 3 2 3 4 2" xfId="30701"/>
    <cellStyle name="Header2 5 2 3 2 3 4 2 2" xfId="40700"/>
    <cellStyle name="Header2 5 2 3 2 3 4 3" xfId="26359"/>
    <cellStyle name="Header2 5 2 3 2 3 4 4" xfId="35549"/>
    <cellStyle name="Header2 5 2 3 2 3 5" xfId="20705"/>
    <cellStyle name="Header2 5 2 3 2 3 5 2" xfId="32522"/>
    <cellStyle name="Header2 5 2 3 2 3 5 2 2" xfId="42521"/>
    <cellStyle name="Header2 5 2 3 2 3 5 3" xfId="37370"/>
    <cellStyle name="Header2 5 2 3 2 3 6" xfId="28204"/>
    <cellStyle name="Header2 5 2 3 2 3 6 2" xfId="38203"/>
    <cellStyle name="Header2 5 2 3 2 3 7" xfId="21579"/>
    <cellStyle name="Header2 5 2 3 2 4" xfId="16084"/>
    <cellStyle name="Header2 5 2 3 2 4 2" xfId="27901"/>
    <cellStyle name="Header2 5 2 3 2 4 2 2" xfId="37900"/>
    <cellStyle name="Header2 5 2 3 2 4 3" xfId="23962"/>
    <cellStyle name="Header2 5 2 3 2 4 4" xfId="33052"/>
    <cellStyle name="Header2 5 2 3 2 5" xfId="16463"/>
    <cellStyle name="Header2 5 2 3 2 5 2" xfId="28280"/>
    <cellStyle name="Header2 5 2 3 2 5 2 2" xfId="38279"/>
    <cellStyle name="Header2 5 2 3 2 5 3" xfId="24038"/>
    <cellStyle name="Header2 5 2 3 2 5 4" xfId="33128"/>
    <cellStyle name="Header2 5 2 3 2 6" xfId="16766"/>
    <cellStyle name="Header2 5 2 3 2 6 2" xfId="28583"/>
    <cellStyle name="Header2 5 2 3 2 6 2 2" xfId="38582"/>
    <cellStyle name="Header2 5 2 3 2 6 3" xfId="24341"/>
    <cellStyle name="Header2 5 2 3 2 6 4" xfId="33431"/>
    <cellStyle name="Header2 5 2 3 2 7" xfId="17321"/>
    <cellStyle name="Header2 5 2 3 2 7 2" xfId="29138"/>
    <cellStyle name="Header2 5 2 3 2 7 2 2" xfId="39137"/>
    <cellStyle name="Header2 5 2 3 2 7 3" xfId="24896"/>
    <cellStyle name="Header2 5 2 3 2 7 4" xfId="33986"/>
    <cellStyle name="Header2 5 2 3 2 8" xfId="17624"/>
    <cellStyle name="Header2 5 2 3 2 8 2" xfId="29441"/>
    <cellStyle name="Header2 5 2 3 2 8 2 2" xfId="39440"/>
    <cellStyle name="Header2 5 2 3 2 8 3" xfId="25199"/>
    <cellStyle name="Header2 5 2 3 2 8 4" xfId="34289"/>
    <cellStyle name="Header2 5 2 3 2 9" xfId="18311"/>
    <cellStyle name="Header2 5 2 3 2 9 2" xfId="30128"/>
    <cellStyle name="Header2 5 2 3 2 9 2 2" xfId="40127"/>
    <cellStyle name="Header2 5 2 3 2 9 3" xfId="25786"/>
    <cellStyle name="Header2 5 2 3 2 9 4" xfId="34976"/>
    <cellStyle name="Header2 5 2 3 3" xfId="8000"/>
    <cellStyle name="Header2 5 2 3 3 10" xfId="18613"/>
    <cellStyle name="Header2 5 2 3 3 10 2" xfId="30430"/>
    <cellStyle name="Header2 5 2 3 3 10 2 2" xfId="40429"/>
    <cellStyle name="Header2 5 2 3 3 10 3" xfId="26088"/>
    <cellStyle name="Header2 5 2 3 3 10 4" xfId="35278"/>
    <cellStyle name="Header2 5 2 3 3 11" xfId="18297"/>
    <cellStyle name="Header2 5 2 3 3 11 2" xfId="30114"/>
    <cellStyle name="Header2 5 2 3 3 11 2 2" xfId="40113"/>
    <cellStyle name="Header2 5 2 3 3 11 3" xfId="34962"/>
    <cellStyle name="Header2 5 2 3 3 12" xfId="23102"/>
    <cellStyle name="Header2 5 2 3 3 12 2" xfId="21278"/>
    <cellStyle name="Header2 5 2 3 3 13" xfId="22496"/>
    <cellStyle name="Header2 5 2 3 3 2" xfId="15807"/>
    <cellStyle name="Header2 5 2 3 3 2 2" xfId="18986"/>
    <cellStyle name="Header2 5 2 3 3 2 2 2" xfId="30803"/>
    <cellStyle name="Header2 5 2 3 3 2 2 2 2" xfId="40802"/>
    <cellStyle name="Header2 5 2 3 3 2 2 3" xfId="26461"/>
    <cellStyle name="Header2 5 2 3 3 2 2 4" xfId="35651"/>
    <cellStyle name="Header2 5 2 3 3 2 3" xfId="19592"/>
    <cellStyle name="Header2 5 2 3 3 2 3 2" xfId="31409"/>
    <cellStyle name="Header2 5 2 3 3 2 3 2 2" xfId="41408"/>
    <cellStyle name="Header2 5 2 3 3 2 3 3" xfId="27067"/>
    <cellStyle name="Header2 5 2 3 3 2 3 4" xfId="36257"/>
    <cellStyle name="Header2 5 2 3 3 2 4" xfId="18192"/>
    <cellStyle name="Header2 5 2 3 3 2 4 2" xfId="30009"/>
    <cellStyle name="Header2 5 2 3 3 2 4 2 2" xfId="40008"/>
    <cellStyle name="Header2 5 2 3 3 2 4 3" xfId="25767"/>
    <cellStyle name="Header2 5 2 3 3 2 4 4" xfId="34857"/>
    <cellStyle name="Header2 5 2 3 3 2 5" xfId="20401"/>
    <cellStyle name="Header2 5 2 3 3 2 5 2" xfId="32218"/>
    <cellStyle name="Header2 5 2 3 3 2 5 2 2" xfId="42217"/>
    <cellStyle name="Header2 5 2 3 3 2 5 3" xfId="37066"/>
    <cellStyle name="Header2 5 2 3 3 2 6" xfId="23685"/>
    <cellStyle name="Header2 5 2 3 3 2 6 2" xfId="21763"/>
    <cellStyle name="Header2 5 2 3 3 2 7" xfId="22927"/>
    <cellStyle name="Header2 5 2 3 3 2 7 2" xfId="21343"/>
    <cellStyle name="Header2 5 2 3 3 2 8" xfId="22471"/>
    <cellStyle name="Header2 5 2 3 3 3" xfId="16388"/>
    <cellStyle name="Header2 5 2 3 3 3 2" xfId="19289"/>
    <cellStyle name="Header2 5 2 3 3 3 2 2" xfId="31106"/>
    <cellStyle name="Header2 5 2 3 3 3 2 2 2" xfId="41105"/>
    <cellStyle name="Header2 5 2 3 3 3 2 3" xfId="26764"/>
    <cellStyle name="Header2 5 2 3 3 3 2 4" xfId="35954"/>
    <cellStyle name="Header2 5 2 3 3 3 3" xfId="19895"/>
    <cellStyle name="Header2 5 2 3 3 3 3 2" xfId="31712"/>
    <cellStyle name="Header2 5 2 3 3 3 3 2 2" xfId="41711"/>
    <cellStyle name="Header2 5 2 3 3 3 3 3" xfId="27370"/>
    <cellStyle name="Header2 5 2 3 3 3 3 4" xfId="36560"/>
    <cellStyle name="Header2 5 2 3 3 3 4" xfId="17924"/>
    <cellStyle name="Header2 5 2 3 3 3 4 2" xfId="29741"/>
    <cellStyle name="Header2 5 2 3 3 3 4 2 2" xfId="39740"/>
    <cellStyle name="Header2 5 2 3 3 3 4 3" xfId="25499"/>
    <cellStyle name="Header2 5 2 3 3 3 4 4" xfId="34589"/>
    <cellStyle name="Header2 5 2 3 3 3 5" xfId="20704"/>
    <cellStyle name="Header2 5 2 3 3 3 5 2" xfId="32521"/>
    <cellStyle name="Header2 5 2 3 3 3 5 2 2" xfId="42520"/>
    <cellStyle name="Header2 5 2 3 3 3 5 3" xfId="37369"/>
    <cellStyle name="Header2 5 2 3 3 3 6" xfId="28205"/>
    <cellStyle name="Header2 5 2 3 3 3 6 2" xfId="38204"/>
    <cellStyle name="Header2 5 2 3 3 3 7" xfId="21580"/>
    <cellStyle name="Header2 5 2 3 3 4" xfId="16085"/>
    <cellStyle name="Header2 5 2 3 3 4 2" xfId="27902"/>
    <cellStyle name="Header2 5 2 3 3 4 2 2" xfId="37901"/>
    <cellStyle name="Header2 5 2 3 3 4 3" xfId="23963"/>
    <cellStyle name="Header2 5 2 3 3 4 4" xfId="33053"/>
    <cellStyle name="Header2 5 2 3 3 5" xfId="16462"/>
    <cellStyle name="Header2 5 2 3 3 5 2" xfId="28279"/>
    <cellStyle name="Header2 5 2 3 3 5 2 2" xfId="38278"/>
    <cellStyle name="Header2 5 2 3 3 5 3" xfId="24037"/>
    <cellStyle name="Header2 5 2 3 3 5 4" xfId="33127"/>
    <cellStyle name="Header2 5 2 3 3 6" xfId="16765"/>
    <cellStyle name="Header2 5 2 3 3 6 2" xfId="28582"/>
    <cellStyle name="Header2 5 2 3 3 6 2 2" xfId="38581"/>
    <cellStyle name="Header2 5 2 3 3 6 3" xfId="24340"/>
    <cellStyle name="Header2 5 2 3 3 6 4" xfId="33430"/>
    <cellStyle name="Header2 5 2 3 3 7" xfId="17322"/>
    <cellStyle name="Header2 5 2 3 3 7 2" xfId="29139"/>
    <cellStyle name="Header2 5 2 3 3 7 2 2" xfId="39138"/>
    <cellStyle name="Header2 5 2 3 3 7 3" xfId="24897"/>
    <cellStyle name="Header2 5 2 3 3 7 4" xfId="33987"/>
    <cellStyle name="Header2 5 2 3 3 8" xfId="17625"/>
    <cellStyle name="Header2 5 2 3 3 8 2" xfId="29442"/>
    <cellStyle name="Header2 5 2 3 3 8 2 2" xfId="39441"/>
    <cellStyle name="Header2 5 2 3 3 8 3" xfId="25200"/>
    <cellStyle name="Header2 5 2 3 3 8 4" xfId="34290"/>
    <cellStyle name="Header2 5 2 3 3 9" xfId="18310"/>
    <cellStyle name="Header2 5 2 3 3 9 2" xfId="30127"/>
    <cellStyle name="Header2 5 2 3 3 9 2 2" xfId="40126"/>
    <cellStyle name="Header2 5 2 3 3 9 3" xfId="25785"/>
    <cellStyle name="Header2 5 2 3 3 9 4" xfId="34975"/>
    <cellStyle name="Header2 5 2 3 4" xfId="8001"/>
    <cellStyle name="Header2 5 2 3 4 10" xfId="18612"/>
    <cellStyle name="Header2 5 2 3 4 10 2" xfId="30429"/>
    <cellStyle name="Header2 5 2 3 4 10 2 2" xfId="40428"/>
    <cellStyle name="Header2 5 2 3 4 10 3" xfId="26087"/>
    <cellStyle name="Header2 5 2 3 4 10 4" xfId="35277"/>
    <cellStyle name="Header2 5 2 3 4 11" xfId="20162"/>
    <cellStyle name="Header2 5 2 3 4 11 2" xfId="31979"/>
    <cellStyle name="Header2 5 2 3 4 11 2 2" xfId="41978"/>
    <cellStyle name="Header2 5 2 3 4 11 3" xfId="36827"/>
    <cellStyle name="Header2 5 2 3 4 12" xfId="23101"/>
    <cellStyle name="Header2 5 2 3 4 12 2" xfId="22041"/>
    <cellStyle name="Header2 5 2 3 4 13" xfId="22495"/>
    <cellStyle name="Header2 5 2 3 4 2" xfId="15808"/>
    <cellStyle name="Header2 5 2 3 4 2 2" xfId="18985"/>
    <cellStyle name="Header2 5 2 3 4 2 2 2" xfId="30802"/>
    <cellStyle name="Header2 5 2 3 4 2 2 2 2" xfId="40801"/>
    <cellStyle name="Header2 5 2 3 4 2 2 3" xfId="26460"/>
    <cellStyle name="Header2 5 2 3 4 2 2 4" xfId="35650"/>
    <cellStyle name="Header2 5 2 3 4 2 3" xfId="19591"/>
    <cellStyle name="Header2 5 2 3 4 2 3 2" xfId="31408"/>
    <cellStyle name="Header2 5 2 3 4 2 3 2 2" xfId="41407"/>
    <cellStyle name="Header2 5 2 3 4 2 3 3" xfId="27066"/>
    <cellStyle name="Header2 5 2 3 4 2 3 4" xfId="36256"/>
    <cellStyle name="Header2 5 2 3 4 2 4" xfId="17730"/>
    <cellStyle name="Header2 5 2 3 4 2 4 2" xfId="29547"/>
    <cellStyle name="Header2 5 2 3 4 2 4 2 2" xfId="39546"/>
    <cellStyle name="Header2 5 2 3 4 2 4 3" xfId="25305"/>
    <cellStyle name="Header2 5 2 3 4 2 4 4" xfId="34395"/>
    <cellStyle name="Header2 5 2 3 4 2 5" xfId="20400"/>
    <cellStyle name="Header2 5 2 3 4 2 5 2" xfId="32217"/>
    <cellStyle name="Header2 5 2 3 4 2 5 2 2" xfId="42216"/>
    <cellStyle name="Header2 5 2 3 4 2 5 3" xfId="37065"/>
    <cellStyle name="Header2 5 2 3 4 2 6" xfId="23686"/>
    <cellStyle name="Header2 5 2 3 4 2 6 2" xfId="20973"/>
    <cellStyle name="Header2 5 2 3 4 2 7" xfId="22791"/>
    <cellStyle name="Header2 5 2 3 4 2 7 2" xfId="21424"/>
    <cellStyle name="Header2 5 2 3 4 2 8" xfId="21730"/>
    <cellStyle name="Header2 5 2 3 4 3" xfId="16389"/>
    <cellStyle name="Header2 5 2 3 4 3 2" xfId="19288"/>
    <cellStyle name="Header2 5 2 3 4 3 2 2" xfId="31105"/>
    <cellStyle name="Header2 5 2 3 4 3 2 2 2" xfId="41104"/>
    <cellStyle name="Header2 5 2 3 4 3 2 3" xfId="26763"/>
    <cellStyle name="Header2 5 2 3 4 3 2 4" xfId="35953"/>
    <cellStyle name="Header2 5 2 3 4 3 3" xfId="19894"/>
    <cellStyle name="Header2 5 2 3 4 3 3 2" xfId="31711"/>
    <cellStyle name="Header2 5 2 3 4 3 3 2 2" xfId="41710"/>
    <cellStyle name="Header2 5 2 3 4 3 3 3" xfId="27369"/>
    <cellStyle name="Header2 5 2 3 4 3 3 4" xfId="36559"/>
    <cellStyle name="Header2 5 2 3 4 3 4" xfId="17804"/>
    <cellStyle name="Header2 5 2 3 4 3 4 2" xfId="29621"/>
    <cellStyle name="Header2 5 2 3 4 3 4 2 2" xfId="39620"/>
    <cellStyle name="Header2 5 2 3 4 3 4 3" xfId="25379"/>
    <cellStyle name="Header2 5 2 3 4 3 4 4" xfId="34469"/>
    <cellStyle name="Header2 5 2 3 4 3 5" xfId="20703"/>
    <cellStyle name="Header2 5 2 3 4 3 5 2" xfId="32520"/>
    <cellStyle name="Header2 5 2 3 4 3 5 2 2" xfId="42519"/>
    <cellStyle name="Header2 5 2 3 4 3 5 3" xfId="37368"/>
    <cellStyle name="Header2 5 2 3 4 3 6" xfId="28206"/>
    <cellStyle name="Header2 5 2 3 4 3 6 2" xfId="38205"/>
    <cellStyle name="Header2 5 2 3 4 3 7" xfId="22318"/>
    <cellStyle name="Header2 5 2 3 4 4" xfId="16086"/>
    <cellStyle name="Header2 5 2 3 4 4 2" xfId="27903"/>
    <cellStyle name="Header2 5 2 3 4 4 2 2" xfId="37902"/>
    <cellStyle name="Header2 5 2 3 4 4 3" xfId="23964"/>
    <cellStyle name="Header2 5 2 3 4 4 4" xfId="33054"/>
    <cellStyle name="Header2 5 2 3 4 5" xfId="16461"/>
    <cellStyle name="Header2 5 2 3 4 5 2" xfId="28278"/>
    <cellStyle name="Header2 5 2 3 4 5 2 2" xfId="38277"/>
    <cellStyle name="Header2 5 2 3 4 5 3" xfId="24036"/>
    <cellStyle name="Header2 5 2 3 4 5 4" xfId="33126"/>
    <cellStyle name="Header2 5 2 3 4 6" xfId="16764"/>
    <cellStyle name="Header2 5 2 3 4 6 2" xfId="28581"/>
    <cellStyle name="Header2 5 2 3 4 6 2 2" xfId="38580"/>
    <cellStyle name="Header2 5 2 3 4 6 3" xfId="24339"/>
    <cellStyle name="Header2 5 2 3 4 6 4" xfId="33429"/>
    <cellStyle name="Header2 5 2 3 4 7" xfId="17323"/>
    <cellStyle name="Header2 5 2 3 4 7 2" xfId="29140"/>
    <cellStyle name="Header2 5 2 3 4 7 2 2" xfId="39139"/>
    <cellStyle name="Header2 5 2 3 4 7 3" xfId="24898"/>
    <cellStyle name="Header2 5 2 3 4 7 4" xfId="33988"/>
    <cellStyle name="Header2 5 2 3 4 8" xfId="17626"/>
    <cellStyle name="Header2 5 2 3 4 8 2" xfId="29443"/>
    <cellStyle name="Header2 5 2 3 4 8 2 2" xfId="39442"/>
    <cellStyle name="Header2 5 2 3 4 8 3" xfId="25201"/>
    <cellStyle name="Header2 5 2 3 4 8 4" xfId="34291"/>
    <cellStyle name="Header2 5 2 3 4 9" xfId="18309"/>
    <cellStyle name="Header2 5 2 3 4 9 2" xfId="30126"/>
    <cellStyle name="Header2 5 2 3 4 9 2 2" xfId="40125"/>
    <cellStyle name="Header2 5 2 3 4 9 3" xfId="25784"/>
    <cellStyle name="Header2 5 2 3 4 9 4" xfId="34974"/>
    <cellStyle name="Header2 5 2 3 5" xfId="15805"/>
    <cellStyle name="Header2 5 2 3 5 2" xfId="18988"/>
    <cellStyle name="Header2 5 2 3 5 2 2" xfId="30805"/>
    <cellStyle name="Header2 5 2 3 5 2 2 2" xfId="40804"/>
    <cellStyle name="Header2 5 2 3 5 2 3" xfId="26463"/>
    <cellStyle name="Header2 5 2 3 5 2 4" xfId="35653"/>
    <cellStyle name="Header2 5 2 3 5 3" xfId="19594"/>
    <cellStyle name="Header2 5 2 3 5 3 2" xfId="31411"/>
    <cellStyle name="Header2 5 2 3 5 3 2 2" xfId="41410"/>
    <cellStyle name="Header2 5 2 3 5 3 3" xfId="27069"/>
    <cellStyle name="Header2 5 2 3 5 3 4" xfId="36259"/>
    <cellStyle name="Header2 5 2 3 5 4" xfId="18191"/>
    <cellStyle name="Header2 5 2 3 5 4 2" xfId="30008"/>
    <cellStyle name="Header2 5 2 3 5 4 2 2" xfId="40007"/>
    <cellStyle name="Header2 5 2 3 5 4 3" xfId="25766"/>
    <cellStyle name="Header2 5 2 3 5 4 4" xfId="34856"/>
    <cellStyle name="Header2 5 2 3 5 5" xfId="20403"/>
    <cellStyle name="Header2 5 2 3 5 5 2" xfId="32220"/>
    <cellStyle name="Header2 5 2 3 5 5 2 2" xfId="42219"/>
    <cellStyle name="Header2 5 2 3 5 5 3" xfId="37068"/>
    <cellStyle name="Header2 5 2 3 5 6" xfId="23683"/>
    <cellStyle name="Header2 5 2 3 5 6 2" xfId="20986"/>
    <cellStyle name="Header2 5 2 3 5 7" xfId="22793"/>
    <cellStyle name="Header2 5 2 3 5 7 2" xfId="21422"/>
    <cellStyle name="Header2 5 2 3 5 8" xfId="21728"/>
    <cellStyle name="Header2 5 2 3 6" xfId="16386"/>
    <cellStyle name="Header2 5 2 3 6 2" xfId="19291"/>
    <cellStyle name="Header2 5 2 3 6 2 2" xfId="31108"/>
    <cellStyle name="Header2 5 2 3 6 2 2 2" xfId="41107"/>
    <cellStyle name="Header2 5 2 3 6 2 3" xfId="26766"/>
    <cellStyle name="Header2 5 2 3 6 2 4" xfId="35956"/>
    <cellStyle name="Header2 5 2 3 6 3" xfId="19897"/>
    <cellStyle name="Header2 5 2 3 6 3 2" xfId="31714"/>
    <cellStyle name="Header2 5 2 3 6 3 2 2" xfId="41713"/>
    <cellStyle name="Header2 5 2 3 6 3 3" xfId="27372"/>
    <cellStyle name="Header2 5 2 3 6 3 4" xfId="36562"/>
    <cellStyle name="Header2 5 2 3 6 4" xfId="17923"/>
    <cellStyle name="Header2 5 2 3 6 4 2" xfId="29740"/>
    <cellStyle name="Header2 5 2 3 6 4 2 2" xfId="39739"/>
    <cellStyle name="Header2 5 2 3 6 4 3" xfId="25498"/>
    <cellStyle name="Header2 5 2 3 6 4 4" xfId="34588"/>
    <cellStyle name="Header2 5 2 3 6 5" xfId="20706"/>
    <cellStyle name="Header2 5 2 3 6 5 2" xfId="32523"/>
    <cellStyle name="Header2 5 2 3 6 5 2 2" xfId="42522"/>
    <cellStyle name="Header2 5 2 3 6 5 3" xfId="37371"/>
    <cellStyle name="Header2 5 2 3 6 6" xfId="28203"/>
    <cellStyle name="Header2 5 2 3 6 6 2" xfId="38202"/>
    <cellStyle name="Header2 5 2 3 6 7" xfId="21578"/>
    <cellStyle name="Header2 5 2 3 7" xfId="16083"/>
    <cellStyle name="Header2 5 2 3 7 2" xfId="27900"/>
    <cellStyle name="Header2 5 2 3 7 2 2" xfId="37899"/>
    <cellStyle name="Header2 5 2 3 7 3" xfId="23961"/>
    <cellStyle name="Header2 5 2 3 7 4" xfId="33051"/>
    <cellStyle name="Header2 5 2 3 8" xfId="16464"/>
    <cellStyle name="Header2 5 2 3 8 2" xfId="28281"/>
    <cellStyle name="Header2 5 2 3 8 2 2" xfId="38280"/>
    <cellStyle name="Header2 5 2 3 8 3" xfId="24039"/>
    <cellStyle name="Header2 5 2 3 8 4" xfId="33129"/>
    <cellStyle name="Header2 5 2 3 9" xfId="16767"/>
    <cellStyle name="Header2 5 2 3 9 2" xfId="28584"/>
    <cellStyle name="Header2 5 2 3 9 2 2" xfId="38583"/>
    <cellStyle name="Header2 5 2 3 9 3" xfId="24342"/>
    <cellStyle name="Header2 5 2 3 9 4" xfId="33432"/>
    <cellStyle name="Header2 5 2 4" xfId="8002"/>
    <cellStyle name="Header2 5 2 4 10" xfId="18611"/>
    <cellStyle name="Header2 5 2 4 10 2" xfId="30428"/>
    <cellStyle name="Header2 5 2 4 10 2 2" xfId="40427"/>
    <cellStyle name="Header2 5 2 4 10 3" xfId="26086"/>
    <cellStyle name="Header2 5 2 4 10 4" xfId="35276"/>
    <cellStyle name="Header2 5 2 4 11" xfId="20263"/>
    <cellStyle name="Header2 5 2 4 11 2" xfId="32080"/>
    <cellStyle name="Header2 5 2 4 11 2 2" xfId="42079"/>
    <cellStyle name="Header2 5 2 4 11 3" xfId="36928"/>
    <cellStyle name="Header2 5 2 4 12" xfId="23100"/>
    <cellStyle name="Header2 5 2 4 12 2" xfId="21279"/>
    <cellStyle name="Header2 5 2 4 13" xfId="22494"/>
    <cellStyle name="Header2 5 2 4 2" xfId="15809"/>
    <cellStyle name="Header2 5 2 4 2 2" xfId="18984"/>
    <cellStyle name="Header2 5 2 4 2 2 2" xfId="30801"/>
    <cellStyle name="Header2 5 2 4 2 2 2 2" xfId="40800"/>
    <cellStyle name="Header2 5 2 4 2 2 3" xfId="26459"/>
    <cellStyle name="Header2 5 2 4 2 2 4" xfId="35649"/>
    <cellStyle name="Header2 5 2 4 2 3" xfId="19590"/>
    <cellStyle name="Header2 5 2 4 2 3 2" xfId="31407"/>
    <cellStyle name="Header2 5 2 4 2 3 2 2" xfId="41406"/>
    <cellStyle name="Header2 5 2 4 2 3 3" xfId="27065"/>
    <cellStyle name="Header2 5 2 4 2 3 4" xfId="36255"/>
    <cellStyle name="Header2 5 2 4 2 4" xfId="17731"/>
    <cellStyle name="Header2 5 2 4 2 4 2" xfId="29548"/>
    <cellStyle name="Header2 5 2 4 2 4 2 2" xfId="39547"/>
    <cellStyle name="Header2 5 2 4 2 4 3" xfId="25306"/>
    <cellStyle name="Header2 5 2 4 2 4 4" xfId="34396"/>
    <cellStyle name="Header2 5 2 4 2 5" xfId="20399"/>
    <cellStyle name="Header2 5 2 4 2 5 2" xfId="32216"/>
    <cellStyle name="Header2 5 2 4 2 5 2 2" xfId="42215"/>
    <cellStyle name="Header2 5 2 4 2 5 3" xfId="37064"/>
    <cellStyle name="Header2 5 2 4 2 6" xfId="23687"/>
    <cellStyle name="Header2 5 2 4 2 6 2" xfId="21762"/>
    <cellStyle name="Header2 5 2 4 2 7" xfId="22926"/>
    <cellStyle name="Header2 5 2 4 2 7 2" xfId="22151"/>
    <cellStyle name="Header2 5 2 4 2 8" xfId="22472"/>
    <cellStyle name="Header2 5 2 4 3" xfId="16390"/>
    <cellStyle name="Header2 5 2 4 3 2" xfId="19287"/>
    <cellStyle name="Header2 5 2 4 3 2 2" xfId="31104"/>
    <cellStyle name="Header2 5 2 4 3 2 2 2" xfId="41103"/>
    <cellStyle name="Header2 5 2 4 3 2 3" xfId="26762"/>
    <cellStyle name="Header2 5 2 4 3 2 4" xfId="35952"/>
    <cellStyle name="Header2 5 2 4 3 3" xfId="19893"/>
    <cellStyle name="Header2 5 2 4 3 3 2" xfId="31710"/>
    <cellStyle name="Header2 5 2 4 3 3 2 2" xfId="41709"/>
    <cellStyle name="Header2 5 2 4 3 3 3" xfId="27368"/>
    <cellStyle name="Header2 5 2 4 3 3 4" xfId="36558"/>
    <cellStyle name="Header2 5 2 4 3 4" xfId="17925"/>
    <cellStyle name="Header2 5 2 4 3 4 2" xfId="29742"/>
    <cellStyle name="Header2 5 2 4 3 4 2 2" xfId="39741"/>
    <cellStyle name="Header2 5 2 4 3 4 3" xfId="25500"/>
    <cellStyle name="Header2 5 2 4 3 4 4" xfId="34590"/>
    <cellStyle name="Header2 5 2 4 3 5" xfId="20702"/>
    <cellStyle name="Header2 5 2 4 3 5 2" xfId="32519"/>
    <cellStyle name="Header2 5 2 4 3 5 2 2" xfId="42518"/>
    <cellStyle name="Header2 5 2 4 3 5 3" xfId="37367"/>
    <cellStyle name="Header2 5 2 4 3 6" xfId="28207"/>
    <cellStyle name="Header2 5 2 4 3 6 2" xfId="38206"/>
    <cellStyle name="Header2 5 2 4 3 7" xfId="21581"/>
    <cellStyle name="Header2 5 2 4 4" xfId="16087"/>
    <cellStyle name="Header2 5 2 4 4 2" xfId="27904"/>
    <cellStyle name="Header2 5 2 4 4 2 2" xfId="37903"/>
    <cellStyle name="Header2 5 2 4 4 3" xfId="23965"/>
    <cellStyle name="Header2 5 2 4 4 4" xfId="33055"/>
    <cellStyle name="Header2 5 2 4 5" xfId="16460"/>
    <cellStyle name="Header2 5 2 4 5 2" xfId="28277"/>
    <cellStyle name="Header2 5 2 4 5 2 2" xfId="38276"/>
    <cellStyle name="Header2 5 2 4 5 3" xfId="24035"/>
    <cellStyle name="Header2 5 2 4 5 4" xfId="33125"/>
    <cellStyle name="Header2 5 2 4 6" xfId="16763"/>
    <cellStyle name="Header2 5 2 4 6 2" xfId="28580"/>
    <cellStyle name="Header2 5 2 4 6 2 2" xfId="38579"/>
    <cellStyle name="Header2 5 2 4 6 3" xfId="24338"/>
    <cellStyle name="Header2 5 2 4 6 4" xfId="33428"/>
    <cellStyle name="Header2 5 2 4 7" xfId="17324"/>
    <cellStyle name="Header2 5 2 4 7 2" xfId="29141"/>
    <cellStyle name="Header2 5 2 4 7 2 2" xfId="39140"/>
    <cellStyle name="Header2 5 2 4 7 3" xfId="24899"/>
    <cellStyle name="Header2 5 2 4 7 4" xfId="33989"/>
    <cellStyle name="Header2 5 2 4 8" xfId="17627"/>
    <cellStyle name="Header2 5 2 4 8 2" xfId="29444"/>
    <cellStyle name="Header2 5 2 4 8 2 2" xfId="39443"/>
    <cellStyle name="Header2 5 2 4 8 3" xfId="25202"/>
    <cellStyle name="Header2 5 2 4 8 4" xfId="34292"/>
    <cellStyle name="Header2 5 2 4 9" xfId="18308"/>
    <cellStyle name="Header2 5 2 4 9 2" xfId="30125"/>
    <cellStyle name="Header2 5 2 4 9 2 2" xfId="40124"/>
    <cellStyle name="Header2 5 2 4 9 3" xfId="25783"/>
    <cellStyle name="Header2 5 2 4 9 4" xfId="34973"/>
    <cellStyle name="Header2 5 2 5" xfId="15800"/>
    <cellStyle name="Header2 5 2 5 2" xfId="18993"/>
    <cellStyle name="Header2 5 2 5 2 2" xfId="30810"/>
    <cellStyle name="Header2 5 2 5 2 2 2" xfId="40809"/>
    <cellStyle name="Header2 5 2 5 2 3" xfId="26468"/>
    <cellStyle name="Header2 5 2 5 2 4" xfId="35658"/>
    <cellStyle name="Header2 5 2 5 3" xfId="19599"/>
    <cellStyle name="Header2 5 2 5 3 2" xfId="31416"/>
    <cellStyle name="Header2 5 2 5 3 2 2" xfId="41415"/>
    <cellStyle name="Header2 5 2 5 3 3" xfId="27074"/>
    <cellStyle name="Header2 5 2 5 3 4" xfId="36264"/>
    <cellStyle name="Header2 5 2 5 4" xfId="18188"/>
    <cellStyle name="Header2 5 2 5 4 2" xfId="30005"/>
    <cellStyle name="Header2 5 2 5 4 2 2" xfId="40004"/>
    <cellStyle name="Header2 5 2 5 4 3" xfId="25763"/>
    <cellStyle name="Header2 5 2 5 4 4" xfId="34853"/>
    <cellStyle name="Header2 5 2 5 5" xfId="20408"/>
    <cellStyle name="Header2 5 2 5 5 2" xfId="32225"/>
    <cellStyle name="Header2 5 2 5 5 2 2" xfId="42224"/>
    <cellStyle name="Header2 5 2 5 5 3" xfId="37073"/>
    <cellStyle name="Header2 5 2 5 6" xfId="23678"/>
    <cellStyle name="Header2 5 2 5 6 2" xfId="20992"/>
    <cellStyle name="Header2 5 2 5 7" xfId="22796"/>
    <cellStyle name="Header2 5 2 5 7 2" xfId="21420"/>
    <cellStyle name="Header2 5 2 5 8" xfId="21724"/>
    <cellStyle name="Header2 5 2 6" xfId="16381"/>
    <cellStyle name="Header2 5 2 6 2" xfId="19296"/>
    <cellStyle name="Header2 5 2 6 2 2" xfId="31113"/>
    <cellStyle name="Header2 5 2 6 2 2 2" xfId="41112"/>
    <cellStyle name="Header2 5 2 6 2 3" xfId="26771"/>
    <cellStyle name="Header2 5 2 6 2 4" xfId="35961"/>
    <cellStyle name="Header2 5 2 6 3" xfId="19902"/>
    <cellStyle name="Header2 5 2 6 3 2" xfId="31719"/>
    <cellStyle name="Header2 5 2 6 3 2 2" xfId="41718"/>
    <cellStyle name="Header2 5 2 6 3 3" xfId="27377"/>
    <cellStyle name="Header2 5 2 6 3 4" xfId="36567"/>
    <cellStyle name="Header2 5 2 6 4" xfId="17803"/>
    <cellStyle name="Header2 5 2 6 4 2" xfId="29620"/>
    <cellStyle name="Header2 5 2 6 4 2 2" xfId="39619"/>
    <cellStyle name="Header2 5 2 6 4 3" xfId="25378"/>
    <cellStyle name="Header2 5 2 6 4 4" xfId="34468"/>
    <cellStyle name="Header2 5 2 6 5" xfId="20711"/>
    <cellStyle name="Header2 5 2 6 5 2" xfId="32528"/>
    <cellStyle name="Header2 5 2 6 5 2 2" xfId="42527"/>
    <cellStyle name="Header2 5 2 6 5 3" xfId="37376"/>
    <cellStyle name="Header2 5 2 6 6" xfId="28198"/>
    <cellStyle name="Header2 5 2 6 6 2" xfId="38197"/>
    <cellStyle name="Header2 5 2 6 7" xfId="21575"/>
    <cellStyle name="Header2 5 2 7" xfId="16078"/>
    <cellStyle name="Header2 5 2 7 2" xfId="27895"/>
    <cellStyle name="Header2 5 2 7 2 2" xfId="37894"/>
    <cellStyle name="Header2 5 2 7 3" xfId="23956"/>
    <cellStyle name="Header2 5 2 7 4" xfId="33046"/>
    <cellStyle name="Header2 5 2 8" xfId="16469"/>
    <cellStyle name="Header2 5 2 8 2" xfId="28286"/>
    <cellStyle name="Header2 5 2 8 2 2" xfId="38285"/>
    <cellStyle name="Header2 5 2 8 3" xfId="24044"/>
    <cellStyle name="Header2 5 2 8 4" xfId="33134"/>
    <cellStyle name="Header2 5 2 9" xfId="16772"/>
    <cellStyle name="Header2 5 2 9 2" xfId="28589"/>
    <cellStyle name="Header2 5 2 9 2 2" xfId="38588"/>
    <cellStyle name="Header2 5 2 9 3" xfId="24347"/>
    <cellStyle name="Header2 5 2 9 4" xfId="33437"/>
    <cellStyle name="Header2 5 3" xfId="8003"/>
    <cellStyle name="Header2 5 3 10" xfId="17325"/>
    <cellStyle name="Header2 5 3 10 2" xfId="29142"/>
    <cellStyle name="Header2 5 3 10 2 2" xfId="39141"/>
    <cellStyle name="Header2 5 3 10 3" xfId="24900"/>
    <cellStyle name="Header2 5 3 10 4" xfId="33990"/>
    <cellStyle name="Header2 5 3 11" xfId="17628"/>
    <cellStyle name="Header2 5 3 11 2" xfId="29445"/>
    <cellStyle name="Header2 5 3 11 2 2" xfId="39444"/>
    <cellStyle name="Header2 5 3 11 3" xfId="25203"/>
    <cellStyle name="Header2 5 3 11 4" xfId="34293"/>
    <cellStyle name="Header2 5 3 12" xfId="18307"/>
    <cellStyle name="Header2 5 3 12 2" xfId="30124"/>
    <cellStyle name="Header2 5 3 12 2 2" xfId="40123"/>
    <cellStyle name="Header2 5 3 12 3" xfId="25782"/>
    <cellStyle name="Header2 5 3 12 4" xfId="34972"/>
    <cellStyle name="Header2 5 3 13" xfId="18610"/>
    <cellStyle name="Header2 5 3 13 2" xfId="30427"/>
    <cellStyle name="Header2 5 3 13 2 2" xfId="40426"/>
    <cellStyle name="Header2 5 3 13 3" xfId="26085"/>
    <cellStyle name="Header2 5 3 13 4" xfId="35275"/>
    <cellStyle name="Header2 5 3 14" xfId="20165"/>
    <cellStyle name="Header2 5 3 14 2" xfId="31982"/>
    <cellStyle name="Header2 5 3 14 2 2" xfId="41981"/>
    <cellStyle name="Header2 5 3 14 3" xfId="36830"/>
    <cellStyle name="Header2 5 3 15" xfId="23099"/>
    <cellStyle name="Header2 5 3 15 2" xfId="22042"/>
    <cellStyle name="Header2 5 3 16" xfId="22493"/>
    <cellStyle name="Header2 5 3 2" xfId="8004"/>
    <cellStyle name="Header2 5 3 2 10" xfId="18609"/>
    <cellStyle name="Header2 5 3 2 10 2" xfId="30426"/>
    <cellStyle name="Header2 5 3 2 10 2 2" xfId="40425"/>
    <cellStyle name="Header2 5 3 2 10 3" xfId="26084"/>
    <cellStyle name="Header2 5 3 2 10 4" xfId="35274"/>
    <cellStyle name="Header2 5 3 2 11" xfId="20266"/>
    <cellStyle name="Header2 5 3 2 11 2" xfId="32083"/>
    <cellStyle name="Header2 5 3 2 11 2 2" xfId="42082"/>
    <cellStyle name="Header2 5 3 2 11 3" xfId="36931"/>
    <cellStyle name="Header2 5 3 2 12" xfId="23098"/>
    <cellStyle name="Header2 5 3 2 12 2" xfId="21280"/>
    <cellStyle name="Header2 5 3 2 13" xfId="22492"/>
    <cellStyle name="Header2 5 3 2 2" xfId="15811"/>
    <cellStyle name="Header2 5 3 2 2 2" xfId="18982"/>
    <cellStyle name="Header2 5 3 2 2 2 2" xfId="30799"/>
    <cellStyle name="Header2 5 3 2 2 2 2 2" xfId="40798"/>
    <cellStyle name="Header2 5 3 2 2 2 3" xfId="26457"/>
    <cellStyle name="Header2 5 3 2 2 2 4" xfId="35647"/>
    <cellStyle name="Header2 5 3 2 2 3" xfId="19588"/>
    <cellStyle name="Header2 5 3 2 2 3 2" xfId="31405"/>
    <cellStyle name="Header2 5 3 2 2 3 2 2" xfId="41404"/>
    <cellStyle name="Header2 5 3 2 2 3 3" xfId="27063"/>
    <cellStyle name="Header2 5 3 2 2 3 4" xfId="36253"/>
    <cellStyle name="Header2 5 3 2 2 4" xfId="18193"/>
    <cellStyle name="Header2 5 3 2 2 4 2" xfId="30010"/>
    <cellStyle name="Header2 5 3 2 2 4 2 2" xfId="40009"/>
    <cellStyle name="Header2 5 3 2 2 4 3" xfId="25768"/>
    <cellStyle name="Header2 5 3 2 2 4 4" xfId="34858"/>
    <cellStyle name="Header2 5 3 2 2 5" xfId="20397"/>
    <cellStyle name="Header2 5 3 2 2 5 2" xfId="32214"/>
    <cellStyle name="Header2 5 3 2 2 5 2 2" xfId="42213"/>
    <cellStyle name="Header2 5 3 2 2 5 3" xfId="37062"/>
    <cellStyle name="Header2 5 3 2 2 6" xfId="23689"/>
    <cellStyle name="Header2 5 3 2 2 6 2" xfId="20974"/>
    <cellStyle name="Header2 5 3 2 2 7" xfId="22789"/>
    <cellStyle name="Header2 5 3 2 2 7 2" xfId="21426"/>
    <cellStyle name="Header2 5 3 2 2 8" xfId="22473"/>
    <cellStyle name="Header2 5 3 2 3" xfId="16392"/>
    <cellStyle name="Header2 5 3 2 3 2" xfId="19285"/>
    <cellStyle name="Header2 5 3 2 3 2 2" xfId="31102"/>
    <cellStyle name="Header2 5 3 2 3 2 2 2" xfId="41101"/>
    <cellStyle name="Header2 5 3 2 3 2 3" xfId="26760"/>
    <cellStyle name="Header2 5 3 2 3 2 4" xfId="35950"/>
    <cellStyle name="Header2 5 3 2 3 3" xfId="19891"/>
    <cellStyle name="Header2 5 3 2 3 3 2" xfId="31708"/>
    <cellStyle name="Header2 5 3 2 3 3 2 2" xfId="41707"/>
    <cellStyle name="Header2 5 3 2 3 3 3" xfId="27366"/>
    <cellStyle name="Header2 5 3 2 3 3 4" xfId="36556"/>
    <cellStyle name="Header2 5 3 2 3 4" xfId="17926"/>
    <cellStyle name="Header2 5 3 2 3 4 2" xfId="29743"/>
    <cellStyle name="Header2 5 3 2 3 4 2 2" xfId="39742"/>
    <cellStyle name="Header2 5 3 2 3 4 3" xfId="25501"/>
    <cellStyle name="Header2 5 3 2 3 4 4" xfId="34591"/>
    <cellStyle name="Header2 5 3 2 3 5" xfId="20700"/>
    <cellStyle name="Header2 5 3 2 3 5 2" xfId="32517"/>
    <cellStyle name="Header2 5 3 2 3 5 2 2" xfId="42516"/>
    <cellStyle name="Header2 5 3 2 3 5 3" xfId="37365"/>
    <cellStyle name="Header2 5 3 2 3 6" xfId="28209"/>
    <cellStyle name="Header2 5 3 2 3 6 2" xfId="38208"/>
    <cellStyle name="Header2 5 3 2 3 7" xfId="21582"/>
    <cellStyle name="Header2 5 3 2 4" xfId="16089"/>
    <cellStyle name="Header2 5 3 2 4 2" xfId="27906"/>
    <cellStyle name="Header2 5 3 2 4 2 2" xfId="37905"/>
    <cellStyle name="Header2 5 3 2 4 3" xfId="23967"/>
    <cellStyle name="Header2 5 3 2 4 4" xfId="33057"/>
    <cellStyle name="Header2 5 3 2 5" xfId="16458"/>
    <cellStyle name="Header2 5 3 2 5 2" xfId="28275"/>
    <cellStyle name="Header2 5 3 2 5 2 2" xfId="38274"/>
    <cellStyle name="Header2 5 3 2 5 3" xfId="24033"/>
    <cellStyle name="Header2 5 3 2 5 4" xfId="33123"/>
    <cellStyle name="Header2 5 3 2 6" xfId="16761"/>
    <cellStyle name="Header2 5 3 2 6 2" xfId="28578"/>
    <cellStyle name="Header2 5 3 2 6 2 2" xfId="38577"/>
    <cellStyle name="Header2 5 3 2 6 3" xfId="24336"/>
    <cellStyle name="Header2 5 3 2 6 4" xfId="33426"/>
    <cellStyle name="Header2 5 3 2 7" xfId="17326"/>
    <cellStyle name="Header2 5 3 2 7 2" xfId="29143"/>
    <cellStyle name="Header2 5 3 2 7 2 2" xfId="39142"/>
    <cellStyle name="Header2 5 3 2 7 3" xfId="24901"/>
    <cellStyle name="Header2 5 3 2 7 4" xfId="33991"/>
    <cellStyle name="Header2 5 3 2 8" xfId="17629"/>
    <cellStyle name="Header2 5 3 2 8 2" xfId="29446"/>
    <cellStyle name="Header2 5 3 2 8 2 2" xfId="39445"/>
    <cellStyle name="Header2 5 3 2 8 3" xfId="25204"/>
    <cellStyle name="Header2 5 3 2 8 4" xfId="34294"/>
    <cellStyle name="Header2 5 3 2 9" xfId="18306"/>
    <cellStyle name="Header2 5 3 2 9 2" xfId="30123"/>
    <cellStyle name="Header2 5 3 2 9 2 2" xfId="40122"/>
    <cellStyle name="Header2 5 3 2 9 3" xfId="25781"/>
    <cellStyle name="Header2 5 3 2 9 4" xfId="34971"/>
    <cellStyle name="Header2 5 3 3" xfId="8005"/>
    <cellStyle name="Header2 5 3 3 10" xfId="18608"/>
    <cellStyle name="Header2 5 3 3 10 2" xfId="30425"/>
    <cellStyle name="Header2 5 3 3 10 2 2" xfId="40424"/>
    <cellStyle name="Header2 5 3 3 10 3" xfId="26083"/>
    <cellStyle name="Header2 5 3 3 10 4" xfId="35273"/>
    <cellStyle name="Header2 5 3 3 11" xfId="18298"/>
    <cellStyle name="Header2 5 3 3 11 2" xfId="30115"/>
    <cellStyle name="Header2 5 3 3 11 2 2" xfId="40114"/>
    <cellStyle name="Header2 5 3 3 11 3" xfId="34963"/>
    <cellStyle name="Header2 5 3 3 12" xfId="23097"/>
    <cellStyle name="Header2 5 3 3 12 2" xfId="22043"/>
    <cellStyle name="Header2 5 3 3 13" xfId="22491"/>
    <cellStyle name="Header2 5 3 3 2" xfId="15812"/>
    <cellStyle name="Header2 5 3 3 2 2" xfId="18981"/>
    <cellStyle name="Header2 5 3 3 2 2 2" xfId="30798"/>
    <cellStyle name="Header2 5 3 3 2 2 2 2" xfId="40797"/>
    <cellStyle name="Header2 5 3 3 2 2 3" xfId="26456"/>
    <cellStyle name="Header2 5 3 3 2 2 4" xfId="35646"/>
    <cellStyle name="Header2 5 3 3 2 3" xfId="19587"/>
    <cellStyle name="Header2 5 3 3 2 3 2" xfId="31404"/>
    <cellStyle name="Header2 5 3 3 2 3 2 2" xfId="41403"/>
    <cellStyle name="Header2 5 3 3 2 3 3" xfId="27062"/>
    <cellStyle name="Header2 5 3 3 2 3 4" xfId="36252"/>
    <cellStyle name="Header2 5 3 3 2 4" xfId="17732"/>
    <cellStyle name="Header2 5 3 3 2 4 2" xfId="29549"/>
    <cellStyle name="Header2 5 3 3 2 4 2 2" xfId="39548"/>
    <cellStyle name="Header2 5 3 3 2 4 3" xfId="25307"/>
    <cellStyle name="Header2 5 3 3 2 4 4" xfId="34397"/>
    <cellStyle name="Header2 5 3 3 2 5" xfId="20396"/>
    <cellStyle name="Header2 5 3 3 2 5 2" xfId="32213"/>
    <cellStyle name="Header2 5 3 3 2 5 2 2" xfId="42212"/>
    <cellStyle name="Header2 5 3 3 2 5 3" xfId="37061"/>
    <cellStyle name="Header2 5 3 3 2 6" xfId="23690"/>
    <cellStyle name="Header2 5 3 3 2 6 2" xfId="21761"/>
    <cellStyle name="Header2 5 3 3 2 7" xfId="22925"/>
    <cellStyle name="Header2 5 3 3 2 7 2" xfId="22152"/>
    <cellStyle name="Header2 5 3 3 2 8" xfId="22474"/>
    <cellStyle name="Header2 5 3 3 3" xfId="16393"/>
    <cellStyle name="Header2 5 3 3 3 2" xfId="19284"/>
    <cellStyle name="Header2 5 3 3 3 2 2" xfId="31101"/>
    <cellStyle name="Header2 5 3 3 3 2 2 2" xfId="41100"/>
    <cellStyle name="Header2 5 3 3 3 2 3" xfId="26759"/>
    <cellStyle name="Header2 5 3 3 3 2 4" xfId="35949"/>
    <cellStyle name="Header2 5 3 3 3 3" xfId="19890"/>
    <cellStyle name="Header2 5 3 3 3 3 2" xfId="31707"/>
    <cellStyle name="Header2 5 3 3 3 3 2 2" xfId="41706"/>
    <cellStyle name="Header2 5 3 3 3 3 3" xfId="27365"/>
    <cellStyle name="Header2 5 3 3 3 3 4" xfId="36555"/>
    <cellStyle name="Header2 5 3 3 3 4" xfId="18121"/>
    <cellStyle name="Header2 5 3 3 3 4 2" xfId="29938"/>
    <cellStyle name="Header2 5 3 3 3 4 2 2" xfId="39937"/>
    <cellStyle name="Header2 5 3 3 3 4 3" xfId="25696"/>
    <cellStyle name="Header2 5 3 3 3 4 4" xfId="34786"/>
    <cellStyle name="Header2 5 3 3 3 5" xfId="20699"/>
    <cellStyle name="Header2 5 3 3 3 5 2" xfId="32516"/>
    <cellStyle name="Header2 5 3 3 3 5 2 2" xfId="42515"/>
    <cellStyle name="Header2 5 3 3 3 5 3" xfId="37364"/>
    <cellStyle name="Header2 5 3 3 3 6" xfId="28210"/>
    <cellStyle name="Header2 5 3 3 3 6 2" xfId="38209"/>
    <cellStyle name="Header2 5 3 3 3 7" xfId="22320"/>
    <cellStyle name="Header2 5 3 3 4" xfId="16090"/>
    <cellStyle name="Header2 5 3 3 4 2" xfId="27907"/>
    <cellStyle name="Header2 5 3 3 4 2 2" xfId="37906"/>
    <cellStyle name="Header2 5 3 3 4 3" xfId="23968"/>
    <cellStyle name="Header2 5 3 3 4 4" xfId="33058"/>
    <cellStyle name="Header2 5 3 3 5" xfId="16457"/>
    <cellStyle name="Header2 5 3 3 5 2" xfId="28274"/>
    <cellStyle name="Header2 5 3 3 5 2 2" xfId="38273"/>
    <cellStyle name="Header2 5 3 3 5 3" xfId="24032"/>
    <cellStyle name="Header2 5 3 3 5 4" xfId="33122"/>
    <cellStyle name="Header2 5 3 3 6" xfId="16760"/>
    <cellStyle name="Header2 5 3 3 6 2" xfId="28577"/>
    <cellStyle name="Header2 5 3 3 6 2 2" xfId="38576"/>
    <cellStyle name="Header2 5 3 3 6 3" xfId="24335"/>
    <cellStyle name="Header2 5 3 3 6 4" xfId="33425"/>
    <cellStyle name="Header2 5 3 3 7" xfId="17327"/>
    <cellStyle name="Header2 5 3 3 7 2" xfId="29144"/>
    <cellStyle name="Header2 5 3 3 7 2 2" xfId="39143"/>
    <cellStyle name="Header2 5 3 3 7 3" xfId="24902"/>
    <cellStyle name="Header2 5 3 3 7 4" xfId="33992"/>
    <cellStyle name="Header2 5 3 3 8" xfId="17630"/>
    <cellStyle name="Header2 5 3 3 8 2" xfId="29447"/>
    <cellStyle name="Header2 5 3 3 8 2 2" xfId="39446"/>
    <cellStyle name="Header2 5 3 3 8 3" xfId="25205"/>
    <cellStyle name="Header2 5 3 3 8 4" xfId="34295"/>
    <cellStyle name="Header2 5 3 3 9" xfId="18305"/>
    <cellStyle name="Header2 5 3 3 9 2" xfId="30122"/>
    <cellStyle name="Header2 5 3 3 9 2 2" xfId="40121"/>
    <cellStyle name="Header2 5 3 3 9 3" xfId="25780"/>
    <cellStyle name="Header2 5 3 3 9 4" xfId="34970"/>
    <cellStyle name="Header2 5 3 4" xfId="8006"/>
    <cellStyle name="Header2 5 3 4 10" xfId="18607"/>
    <cellStyle name="Header2 5 3 4 10 2" xfId="30424"/>
    <cellStyle name="Header2 5 3 4 10 2 2" xfId="40423"/>
    <cellStyle name="Header2 5 3 4 10 3" xfId="26082"/>
    <cellStyle name="Header2 5 3 4 10 4" xfId="35272"/>
    <cellStyle name="Header2 5 3 4 11" xfId="20161"/>
    <cellStyle name="Header2 5 3 4 11 2" xfId="31978"/>
    <cellStyle name="Header2 5 3 4 11 2 2" xfId="41977"/>
    <cellStyle name="Header2 5 3 4 11 3" xfId="36826"/>
    <cellStyle name="Header2 5 3 4 12" xfId="23096"/>
    <cellStyle name="Header2 5 3 4 12 2" xfId="22044"/>
    <cellStyle name="Header2 5 3 4 13" xfId="22490"/>
    <cellStyle name="Header2 5 3 4 2" xfId="15813"/>
    <cellStyle name="Header2 5 3 4 2 2" xfId="18980"/>
    <cellStyle name="Header2 5 3 4 2 2 2" xfId="30797"/>
    <cellStyle name="Header2 5 3 4 2 2 2 2" xfId="40796"/>
    <cellStyle name="Header2 5 3 4 2 2 3" xfId="26455"/>
    <cellStyle name="Header2 5 3 4 2 2 4" xfId="35645"/>
    <cellStyle name="Header2 5 3 4 2 3" xfId="19586"/>
    <cellStyle name="Header2 5 3 4 2 3 2" xfId="31403"/>
    <cellStyle name="Header2 5 3 4 2 3 2 2" xfId="41402"/>
    <cellStyle name="Header2 5 3 4 2 3 3" xfId="27061"/>
    <cellStyle name="Header2 5 3 4 2 3 4" xfId="36251"/>
    <cellStyle name="Header2 5 3 4 2 4" xfId="17833"/>
    <cellStyle name="Header2 5 3 4 2 4 2" xfId="29650"/>
    <cellStyle name="Header2 5 3 4 2 4 2 2" xfId="39649"/>
    <cellStyle name="Header2 5 3 4 2 4 3" xfId="25408"/>
    <cellStyle name="Header2 5 3 4 2 4 4" xfId="34498"/>
    <cellStyle name="Header2 5 3 4 2 5" xfId="20395"/>
    <cellStyle name="Header2 5 3 4 2 5 2" xfId="32212"/>
    <cellStyle name="Header2 5 3 4 2 5 2 2" xfId="42211"/>
    <cellStyle name="Header2 5 3 4 2 5 3" xfId="37060"/>
    <cellStyle name="Header2 5 3 4 2 6" xfId="23691"/>
    <cellStyle name="Header2 5 3 4 2 6 2" xfId="21760"/>
    <cellStyle name="Header2 5 3 4 2 7" xfId="22924"/>
    <cellStyle name="Header2 5 3 4 2 7 2" xfId="22153"/>
    <cellStyle name="Header2 5 3 4 2 8" xfId="22475"/>
    <cellStyle name="Header2 5 3 4 3" xfId="16394"/>
    <cellStyle name="Header2 5 3 4 3 2" xfId="19283"/>
    <cellStyle name="Header2 5 3 4 3 2 2" xfId="31100"/>
    <cellStyle name="Header2 5 3 4 3 2 2 2" xfId="41099"/>
    <cellStyle name="Header2 5 3 4 3 2 3" xfId="26758"/>
    <cellStyle name="Header2 5 3 4 3 2 4" xfId="35948"/>
    <cellStyle name="Header2 5 3 4 3 3" xfId="19889"/>
    <cellStyle name="Header2 5 3 4 3 3 2" xfId="31706"/>
    <cellStyle name="Header2 5 3 4 3 3 2 2" xfId="41705"/>
    <cellStyle name="Header2 5 3 4 3 3 3" xfId="27364"/>
    <cellStyle name="Header2 5 3 4 3 3 4" xfId="36554"/>
    <cellStyle name="Header2 5 3 4 3 4" xfId="17927"/>
    <cellStyle name="Header2 5 3 4 3 4 2" xfId="29744"/>
    <cellStyle name="Header2 5 3 4 3 4 2 2" xfId="39743"/>
    <cellStyle name="Header2 5 3 4 3 4 3" xfId="25502"/>
    <cellStyle name="Header2 5 3 4 3 4 4" xfId="34592"/>
    <cellStyle name="Header2 5 3 4 3 5" xfId="20698"/>
    <cellStyle name="Header2 5 3 4 3 5 2" xfId="32515"/>
    <cellStyle name="Header2 5 3 4 3 5 2 2" xfId="42514"/>
    <cellStyle name="Header2 5 3 4 3 5 3" xfId="37363"/>
    <cellStyle name="Header2 5 3 4 3 6" xfId="28211"/>
    <cellStyle name="Header2 5 3 4 3 6 2" xfId="38210"/>
    <cellStyle name="Header2 5 3 4 3 7" xfId="22321"/>
    <cellStyle name="Header2 5 3 4 4" xfId="16091"/>
    <cellStyle name="Header2 5 3 4 4 2" xfId="27908"/>
    <cellStyle name="Header2 5 3 4 4 2 2" xfId="37907"/>
    <cellStyle name="Header2 5 3 4 4 3" xfId="23969"/>
    <cellStyle name="Header2 5 3 4 4 4" xfId="33059"/>
    <cellStyle name="Header2 5 3 4 5" xfId="16456"/>
    <cellStyle name="Header2 5 3 4 5 2" xfId="28273"/>
    <cellStyle name="Header2 5 3 4 5 2 2" xfId="38272"/>
    <cellStyle name="Header2 5 3 4 5 3" xfId="24031"/>
    <cellStyle name="Header2 5 3 4 5 4" xfId="33121"/>
    <cellStyle name="Header2 5 3 4 6" xfId="16759"/>
    <cellStyle name="Header2 5 3 4 6 2" xfId="28576"/>
    <cellStyle name="Header2 5 3 4 6 2 2" xfId="38575"/>
    <cellStyle name="Header2 5 3 4 6 3" xfId="24334"/>
    <cellStyle name="Header2 5 3 4 6 4" xfId="33424"/>
    <cellStyle name="Header2 5 3 4 7" xfId="17328"/>
    <cellStyle name="Header2 5 3 4 7 2" xfId="29145"/>
    <cellStyle name="Header2 5 3 4 7 2 2" xfId="39144"/>
    <cellStyle name="Header2 5 3 4 7 3" xfId="24903"/>
    <cellStyle name="Header2 5 3 4 7 4" xfId="33993"/>
    <cellStyle name="Header2 5 3 4 8" xfId="17631"/>
    <cellStyle name="Header2 5 3 4 8 2" xfId="29448"/>
    <cellStyle name="Header2 5 3 4 8 2 2" xfId="39447"/>
    <cellStyle name="Header2 5 3 4 8 3" xfId="25206"/>
    <cellStyle name="Header2 5 3 4 8 4" xfId="34296"/>
    <cellStyle name="Header2 5 3 4 9" xfId="18304"/>
    <cellStyle name="Header2 5 3 4 9 2" xfId="30121"/>
    <cellStyle name="Header2 5 3 4 9 2 2" xfId="40120"/>
    <cellStyle name="Header2 5 3 4 9 3" xfId="25779"/>
    <cellStyle name="Header2 5 3 4 9 4" xfId="34969"/>
    <cellStyle name="Header2 5 3 5" xfId="15810"/>
    <cellStyle name="Header2 5 3 5 2" xfId="18983"/>
    <cellStyle name="Header2 5 3 5 2 2" xfId="30800"/>
    <cellStyle name="Header2 5 3 5 2 2 2" xfId="40799"/>
    <cellStyle name="Header2 5 3 5 2 3" xfId="26458"/>
    <cellStyle name="Header2 5 3 5 2 4" xfId="35648"/>
    <cellStyle name="Header2 5 3 5 3" xfId="19589"/>
    <cellStyle name="Header2 5 3 5 3 2" xfId="31406"/>
    <cellStyle name="Header2 5 3 5 3 2 2" xfId="41405"/>
    <cellStyle name="Header2 5 3 5 3 3" xfId="27064"/>
    <cellStyle name="Header2 5 3 5 3 4" xfId="36254"/>
    <cellStyle name="Header2 5 3 5 4" xfId="18027"/>
    <cellStyle name="Header2 5 3 5 4 2" xfId="29844"/>
    <cellStyle name="Header2 5 3 5 4 2 2" xfId="39843"/>
    <cellStyle name="Header2 5 3 5 4 3" xfId="25602"/>
    <cellStyle name="Header2 5 3 5 4 4" xfId="34692"/>
    <cellStyle name="Header2 5 3 5 5" xfId="20398"/>
    <cellStyle name="Header2 5 3 5 5 2" xfId="32215"/>
    <cellStyle name="Header2 5 3 5 5 2 2" xfId="42214"/>
    <cellStyle name="Header2 5 3 5 5 3" xfId="37063"/>
    <cellStyle name="Header2 5 3 5 6" xfId="23688"/>
    <cellStyle name="Header2 5 3 5 6 2" xfId="20971"/>
    <cellStyle name="Header2 5 3 5 7" xfId="22790"/>
    <cellStyle name="Header2 5 3 5 7 2" xfId="21425"/>
    <cellStyle name="Header2 5 3 5 8" xfId="21731"/>
    <cellStyle name="Header2 5 3 6" xfId="16391"/>
    <cellStyle name="Header2 5 3 6 2" xfId="19286"/>
    <cellStyle name="Header2 5 3 6 2 2" xfId="31103"/>
    <cellStyle name="Header2 5 3 6 2 2 2" xfId="41102"/>
    <cellStyle name="Header2 5 3 6 2 3" xfId="26761"/>
    <cellStyle name="Header2 5 3 6 2 4" xfId="35951"/>
    <cellStyle name="Header2 5 3 6 3" xfId="19892"/>
    <cellStyle name="Header2 5 3 6 3 2" xfId="31709"/>
    <cellStyle name="Header2 5 3 6 3 2 2" xfId="41708"/>
    <cellStyle name="Header2 5 3 6 3 3" xfId="27367"/>
    <cellStyle name="Header2 5 3 6 3 4" xfId="36557"/>
    <cellStyle name="Header2 5 3 6 4" xfId="17668"/>
    <cellStyle name="Header2 5 3 6 4 2" xfId="29485"/>
    <cellStyle name="Header2 5 3 6 4 2 2" xfId="39484"/>
    <cellStyle name="Header2 5 3 6 4 3" xfId="25243"/>
    <cellStyle name="Header2 5 3 6 4 4" xfId="34333"/>
    <cellStyle name="Header2 5 3 6 5" xfId="20701"/>
    <cellStyle name="Header2 5 3 6 5 2" xfId="32518"/>
    <cellStyle name="Header2 5 3 6 5 2 2" xfId="42517"/>
    <cellStyle name="Header2 5 3 6 5 3" xfId="37366"/>
    <cellStyle name="Header2 5 3 6 6" xfId="28208"/>
    <cellStyle name="Header2 5 3 6 6 2" xfId="38207"/>
    <cellStyle name="Header2 5 3 6 7" xfId="22319"/>
    <cellStyle name="Header2 5 3 7" xfId="16088"/>
    <cellStyle name="Header2 5 3 7 2" xfId="27905"/>
    <cellStyle name="Header2 5 3 7 2 2" xfId="37904"/>
    <cellStyle name="Header2 5 3 7 3" xfId="23966"/>
    <cellStyle name="Header2 5 3 7 4" xfId="33056"/>
    <cellStyle name="Header2 5 3 8" xfId="16459"/>
    <cellStyle name="Header2 5 3 8 2" xfId="28276"/>
    <cellStyle name="Header2 5 3 8 2 2" xfId="38275"/>
    <cellStyle name="Header2 5 3 8 3" xfId="24034"/>
    <cellStyle name="Header2 5 3 8 4" xfId="33124"/>
    <cellStyle name="Header2 5 3 9" xfId="16762"/>
    <cellStyle name="Header2 5 3 9 2" xfId="28579"/>
    <cellStyle name="Header2 5 3 9 2 2" xfId="38578"/>
    <cellStyle name="Header2 5 3 9 3" xfId="24337"/>
    <cellStyle name="Header2 5 3 9 4" xfId="33427"/>
    <cellStyle name="Header2 5 4" xfId="8007"/>
    <cellStyle name="Header2 5 4 10" xfId="17329"/>
    <cellStyle name="Header2 5 4 10 2" xfId="29146"/>
    <cellStyle name="Header2 5 4 10 2 2" xfId="39145"/>
    <cellStyle name="Header2 5 4 10 3" xfId="24904"/>
    <cellStyle name="Header2 5 4 10 4" xfId="33994"/>
    <cellStyle name="Header2 5 4 11" xfId="17632"/>
    <cellStyle name="Header2 5 4 11 2" xfId="29449"/>
    <cellStyle name="Header2 5 4 11 2 2" xfId="39448"/>
    <cellStyle name="Header2 5 4 11 3" xfId="25207"/>
    <cellStyle name="Header2 5 4 11 4" xfId="34297"/>
    <cellStyle name="Header2 5 4 12" xfId="18303"/>
    <cellStyle name="Header2 5 4 12 2" xfId="30120"/>
    <cellStyle name="Header2 5 4 12 2 2" xfId="40119"/>
    <cellStyle name="Header2 5 4 12 3" xfId="25778"/>
    <cellStyle name="Header2 5 4 12 4" xfId="34968"/>
    <cellStyle name="Header2 5 4 13" xfId="18606"/>
    <cellStyle name="Header2 5 4 13 2" xfId="30423"/>
    <cellStyle name="Header2 5 4 13 2 2" xfId="40422"/>
    <cellStyle name="Header2 5 4 13 3" xfId="26081"/>
    <cellStyle name="Header2 5 4 13 4" xfId="35271"/>
    <cellStyle name="Header2 5 4 14" xfId="20262"/>
    <cellStyle name="Header2 5 4 14 2" xfId="32079"/>
    <cellStyle name="Header2 5 4 14 2 2" xfId="42078"/>
    <cellStyle name="Header2 5 4 14 3" xfId="36927"/>
    <cellStyle name="Header2 5 4 15" xfId="23095"/>
    <cellStyle name="Header2 5 4 15 2" xfId="22045"/>
    <cellStyle name="Header2 5 4 16" xfId="22489"/>
    <cellStyle name="Header2 5 4 2" xfId="8008"/>
    <cellStyle name="Header2 5 4 2 10" xfId="18605"/>
    <cellStyle name="Header2 5 4 2 10 2" xfId="30422"/>
    <cellStyle name="Header2 5 4 2 10 2 2" xfId="40421"/>
    <cellStyle name="Header2 5 4 2 10 3" xfId="26080"/>
    <cellStyle name="Header2 5 4 2 10 4" xfId="35270"/>
    <cellStyle name="Header2 5 4 2 11" xfId="20180"/>
    <cellStyle name="Header2 5 4 2 11 2" xfId="31997"/>
    <cellStyle name="Header2 5 4 2 11 2 2" xfId="41996"/>
    <cellStyle name="Header2 5 4 2 11 3" xfId="36845"/>
    <cellStyle name="Header2 5 4 2 12" xfId="23094"/>
    <cellStyle name="Header2 5 4 2 12 2" xfId="22046"/>
    <cellStyle name="Header2 5 4 2 13" xfId="22488"/>
    <cellStyle name="Header2 5 4 2 2" xfId="15815"/>
    <cellStyle name="Header2 5 4 2 2 2" xfId="18978"/>
    <cellStyle name="Header2 5 4 2 2 2 2" xfId="30795"/>
    <cellStyle name="Header2 5 4 2 2 2 2 2" xfId="40794"/>
    <cellStyle name="Header2 5 4 2 2 2 3" xfId="26453"/>
    <cellStyle name="Header2 5 4 2 2 2 4" xfId="35643"/>
    <cellStyle name="Header2 5 4 2 2 3" xfId="19584"/>
    <cellStyle name="Header2 5 4 2 2 3 2" xfId="31401"/>
    <cellStyle name="Header2 5 4 2 2 3 2 2" xfId="41400"/>
    <cellStyle name="Header2 5 4 2 2 3 3" xfId="27059"/>
    <cellStyle name="Header2 5 4 2 2 3 4" xfId="36249"/>
    <cellStyle name="Header2 5 4 2 2 4" xfId="17834"/>
    <cellStyle name="Header2 5 4 2 2 4 2" xfId="29651"/>
    <cellStyle name="Header2 5 4 2 2 4 2 2" xfId="39650"/>
    <cellStyle name="Header2 5 4 2 2 4 3" xfId="25409"/>
    <cellStyle name="Header2 5 4 2 2 4 4" xfId="34499"/>
    <cellStyle name="Header2 5 4 2 2 5" xfId="20393"/>
    <cellStyle name="Header2 5 4 2 2 5 2" xfId="32210"/>
    <cellStyle name="Header2 5 4 2 2 5 2 2" xfId="42209"/>
    <cellStyle name="Header2 5 4 2 2 5 3" xfId="37058"/>
    <cellStyle name="Header2 5 4 2 2 6" xfId="23693"/>
    <cellStyle name="Header2 5 4 2 2 6 2" xfId="21758"/>
    <cellStyle name="Header2 5 4 2 2 7" xfId="22922"/>
    <cellStyle name="Header2 5 4 2 2 7 2" xfId="22155"/>
    <cellStyle name="Header2 5 4 2 2 8" xfId="22476"/>
    <cellStyle name="Header2 5 4 2 3" xfId="16396"/>
    <cellStyle name="Header2 5 4 2 3 2" xfId="19281"/>
    <cellStyle name="Header2 5 4 2 3 2 2" xfId="31098"/>
    <cellStyle name="Header2 5 4 2 3 2 2 2" xfId="41097"/>
    <cellStyle name="Header2 5 4 2 3 2 3" xfId="26756"/>
    <cellStyle name="Header2 5 4 2 3 2 4" xfId="35946"/>
    <cellStyle name="Header2 5 4 2 3 3" xfId="19887"/>
    <cellStyle name="Header2 5 4 2 3 3 2" xfId="31704"/>
    <cellStyle name="Header2 5 4 2 3 3 2 2" xfId="41703"/>
    <cellStyle name="Header2 5 4 2 3 3 3" xfId="27362"/>
    <cellStyle name="Header2 5 4 2 3 3 4" xfId="36552"/>
    <cellStyle name="Header2 5 4 2 3 4" xfId="17929"/>
    <cellStyle name="Header2 5 4 2 3 4 2" xfId="29746"/>
    <cellStyle name="Header2 5 4 2 3 4 2 2" xfId="39745"/>
    <cellStyle name="Header2 5 4 2 3 4 3" xfId="25504"/>
    <cellStyle name="Header2 5 4 2 3 4 4" xfId="34594"/>
    <cellStyle name="Header2 5 4 2 3 5" xfId="20696"/>
    <cellStyle name="Header2 5 4 2 3 5 2" xfId="32513"/>
    <cellStyle name="Header2 5 4 2 3 5 2 2" xfId="42512"/>
    <cellStyle name="Header2 5 4 2 3 5 3" xfId="37361"/>
    <cellStyle name="Header2 5 4 2 3 6" xfId="28213"/>
    <cellStyle name="Header2 5 4 2 3 6 2" xfId="38212"/>
    <cellStyle name="Header2 5 4 2 3 7" xfId="22323"/>
    <cellStyle name="Header2 5 4 2 4" xfId="16093"/>
    <cellStyle name="Header2 5 4 2 4 2" xfId="27910"/>
    <cellStyle name="Header2 5 4 2 4 2 2" xfId="37909"/>
    <cellStyle name="Header2 5 4 2 4 3" xfId="23971"/>
    <cellStyle name="Header2 5 4 2 4 4" xfId="33061"/>
    <cellStyle name="Header2 5 4 2 5" xfId="16454"/>
    <cellStyle name="Header2 5 4 2 5 2" xfId="28271"/>
    <cellStyle name="Header2 5 4 2 5 2 2" xfId="38270"/>
    <cellStyle name="Header2 5 4 2 5 3" xfId="24029"/>
    <cellStyle name="Header2 5 4 2 5 4" xfId="33119"/>
    <cellStyle name="Header2 5 4 2 6" xfId="16757"/>
    <cellStyle name="Header2 5 4 2 6 2" xfId="28574"/>
    <cellStyle name="Header2 5 4 2 6 2 2" xfId="38573"/>
    <cellStyle name="Header2 5 4 2 6 3" xfId="24332"/>
    <cellStyle name="Header2 5 4 2 6 4" xfId="33422"/>
    <cellStyle name="Header2 5 4 2 7" xfId="17330"/>
    <cellStyle name="Header2 5 4 2 7 2" xfId="29147"/>
    <cellStyle name="Header2 5 4 2 7 2 2" xfId="39146"/>
    <cellStyle name="Header2 5 4 2 7 3" xfId="24905"/>
    <cellStyle name="Header2 5 4 2 7 4" xfId="33995"/>
    <cellStyle name="Header2 5 4 2 8" xfId="17633"/>
    <cellStyle name="Header2 5 4 2 8 2" xfId="29450"/>
    <cellStyle name="Header2 5 4 2 8 2 2" xfId="39449"/>
    <cellStyle name="Header2 5 4 2 8 3" xfId="25208"/>
    <cellStyle name="Header2 5 4 2 8 4" xfId="34298"/>
    <cellStyle name="Header2 5 4 2 9" xfId="18302"/>
    <cellStyle name="Header2 5 4 2 9 2" xfId="30119"/>
    <cellStyle name="Header2 5 4 2 9 2 2" xfId="40118"/>
    <cellStyle name="Header2 5 4 2 9 3" xfId="25777"/>
    <cellStyle name="Header2 5 4 2 9 4" xfId="34967"/>
    <cellStyle name="Header2 5 4 3" xfId="8009"/>
    <cellStyle name="Header2 5 4 3 10" xfId="18604"/>
    <cellStyle name="Header2 5 4 3 10 2" xfId="30421"/>
    <cellStyle name="Header2 5 4 3 10 2 2" xfId="40420"/>
    <cellStyle name="Header2 5 4 3 10 3" xfId="26079"/>
    <cellStyle name="Header2 5 4 3 10 4" xfId="35269"/>
    <cellStyle name="Header2 5 4 3 11" xfId="20281"/>
    <cellStyle name="Header2 5 4 3 11 2" xfId="32098"/>
    <cellStyle name="Header2 5 4 3 11 2 2" xfId="42097"/>
    <cellStyle name="Header2 5 4 3 11 3" xfId="36946"/>
    <cellStyle name="Header2 5 4 3 12" xfId="23093"/>
    <cellStyle name="Header2 5 4 3 12 2" xfId="22047"/>
    <cellStyle name="Header2 5 4 3 13" xfId="22487"/>
    <cellStyle name="Header2 5 4 3 2" xfId="15816"/>
    <cellStyle name="Header2 5 4 3 2 2" xfId="18977"/>
    <cellStyle name="Header2 5 4 3 2 2 2" xfId="30794"/>
    <cellStyle name="Header2 5 4 3 2 2 2 2" xfId="40793"/>
    <cellStyle name="Header2 5 4 3 2 2 3" xfId="26452"/>
    <cellStyle name="Header2 5 4 3 2 2 4" xfId="35642"/>
    <cellStyle name="Header2 5 4 3 2 3" xfId="19583"/>
    <cellStyle name="Header2 5 4 3 2 3 2" xfId="31400"/>
    <cellStyle name="Header2 5 4 3 2 3 2 2" xfId="41399"/>
    <cellStyle name="Header2 5 4 3 2 3 3" xfId="27058"/>
    <cellStyle name="Header2 5 4 3 2 3 4" xfId="36248"/>
    <cellStyle name="Header2 5 4 3 2 4" xfId="17835"/>
    <cellStyle name="Header2 5 4 3 2 4 2" xfId="29652"/>
    <cellStyle name="Header2 5 4 3 2 4 2 2" xfId="39651"/>
    <cellStyle name="Header2 5 4 3 2 4 3" xfId="25410"/>
    <cellStyle name="Header2 5 4 3 2 4 4" xfId="34500"/>
    <cellStyle name="Header2 5 4 3 2 5" xfId="20392"/>
    <cellStyle name="Header2 5 4 3 2 5 2" xfId="32209"/>
    <cellStyle name="Header2 5 4 3 2 5 2 2" xfId="42208"/>
    <cellStyle name="Header2 5 4 3 2 5 3" xfId="37057"/>
    <cellStyle name="Header2 5 4 3 2 6" xfId="23694"/>
    <cellStyle name="Header2 5 4 3 2 6 2" xfId="21757"/>
    <cellStyle name="Header2 5 4 3 2 7" xfId="22921"/>
    <cellStyle name="Header2 5 4 3 2 7 2" xfId="22156"/>
    <cellStyle name="Header2 5 4 3 2 8" xfId="22477"/>
    <cellStyle name="Header2 5 4 3 3" xfId="16397"/>
    <cellStyle name="Header2 5 4 3 3 2" xfId="19280"/>
    <cellStyle name="Header2 5 4 3 3 2 2" xfId="31097"/>
    <cellStyle name="Header2 5 4 3 3 2 2 2" xfId="41096"/>
    <cellStyle name="Header2 5 4 3 3 2 3" xfId="26755"/>
    <cellStyle name="Header2 5 4 3 3 2 4" xfId="35945"/>
    <cellStyle name="Header2 5 4 3 3 3" xfId="19886"/>
    <cellStyle name="Header2 5 4 3 3 3 2" xfId="31703"/>
    <cellStyle name="Header2 5 4 3 3 3 2 2" xfId="41702"/>
    <cellStyle name="Header2 5 4 3 3 3 3" xfId="27361"/>
    <cellStyle name="Header2 5 4 3 3 3 4" xfId="36551"/>
    <cellStyle name="Header2 5 4 3 3 4" xfId="18122"/>
    <cellStyle name="Header2 5 4 3 3 4 2" xfId="29939"/>
    <cellStyle name="Header2 5 4 3 3 4 2 2" xfId="39938"/>
    <cellStyle name="Header2 5 4 3 3 4 3" xfId="25697"/>
    <cellStyle name="Header2 5 4 3 3 4 4" xfId="34787"/>
    <cellStyle name="Header2 5 4 3 3 5" xfId="20695"/>
    <cellStyle name="Header2 5 4 3 3 5 2" xfId="32512"/>
    <cellStyle name="Header2 5 4 3 3 5 2 2" xfId="42511"/>
    <cellStyle name="Header2 5 4 3 3 5 3" xfId="37360"/>
    <cellStyle name="Header2 5 4 3 3 6" xfId="28214"/>
    <cellStyle name="Header2 5 4 3 3 6 2" xfId="38213"/>
    <cellStyle name="Header2 5 4 3 3 7" xfId="22324"/>
    <cellStyle name="Header2 5 4 3 4" xfId="16094"/>
    <cellStyle name="Header2 5 4 3 4 2" xfId="27911"/>
    <cellStyle name="Header2 5 4 3 4 2 2" xfId="37910"/>
    <cellStyle name="Header2 5 4 3 4 3" xfId="23972"/>
    <cellStyle name="Header2 5 4 3 4 4" xfId="33062"/>
    <cellStyle name="Header2 5 4 3 5" xfId="16453"/>
    <cellStyle name="Header2 5 4 3 5 2" xfId="28270"/>
    <cellStyle name="Header2 5 4 3 5 2 2" xfId="38269"/>
    <cellStyle name="Header2 5 4 3 5 3" xfId="24028"/>
    <cellStyle name="Header2 5 4 3 5 4" xfId="33118"/>
    <cellStyle name="Header2 5 4 3 6" xfId="16756"/>
    <cellStyle name="Header2 5 4 3 6 2" xfId="28573"/>
    <cellStyle name="Header2 5 4 3 6 2 2" xfId="38572"/>
    <cellStyle name="Header2 5 4 3 6 3" xfId="24331"/>
    <cellStyle name="Header2 5 4 3 6 4" xfId="33421"/>
    <cellStyle name="Header2 5 4 3 7" xfId="17331"/>
    <cellStyle name="Header2 5 4 3 7 2" xfId="29148"/>
    <cellStyle name="Header2 5 4 3 7 2 2" xfId="39147"/>
    <cellStyle name="Header2 5 4 3 7 3" xfId="24906"/>
    <cellStyle name="Header2 5 4 3 7 4" xfId="33996"/>
    <cellStyle name="Header2 5 4 3 8" xfId="17634"/>
    <cellStyle name="Header2 5 4 3 8 2" xfId="29451"/>
    <cellStyle name="Header2 5 4 3 8 2 2" xfId="39450"/>
    <cellStyle name="Header2 5 4 3 8 3" xfId="25209"/>
    <cellStyle name="Header2 5 4 3 8 4" xfId="34299"/>
    <cellStyle name="Header2 5 4 3 9" xfId="18301"/>
    <cellStyle name="Header2 5 4 3 9 2" xfId="30118"/>
    <cellStyle name="Header2 5 4 3 9 2 2" xfId="40117"/>
    <cellStyle name="Header2 5 4 3 9 3" xfId="25776"/>
    <cellStyle name="Header2 5 4 3 9 4" xfId="34966"/>
    <cellStyle name="Header2 5 4 4" xfId="8010"/>
    <cellStyle name="Header2 5 4 4 10" xfId="18603"/>
    <cellStyle name="Header2 5 4 4 10 2" xfId="30420"/>
    <cellStyle name="Header2 5 4 4 10 2 2" xfId="40419"/>
    <cellStyle name="Header2 5 4 4 10 3" xfId="26078"/>
    <cellStyle name="Header2 5 4 4 10 4" xfId="35268"/>
    <cellStyle name="Header2 5 4 4 11" xfId="20261"/>
    <cellStyle name="Header2 5 4 4 11 2" xfId="32078"/>
    <cellStyle name="Header2 5 4 4 11 2 2" xfId="42077"/>
    <cellStyle name="Header2 5 4 4 11 3" xfId="36926"/>
    <cellStyle name="Header2 5 4 4 12" xfId="23092"/>
    <cellStyle name="Header2 5 4 4 12 2" xfId="21281"/>
    <cellStyle name="Header2 5 4 4 13" xfId="22486"/>
    <cellStyle name="Header2 5 4 4 2" xfId="15817"/>
    <cellStyle name="Header2 5 4 4 2 2" xfId="18976"/>
    <cellStyle name="Header2 5 4 4 2 2 2" xfId="30793"/>
    <cellStyle name="Header2 5 4 4 2 2 2 2" xfId="40792"/>
    <cellStyle name="Header2 5 4 4 2 2 3" xfId="26451"/>
    <cellStyle name="Header2 5 4 4 2 2 4" xfId="35641"/>
    <cellStyle name="Header2 5 4 4 2 3" xfId="19582"/>
    <cellStyle name="Header2 5 4 4 2 3 2" xfId="31399"/>
    <cellStyle name="Header2 5 4 4 2 3 2 2" xfId="41398"/>
    <cellStyle name="Header2 5 4 4 2 3 3" xfId="27057"/>
    <cellStyle name="Header2 5 4 4 2 3 4" xfId="36247"/>
    <cellStyle name="Header2 5 4 4 2 4" xfId="18194"/>
    <cellStyle name="Header2 5 4 4 2 4 2" xfId="30011"/>
    <cellStyle name="Header2 5 4 4 2 4 2 2" xfId="40010"/>
    <cellStyle name="Header2 5 4 4 2 4 3" xfId="25769"/>
    <cellStyle name="Header2 5 4 4 2 4 4" xfId="34859"/>
    <cellStyle name="Header2 5 4 4 2 5" xfId="20391"/>
    <cellStyle name="Header2 5 4 4 2 5 2" xfId="32208"/>
    <cellStyle name="Header2 5 4 4 2 5 2 2" xfId="42207"/>
    <cellStyle name="Header2 5 4 4 2 5 3" xfId="37056"/>
    <cellStyle name="Header2 5 4 4 2 6" xfId="23695"/>
    <cellStyle name="Header2 5 4 4 2 6 2" xfId="20970"/>
    <cellStyle name="Header2 5 4 4 2 7" xfId="22788"/>
    <cellStyle name="Header2 5 4 4 2 7 2" xfId="21427"/>
    <cellStyle name="Header2 5 4 4 2 8" xfId="22478"/>
    <cellStyle name="Header2 5 4 4 3" xfId="16398"/>
    <cellStyle name="Header2 5 4 4 3 2" xfId="19279"/>
    <cellStyle name="Header2 5 4 4 3 2 2" xfId="31096"/>
    <cellStyle name="Header2 5 4 4 3 2 2 2" xfId="41095"/>
    <cellStyle name="Header2 5 4 4 3 2 3" xfId="26754"/>
    <cellStyle name="Header2 5 4 4 3 2 4" xfId="35944"/>
    <cellStyle name="Header2 5 4 4 3 3" xfId="19885"/>
    <cellStyle name="Header2 5 4 4 3 3 2" xfId="31702"/>
    <cellStyle name="Header2 5 4 4 3 3 2 2" xfId="41701"/>
    <cellStyle name="Header2 5 4 4 3 3 3" xfId="27360"/>
    <cellStyle name="Header2 5 4 4 3 3 4" xfId="36550"/>
    <cellStyle name="Header2 5 4 4 3 4" xfId="17930"/>
    <cellStyle name="Header2 5 4 4 3 4 2" xfId="29747"/>
    <cellStyle name="Header2 5 4 4 3 4 2 2" xfId="39746"/>
    <cellStyle name="Header2 5 4 4 3 4 3" xfId="25505"/>
    <cellStyle name="Header2 5 4 4 3 4 4" xfId="34595"/>
    <cellStyle name="Header2 5 4 4 3 5" xfId="20694"/>
    <cellStyle name="Header2 5 4 4 3 5 2" xfId="32511"/>
    <cellStyle name="Header2 5 4 4 3 5 2 2" xfId="42510"/>
    <cellStyle name="Header2 5 4 4 3 5 3" xfId="37359"/>
    <cellStyle name="Header2 5 4 4 3 6" xfId="28215"/>
    <cellStyle name="Header2 5 4 4 3 6 2" xfId="38214"/>
    <cellStyle name="Header2 5 4 4 3 7" xfId="21583"/>
    <cellStyle name="Header2 5 4 4 4" xfId="16095"/>
    <cellStyle name="Header2 5 4 4 4 2" xfId="27912"/>
    <cellStyle name="Header2 5 4 4 4 2 2" xfId="37911"/>
    <cellStyle name="Header2 5 4 4 4 3" xfId="23973"/>
    <cellStyle name="Header2 5 4 4 4 4" xfId="33063"/>
    <cellStyle name="Header2 5 4 4 5" xfId="16452"/>
    <cellStyle name="Header2 5 4 4 5 2" xfId="28269"/>
    <cellStyle name="Header2 5 4 4 5 2 2" xfId="38268"/>
    <cellStyle name="Header2 5 4 4 5 3" xfId="24027"/>
    <cellStyle name="Header2 5 4 4 5 4" xfId="33117"/>
    <cellStyle name="Header2 5 4 4 6" xfId="16755"/>
    <cellStyle name="Header2 5 4 4 6 2" xfId="28572"/>
    <cellStyle name="Header2 5 4 4 6 2 2" xfId="38571"/>
    <cellStyle name="Header2 5 4 4 6 3" xfId="24330"/>
    <cellStyle name="Header2 5 4 4 6 4" xfId="33420"/>
    <cellStyle name="Header2 5 4 4 7" xfId="17332"/>
    <cellStyle name="Header2 5 4 4 7 2" xfId="29149"/>
    <cellStyle name="Header2 5 4 4 7 2 2" xfId="39148"/>
    <cellStyle name="Header2 5 4 4 7 3" xfId="24907"/>
    <cellStyle name="Header2 5 4 4 7 4" xfId="33997"/>
    <cellStyle name="Header2 5 4 4 8" xfId="17635"/>
    <cellStyle name="Header2 5 4 4 8 2" xfId="29452"/>
    <cellStyle name="Header2 5 4 4 8 2 2" xfId="39451"/>
    <cellStyle name="Header2 5 4 4 8 3" xfId="25210"/>
    <cellStyle name="Header2 5 4 4 8 4" xfId="34300"/>
    <cellStyle name="Header2 5 4 4 9" xfId="18300"/>
    <cellStyle name="Header2 5 4 4 9 2" xfId="30117"/>
    <cellStyle name="Header2 5 4 4 9 2 2" xfId="40116"/>
    <cellStyle name="Header2 5 4 4 9 3" xfId="25775"/>
    <cellStyle name="Header2 5 4 4 9 4" xfId="34965"/>
    <cellStyle name="Header2 5 4 5" xfId="15814"/>
    <cellStyle name="Header2 5 4 5 2" xfId="18979"/>
    <cellStyle name="Header2 5 4 5 2 2" xfId="30796"/>
    <cellStyle name="Header2 5 4 5 2 2 2" xfId="40795"/>
    <cellStyle name="Header2 5 4 5 2 3" xfId="26454"/>
    <cellStyle name="Header2 5 4 5 2 4" xfId="35644"/>
    <cellStyle name="Header2 5 4 5 3" xfId="19585"/>
    <cellStyle name="Header2 5 4 5 3 2" xfId="31402"/>
    <cellStyle name="Header2 5 4 5 3 2 2" xfId="41401"/>
    <cellStyle name="Header2 5 4 5 3 3" xfId="27060"/>
    <cellStyle name="Header2 5 4 5 3 4" xfId="36250"/>
    <cellStyle name="Header2 5 4 5 4" xfId="17733"/>
    <cellStyle name="Header2 5 4 5 4 2" xfId="29550"/>
    <cellStyle name="Header2 5 4 5 4 2 2" xfId="39549"/>
    <cellStyle name="Header2 5 4 5 4 3" xfId="25308"/>
    <cellStyle name="Header2 5 4 5 4 4" xfId="34398"/>
    <cellStyle name="Header2 5 4 5 5" xfId="20394"/>
    <cellStyle name="Header2 5 4 5 5 2" xfId="32211"/>
    <cellStyle name="Header2 5 4 5 5 2 2" xfId="42210"/>
    <cellStyle name="Header2 5 4 5 5 3" xfId="37059"/>
    <cellStyle name="Header2 5 4 5 6" xfId="23692"/>
    <cellStyle name="Header2 5 4 5 6 2" xfId="21759"/>
    <cellStyle name="Header2 5 4 5 7" xfId="22923"/>
    <cellStyle name="Header2 5 4 5 7 2" xfId="22154"/>
    <cellStyle name="Header2 5 4 5 8" xfId="21732"/>
    <cellStyle name="Header2 5 4 6" xfId="16395"/>
    <cellStyle name="Header2 5 4 6 2" xfId="19282"/>
    <cellStyle name="Header2 5 4 6 2 2" xfId="31099"/>
    <cellStyle name="Header2 5 4 6 2 2 2" xfId="41098"/>
    <cellStyle name="Header2 5 4 6 2 3" xfId="26757"/>
    <cellStyle name="Header2 5 4 6 2 4" xfId="35947"/>
    <cellStyle name="Header2 5 4 6 3" xfId="19888"/>
    <cellStyle name="Header2 5 4 6 3 2" xfId="31705"/>
    <cellStyle name="Header2 5 4 6 3 2 2" xfId="41704"/>
    <cellStyle name="Header2 5 4 6 3 3" xfId="27363"/>
    <cellStyle name="Header2 5 4 6 3 4" xfId="36553"/>
    <cellStyle name="Header2 5 4 6 4" xfId="17928"/>
    <cellStyle name="Header2 5 4 6 4 2" xfId="29745"/>
    <cellStyle name="Header2 5 4 6 4 2 2" xfId="39744"/>
    <cellStyle name="Header2 5 4 6 4 3" xfId="25503"/>
    <cellStyle name="Header2 5 4 6 4 4" xfId="34593"/>
    <cellStyle name="Header2 5 4 6 5" xfId="20697"/>
    <cellStyle name="Header2 5 4 6 5 2" xfId="32514"/>
    <cellStyle name="Header2 5 4 6 5 2 2" xfId="42513"/>
    <cellStyle name="Header2 5 4 6 5 3" xfId="37362"/>
    <cellStyle name="Header2 5 4 6 6" xfId="28212"/>
    <cellStyle name="Header2 5 4 6 6 2" xfId="38211"/>
    <cellStyle name="Header2 5 4 6 7" xfId="22322"/>
    <cellStyle name="Header2 5 4 7" xfId="16092"/>
    <cellStyle name="Header2 5 4 7 2" xfId="27909"/>
    <cellStyle name="Header2 5 4 7 2 2" xfId="37908"/>
    <cellStyle name="Header2 5 4 7 3" xfId="23970"/>
    <cellStyle name="Header2 5 4 7 4" xfId="33060"/>
    <cellStyle name="Header2 5 4 8" xfId="16455"/>
    <cellStyle name="Header2 5 4 8 2" xfId="28272"/>
    <cellStyle name="Header2 5 4 8 2 2" xfId="38271"/>
    <cellStyle name="Header2 5 4 8 3" xfId="24030"/>
    <cellStyle name="Header2 5 4 8 4" xfId="33120"/>
    <cellStyle name="Header2 5 4 9" xfId="16758"/>
    <cellStyle name="Header2 5 4 9 2" xfId="28575"/>
    <cellStyle name="Header2 5 4 9 2 2" xfId="38574"/>
    <cellStyle name="Header2 5 4 9 3" xfId="24333"/>
    <cellStyle name="Header2 5 4 9 4" xfId="33423"/>
    <cellStyle name="Header2 5 5" xfId="8011"/>
    <cellStyle name="Header2 5 5 10" xfId="18602"/>
    <cellStyle name="Header2 5 5 10 2" xfId="30419"/>
    <cellStyle name="Header2 5 5 10 2 2" xfId="40418"/>
    <cellStyle name="Header2 5 5 10 3" xfId="26077"/>
    <cellStyle name="Header2 5 5 10 4" xfId="35267"/>
    <cellStyle name="Header2 5 5 11" xfId="20359"/>
    <cellStyle name="Header2 5 5 11 2" xfId="32176"/>
    <cellStyle name="Header2 5 5 11 2 2" xfId="42175"/>
    <cellStyle name="Header2 5 5 11 3" xfId="37024"/>
    <cellStyle name="Header2 5 5 12" xfId="23091"/>
    <cellStyle name="Header2 5 5 12 2" xfId="22048"/>
    <cellStyle name="Header2 5 5 13" xfId="22485"/>
    <cellStyle name="Header2 5 5 2" xfId="15818"/>
    <cellStyle name="Header2 5 5 2 2" xfId="18975"/>
    <cellStyle name="Header2 5 5 2 2 2" xfId="30792"/>
    <cellStyle name="Header2 5 5 2 2 2 2" xfId="40791"/>
    <cellStyle name="Header2 5 5 2 2 3" xfId="26450"/>
    <cellStyle name="Header2 5 5 2 2 4" xfId="35640"/>
    <cellStyle name="Header2 5 5 2 3" xfId="19581"/>
    <cellStyle name="Header2 5 5 2 3 2" xfId="31398"/>
    <cellStyle name="Header2 5 5 2 3 2 2" xfId="41397"/>
    <cellStyle name="Header2 5 5 2 3 3" xfId="27056"/>
    <cellStyle name="Header2 5 5 2 3 4" xfId="36246"/>
    <cellStyle name="Header2 5 5 2 4" xfId="17836"/>
    <cellStyle name="Header2 5 5 2 4 2" xfId="29653"/>
    <cellStyle name="Header2 5 5 2 4 2 2" xfId="39652"/>
    <cellStyle name="Header2 5 5 2 4 3" xfId="25411"/>
    <cellStyle name="Header2 5 5 2 4 4" xfId="34501"/>
    <cellStyle name="Header2 5 5 2 5" xfId="20390"/>
    <cellStyle name="Header2 5 5 2 5 2" xfId="32207"/>
    <cellStyle name="Header2 5 5 2 5 2 2" xfId="42206"/>
    <cellStyle name="Header2 5 5 2 5 3" xfId="37055"/>
    <cellStyle name="Header2 5 5 2 6" xfId="23696"/>
    <cellStyle name="Header2 5 5 2 6 2" xfId="21754"/>
    <cellStyle name="Header2 5 5 2 7" xfId="22920"/>
    <cellStyle name="Header2 5 5 2 7 2" xfId="21344"/>
    <cellStyle name="Header2 5 5 2 8" xfId="22479"/>
    <cellStyle name="Header2 5 5 3" xfId="16399"/>
    <cellStyle name="Header2 5 5 3 2" xfId="19278"/>
    <cellStyle name="Header2 5 5 3 2 2" xfId="31095"/>
    <cellStyle name="Header2 5 5 3 2 2 2" xfId="41094"/>
    <cellStyle name="Header2 5 5 3 2 3" xfId="26753"/>
    <cellStyle name="Header2 5 5 3 2 4" xfId="35943"/>
    <cellStyle name="Header2 5 5 3 3" xfId="19884"/>
    <cellStyle name="Header2 5 5 3 3 2" xfId="31701"/>
    <cellStyle name="Header2 5 5 3 3 2 2" xfId="41700"/>
    <cellStyle name="Header2 5 5 3 3 3" xfId="27359"/>
    <cellStyle name="Header2 5 5 3 3 4" xfId="36549"/>
    <cellStyle name="Header2 5 5 3 4" xfId="18123"/>
    <cellStyle name="Header2 5 5 3 4 2" xfId="29940"/>
    <cellStyle name="Header2 5 5 3 4 2 2" xfId="39939"/>
    <cellStyle name="Header2 5 5 3 4 3" xfId="25698"/>
    <cellStyle name="Header2 5 5 3 4 4" xfId="34788"/>
    <cellStyle name="Header2 5 5 3 5" xfId="20693"/>
    <cellStyle name="Header2 5 5 3 5 2" xfId="32510"/>
    <cellStyle name="Header2 5 5 3 5 2 2" xfId="42509"/>
    <cellStyle name="Header2 5 5 3 5 3" xfId="37358"/>
    <cellStyle name="Header2 5 5 3 6" xfId="28216"/>
    <cellStyle name="Header2 5 5 3 6 2" xfId="38215"/>
    <cellStyle name="Header2 5 5 3 7" xfId="22325"/>
    <cellStyle name="Header2 5 5 4" xfId="16096"/>
    <cellStyle name="Header2 5 5 4 2" xfId="27913"/>
    <cellStyle name="Header2 5 5 4 2 2" xfId="37912"/>
    <cellStyle name="Header2 5 5 4 3" xfId="23974"/>
    <cellStyle name="Header2 5 5 4 4" xfId="33064"/>
    <cellStyle name="Header2 5 5 5" xfId="16451"/>
    <cellStyle name="Header2 5 5 5 2" xfId="28268"/>
    <cellStyle name="Header2 5 5 5 2 2" xfId="38267"/>
    <cellStyle name="Header2 5 5 5 3" xfId="24026"/>
    <cellStyle name="Header2 5 5 5 4" xfId="33116"/>
    <cellStyle name="Header2 5 5 6" xfId="16754"/>
    <cellStyle name="Header2 5 5 6 2" xfId="28571"/>
    <cellStyle name="Header2 5 5 6 2 2" xfId="38570"/>
    <cellStyle name="Header2 5 5 6 3" xfId="24329"/>
    <cellStyle name="Header2 5 5 6 4" xfId="33419"/>
    <cellStyle name="Header2 5 5 7" xfId="17333"/>
    <cellStyle name="Header2 5 5 7 2" xfId="29150"/>
    <cellStyle name="Header2 5 5 7 2 2" xfId="39149"/>
    <cellStyle name="Header2 5 5 7 3" xfId="24908"/>
    <cellStyle name="Header2 5 5 7 4" xfId="33998"/>
    <cellStyle name="Header2 5 5 8" xfId="17636"/>
    <cellStyle name="Header2 5 5 8 2" xfId="29453"/>
    <cellStyle name="Header2 5 5 8 2 2" xfId="39452"/>
    <cellStyle name="Header2 5 5 8 3" xfId="25211"/>
    <cellStyle name="Header2 5 5 8 4" xfId="34301"/>
    <cellStyle name="Header2 5 5 9" xfId="18299"/>
    <cellStyle name="Header2 5 5 9 2" xfId="30116"/>
    <cellStyle name="Header2 5 5 9 2 2" xfId="40115"/>
    <cellStyle name="Header2 5 5 9 3" xfId="25774"/>
    <cellStyle name="Header2 5 5 9 4" xfId="34964"/>
    <cellStyle name="Header2 5 6" xfId="15799"/>
    <cellStyle name="Header2 5 6 2" xfId="18994"/>
    <cellStyle name="Header2 5 6 2 2" xfId="30811"/>
    <cellStyle name="Header2 5 6 2 2 2" xfId="40810"/>
    <cellStyle name="Header2 5 6 2 3" xfId="26469"/>
    <cellStyle name="Header2 5 6 2 4" xfId="35659"/>
    <cellStyle name="Header2 5 6 3" xfId="19600"/>
    <cellStyle name="Header2 5 6 3 2" xfId="31417"/>
    <cellStyle name="Header2 5 6 3 2 2" xfId="41416"/>
    <cellStyle name="Header2 5 6 3 3" xfId="27075"/>
    <cellStyle name="Header2 5 6 3 4" xfId="36265"/>
    <cellStyle name="Header2 5 6 4" xfId="18187"/>
    <cellStyle name="Header2 5 6 4 2" xfId="30004"/>
    <cellStyle name="Header2 5 6 4 2 2" xfId="40003"/>
    <cellStyle name="Header2 5 6 4 3" xfId="25762"/>
    <cellStyle name="Header2 5 6 4 4" xfId="34852"/>
    <cellStyle name="Header2 5 6 5" xfId="20409"/>
    <cellStyle name="Header2 5 6 5 2" xfId="32226"/>
    <cellStyle name="Header2 5 6 5 2 2" xfId="42225"/>
    <cellStyle name="Header2 5 6 5 3" xfId="37074"/>
    <cellStyle name="Header2 5 6 6" xfId="23677"/>
    <cellStyle name="Header2 5 6 6 2" xfId="21766"/>
    <cellStyle name="Header2 5 6 7" xfId="22930"/>
    <cellStyle name="Header2 5 6 7 2" xfId="22149"/>
    <cellStyle name="Header2 5 6 8" xfId="22469"/>
    <cellStyle name="Header2 5 7" xfId="16380"/>
    <cellStyle name="Header2 5 7 2" xfId="19297"/>
    <cellStyle name="Header2 5 7 2 2" xfId="31114"/>
    <cellStyle name="Header2 5 7 2 2 2" xfId="41113"/>
    <cellStyle name="Header2 5 7 2 3" xfId="26772"/>
    <cellStyle name="Header2 5 7 2 4" xfId="35962"/>
    <cellStyle name="Header2 5 7 3" xfId="19903"/>
    <cellStyle name="Header2 5 7 3 2" xfId="31720"/>
    <cellStyle name="Header2 5 7 3 2 2" xfId="41719"/>
    <cellStyle name="Header2 5 7 3 3" xfId="27378"/>
    <cellStyle name="Header2 5 7 3 4" xfId="36568"/>
    <cellStyle name="Header2 5 7 4" xfId="17920"/>
    <cellStyle name="Header2 5 7 4 2" xfId="29737"/>
    <cellStyle name="Header2 5 7 4 2 2" xfId="39736"/>
    <cellStyle name="Header2 5 7 4 3" xfId="25495"/>
    <cellStyle name="Header2 5 7 4 4" xfId="34585"/>
    <cellStyle name="Header2 5 7 5" xfId="20712"/>
    <cellStyle name="Header2 5 7 5 2" xfId="32529"/>
    <cellStyle name="Header2 5 7 5 2 2" xfId="42528"/>
    <cellStyle name="Header2 5 7 5 3" xfId="37377"/>
    <cellStyle name="Header2 5 7 6" xfId="28197"/>
    <cellStyle name="Header2 5 7 6 2" xfId="38196"/>
    <cellStyle name="Header2 5 7 7" xfId="22315"/>
    <cellStyle name="Header2 5 8" xfId="16077"/>
    <cellStyle name="Header2 5 8 2" xfId="27894"/>
    <cellStyle name="Header2 5 8 2 2" xfId="37893"/>
    <cellStyle name="Header2 5 8 3" xfId="23955"/>
    <cellStyle name="Header2 5 8 4" xfId="33045"/>
    <cellStyle name="Header2 5 9" xfId="16470"/>
    <cellStyle name="Header2 5 9 2" xfId="28287"/>
    <cellStyle name="Header2 5 9 2 2" xfId="38286"/>
    <cellStyle name="Header2 5 9 3" xfId="24045"/>
    <cellStyle name="Header2 5 9 4" xfId="33135"/>
    <cellStyle name="Header2 6" xfId="15516"/>
    <cellStyle name="Header2 6 2" xfId="19277"/>
    <cellStyle name="Header2 6 2 2" xfId="31094"/>
    <cellStyle name="Header2 6 2 2 2" xfId="41093"/>
    <cellStyle name="Header2 6 2 3" xfId="26752"/>
    <cellStyle name="Header2 6 2 4" xfId="35942"/>
    <cellStyle name="Header2 6 3" xfId="19883"/>
    <cellStyle name="Header2 6 3 2" xfId="31700"/>
    <cellStyle name="Header2 6 3 2 2" xfId="41699"/>
    <cellStyle name="Header2 6 3 3" xfId="27358"/>
    <cellStyle name="Header2 6 3 4" xfId="36548"/>
    <cellStyle name="Header2 6 4" xfId="18124"/>
    <cellStyle name="Header2 6 4 2" xfId="29941"/>
    <cellStyle name="Header2 6 4 2 2" xfId="39940"/>
    <cellStyle name="Header2 6 4 3" xfId="25699"/>
    <cellStyle name="Header2 6 4 4" xfId="34789"/>
    <cellStyle name="Header2 6 5" xfId="20692"/>
    <cellStyle name="Header2 6 5 2" xfId="32509"/>
    <cellStyle name="Header2 6 5 2 2" xfId="42508"/>
    <cellStyle name="Header2 6 5 3" xfId="37357"/>
    <cellStyle name="Header2 6 6" xfId="23394"/>
    <cellStyle name="Header2 6 6 2" xfId="21101"/>
    <cellStyle name="Header2 6 7" xfId="22919"/>
    <cellStyle name="Header2 6 7 2" xfId="22157"/>
    <cellStyle name="Header2 6 8" xfId="22326"/>
    <cellStyle name="Header2 7" xfId="16097"/>
    <cellStyle name="Header2 7 2" xfId="19524"/>
    <cellStyle name="Header2 7 2 2" xfId="31341"/>
    <cellStyle name="Header2 7 2 2 2" xfId="41340"/>
    <cellStyle name="Header2 7 2 3" xfId="26999"/>
    <cellStyle name="Header2 7 2 4" xfId="36189"/>
    <cellStyle name="Header2 7 3" xfId="20130"/>
    <cellStyle name="Header2 7 3 2" xfId="31947"/>
    <cellStyle name="Header2 7 3 2 2" xfId="41946"/>
    <cellStyle name="Header2 7 3 3" xfId="27605"/>
    <cellStyle name="Header2 7 3 4" xfId="36795"/>
    <cellStyle name="Header2 7 4" xfId="17883"/>
    <cellStyle name="Header2 7 4 2" xfId="29700"/>
    <cellStyle name="Header2 7 4 2 2" xfId="39699"/>
    <cellStyle name="Header2 7 4 3" xfId="25458"/>
    <cellStyle name="Header2 7 4 4" xfId="34548"/>
    <cellStyle name="Header2 7 5" xfId="20939"/>
    <cellStyle name="Header2 7 5 2" xfId="32756"/>
    <cellStyle name="Header2 7 5 2 2" xfId="42755"/>
    <cellStyle name="Header2 7 5 3" xfId="37604"/>
    <cellStyle name="Header2 7 6" xfId="27914"/>
    <cellStyle name="Header2 7 6 2" xfId="37913"/>
    <cellStyle name="Header2 7 7" xfId="21445"/>
    <cellStyle name="Header2 8" xfId="15836"/>
    <cellStyle name="Header2 8 2" xfId="27653"/>
    <cellStyle name="Header2 8 2 2" xfId="37652"/>
    <cellStyle name="Header2 8 3" xfId="23714"/>
    <cellStyle name="Header2 8 4" xfId="32804"/>
    <cellStyle name="Header2 9" xfId="16753"/>
    <cellStyle name="Header2 9 2" xfId="28570"/>
    <cellStyle name="Header2 9 2 2" xfId="38569"/>
    <cellStyle name="Header2 9 3" xfId="24328"/>
    <cellStyle name="Header2 9 4" xfId="33418"/>
    <cellStyle name="headerStyle" xfId="8012"/>
    <cellStyle name="Input [yellow]" xfId="8013"/>
    <cellStyle name="Input [yellow] 2" xfId="8014"/>
    <cellStyle name="Input [yellow] 2 2" xfId="8015"/>
    <cellStyle name="Input [yellow] 2 2 2" xfId="8016"/>
    <cellStyle name="Input [yellow] 2 2 2 10" xfId="8017"/>
    <cellStyle name="Input [yellow] 2 2 2 10 2" xfId="8018"/>
    <cellStyle name="Input [yellow] 2 2 2 10 3" xfId="8019"/>
    <cellStyle name="Input [yellow] 2 2 2 10 4" xfId="8020"/>
    <cellStyle name="Input [yellow] 2 2 2 11" xfId="8021"/>
    <cellStyle name="Input [yellow] 2 2 2 11 2" xfId="8022"/>
    <cellStyle name="Input [yellow] 2 2 2 11 3" xfId="8023"/>
    <cellStyle name="Input [yellow] 2 2 2 11 4" xfId="8024"/>
    <cellStyle name="Input [yellow] 2 2 2 12" xfId="8025"/>
    <cellStyle name="Input [yellow] 2 2 2 2" xfId="8026"/>
    <cellStyle name="Input [yellow] 2 2 2 2 2" xfId="8027"/>
    <cellStyle name="Input [yellow] 2 2 2 2 2 2" xfId="8028"/>
    <cellStyle name="Input [yellow] 2 2 2 2 2 2 2" xfId="8029"/>
    <cellStyle name="Input [yellow] 2 2 2 2 2 2 2 2" xfId="8030"/>
    <cellStyle name="Input [yellow] 2 2 2 2 2 2 2 3" xfId="8031"/>
    <cellStyle name="Input [yellow] 2 2 2 2 2 2 2 4" xfId="8032"/>
    <cellStyle name="Input [yellow] 2 2 2 2 2 2 3" xfId="8033"/>
    <cellStyle name="Input [yellow] 2 2 2 2 2 2 3 2" xfId="8034"/>
    <cellStyle name="Input [yellow] 2 2 2 2 2 2 3 3" xfId="8035"/>
    <cellStyle name="Input [yellow] 2 2 2 2 2 2 3 4" xfId="8036"/>
    <cellStyle name="Input [yellow] 2 2 2 2 2 2 4" xfId="8037"/>
    <cellStyle name="Input [yellow] 2 2 2 2 2 2 4 2" xfId="8038"/>
    <cellStyle name="Input [yellow] 2 2 2 2 2 2 4 3" xfId="8039"/>
    <cellStyle name="Input [yellow] 2 2 2 2 2 2 4 4" xfId="8040"/>
    <cellStyle name="Input [yellow] 2 2 2 2 2 2 5" xfId="8041"/>
    <cellStyle name="Input [yellow] 2 2 2 2 2 2 5 2" xfId="8042"/>
    <cellStyle name="Input [yellow] 2 2 2 2 2 2 5 3" xfId="8043"/>
    <cellStyle name="Input [yellow] 2 2 2 2 2 2 5 4" xfId="8044"/>
    <cellStyle name="Input [yellow] 2 2 2 2 2 2 6" xfId="8045"/>
    <cellStyle name="Input [yellow] 2 2 2 2 2 2 6 2" xfId="8046"/>
    <cellStyle name="Input [yellow] 2 2 2 2 2 2 6 3" xfId="8047"/>
    <cellStyle name="Input [yellow] 2 2 2 2 2 2 6 4" xfId="8048"/>
    <cellStyle name="Input [yellow] 2 2 2 2 2 2 7" xfId="8049"/>
    <cellStyle name="Input [yellow] 2 2 2 2 3" xfId="8050"/>
    <cellStyle name="Input [yellow] 2 2 2 2 3 2" xfId="8051"/>
    <cellStyle name="Input [yellow] 2 2 2 2 3 2 2" xfId="8052"/>
    <cellStyle name="Input [yellow] 2 2 2 2 3 2 3" xfId="8053"/>
    <cellStyle name="Input [yellow] 2 2 2 2 3 2 4" xfId="8054"/>
    <cellStyle name="Input [yellow] 2 2 2 2 3 3" xfId="8055"/>
    <cellStyle name="Input [yellow] 2 2 2 2 3 3 2" xfId="8056"/>
    <cellStyle name="Input [yellow] 2 2 2 2 3 3 3" xfId="8057"/>
    <cellStyle name="Input [yellow] 2 2 2 2 3 3 4" xfId="8058"/>
    <cellStyle name="Input [yellow] 2 2 2 2 3 4" xfId="8059"/>
    <cellStyle name="Input [yellow] 2 2 2 2 3 4 2" xfId="8060"/>
    <cellStyle name="Input [yellow] 2 2 2 2 3 4 3" xfId="8061"/>
    <cellStyle name="Input [yellow] 2 2 2 2 3 4 4" xfId="8062"/>
    <cellStyle name="Input [yellow] 2 2 2 2 3 5" xfId="8063"/>
    <cellStyle name="Input [yellow] 2 2 2 2 3 5 2" xfId="8064"/>
    <cellStyle name="Input [yellow] 2 2 2 2 3 5 3" xfId="8065"/>
    <cellStyle name="Input [yellow] 2 2 2 2 3 5 4" xfId="8066"/>
    <cellStyle name="Input [yellow] 2 2 2 2 3 6" xfId="8067"/>
    <cellStyle name="Input [yellow] 2 2 2 2 3 6 2" xfId="8068"/>
    <cellStyle name="Input [yellow] 2 2 2 2 3 6 3" xfId="8069"/>
    <cellStyle name="Input [yellow] 2 2 2 2 3 6 4" xfId="8070"/>
    <cellStyle name="Input [yellow] 2 2 2 2 3 7" xfId="8071"/>
    <cellStyle name="Input [yellow] 2 2 2 3" xfId="8072"/>
    <cellStyle name="Input [yellow] 2 2 2 3 2" xfId="8073"/>
    <cellStyle name="Input [yellow] 2 2 2 3 2 2" xfId="8074"/>
    <cellStyle name="Input [yellow] 2 2 2 3 2 2 2" xfId="8075"/>
    <cellStyle name="Input [yellow] 2 2 2 3 2 2 3" xfId="8076"/>
    <cellStyle name="Input [yellow] 2 2 2 3 2 2 4" xfId="8077"/>
    <cellStyle name="Input [yellow] 2 2 2 3 2 3" xfId="8078"/>
    <cellStyle name="Input [yellow] 2 2 2 3 2 3 2" xfId="8079"/>
    <cellStyle name="Input [yellow] 2 2 2 3 2 3 3" xfId="8080"/>
    <cellStyle name="Input [yellow] 2 2 2 3 2 3 4" xfId="8081"/>
    <cellStyle name="Input [yellow] 2 2 2 3 2 4" xfId="8082"/>
    <cellStyle name="Input [yellow] 2 2 2 3 2 4 2" xfId="8083"/>
    <cellStyle name="Input [yellow] 2 2 2 3 2 4 3" xfId="8084"/>
    <cellStyle name="Input [yellow] 2 2 2 3 2 4 4" xfId="8085"/>
    <cellStyle name="Input [yellow] 2 2 2 3 2 5" xfId="8086"/>
    <cellStyle name="Input [yellow] 2 2 2 3 2 5 2" xfId="8087"/>
    <cellStyle name="Input [yellow] 2 2 2 3 2 5 3" xfId="8088"/>
    <cellStyle name="Input [yellow] 2 2 2 3 2 5 4" xfId="8089"/>
    <cellStyle name="Input [yellow] 2 2 2 3 2 6" xfId="8090"/>
    <cellStyle name="Input [yellow] 2 2 2 3 2 6 2" xfId="8091"/>
    <cellStyle name="Input [yellow] 2 2 2 3 2 6 3" xfId="8092"/>
    <cellStyle name="Input [yellow] 2 2 2 3 2 6 4" xfId="8093"/>
    <cellStyle name="Input [yellow] 2 2 2 3 2 7" xfId="8094"/>
    <cellStyle name="Input [yellow] 2 2 2 4" xfId="8095"/>
    <cellStyle name="Input [yellow] 2 2 2 4 2" xfId="8096"/>
    <cellStyle name="Input [yellow] 2 2 2 4 2 2" xfId="8097"/>
    <cellStyle name="Input [yellow] 2 2 2 4 2 2 2" xfId="8098"/>
    <cellStyle name="Input [yellow] 2 2 2 4 2 2 3" xfId="8099"/>
    <cellStyle name="Input [yellow] 2 2 2 4 2 2 4" xfId="8100"/>
    <cellStyle name="Input [yellow] 2 2 2 4 2 3" xfId="8101"/>
    <cellStyle name="Input [yellow] 2 2 2 4 2 3 2" xfId="8102"/>
    <cellStyle name="Input [yellow] 2 2 2 4 2 3 3" xfId="8103"/>
    <cellStyle name="Input [yellow] 2 2 2 4 2 3 4" xfId="8104"/>
    <cellStyle name="Input [yellow] 2 2 2 4 2 4" xfId="8105"/>
    <cellStyle name="Input [yellow] 2 2 2 4 2 4 2" xfId="8106"/>
    <cellStyle name="Input [yellow] 2 2 2 4 2 4 3" xfId="8107"/>
    <cellStyle name="Input [yellow] 2 2 2 4 2 4 4" xfId="8108"/>
    <cellStyle name="Input [yellow] 2 2 2 4 2 5" xfId="8109"/>
    <cellStyle name="Input [yellow] 2 2 2 4 2 5 2" xfId="8110"/>
    <cellStyle name="Input [yellow] 2 2 2 4 2 5 3" xfId="8111"/>
    <cellStyle name="Input [yellow] 2 2 2 4 2 5 4" xfId="8112"/>
    <cellStyle name="Input [yellow] 2 2 2 4 2 6" xfId="8113"/>
    <cellStyle name="Input [yellow] 2 2 2 4 2 6 2" xfId="8114"/>
    <cellStyle name="Input [yellow] 2 2 2 4 2 6 3" xfId="8115"/>
    <cellStyle name="Input [yellow] 2 2 2 4 2 6 4" xfId="8116"/>
    <cellStyle name="Input [yellow] 2 2 2 4 2 7" xfId="8117"/>
    <cellStyle name="Input [yellow] 2 2 2 5" xfId="8118"/>
    <cellStyle name="Input [yellow] 2 2 2 5 2" xfId="8119"/>
    <cellStyle name="Input [yellow] 2 2 2 5 2 2" xfId="8120"/>
    <cellStyle name="Input [yellow] 2 2 2 5 2 3" xfId="8121"/>
    <cellStyle name="Input [yellow] 2 2 2 5 2 4" xfId="8122"/>
    <cellStyle name="Input [yellow] 2 2 2 5 3" xfId="8123"/>
    <cellStyle name="Input [yellow] 2 2 2 5 3 2" xfId="8124"/>
    <cellStyle name="Input [yellow] 2 2 2 5 3 3" xfId="8125"/>
    <cellStyle name="Input [yellow] 2 2 2 5 3 4" xfId="8126"/>
    <cellStyle name="Input [yellow] 2 2 2 5 4" xfId="8127"/>
    <cellStyle name="Input [yellow] 2 2 2 5 4 2" xfId="8128"/>
    <cellStyle name="Input [yellow] 2 2 2 5 4 3" xfId="8129"/>
    <cellStyle name="Input [yellow] 2 2 2 5 4 4" xfId="8130"/>
    <cellStyle name="Input [yellow] 2 2 2 5 5" xfId="8131"/>
    <cellStyle name="Input [yellow] 2 2 2 5 5 2" xfId="8132"/>
    <cellStyle name="Input [yellow] 2 2 2 5 5 3" xfId="8133"/>
    <cellStyle name="Input [yellow] 2 2 2 5 5 4" xfId="8134"/>
    <cellStyle name="Input [yellow] 2 2 2 5 6" xfId="8135"/>
    <cellStyle name="Input [yellow] 2 2 2 5 6 2" xfId="8136"/>
    <cellStyle name="Input [yellow] 2 2 2 5 6 3" xfId="8137"/>
    <cellStyle name="Input [yellow] 2 2 2 5 6 4" xfId="8138"/>
    <cellStyle name="Input [yellow] 2 2 2 5 7" xfId="8139"/>
    <cellStyle name="Input [yellow] 2 2 2 6" xfId="8140"/>
    <cellStyle name="Input [yellow] 2 2 2 6 2" xfId="8141"/>
    <cellStyle name="Input [yellow] 2 2 2 6 3" xfId="8142"/>
    <cellStyle name="Input [yellow] 2 2 2 6 4" xfId="8143"/>
    <cellStyle name="Input [yellow] 2 2 2 7" xfId="8144"/>
    <cellStyle name="Input [yellow] 2 2 2 7 2" xfId="8145"/>
    <cellStyle name="Input [yellow] 2 2 2 7 3" xfId="8146"/>
    <cellStyle name="Input [yellow] 2 2 2 7 4" xfId="8147"/>
    <cellStyle name="Input [yellow] 2 2 2 8" xfId="8148"/>
    <cellStyle name="Input [yellow] 2 2 2 8 2" xfId="8149"/>
    <cellStyle name="Input [yellow] 2 2 2 8 3" xfId="8150"/>
    <cellStyle name="Input [yellow] 2 2 2 8 4" xfId="8151"/>
    <cellStyle name="Input [yellow] 2 2 2 9" xfId="8152"/>
    <cellStyle name="Input [yellow] 2 2 2 9 2" xfId="8153"/>
    <cellStyle name="Input [yellow] 2 2 2 9 3" xfId="8154"/>
    <cellStyle name="Input [yellow] 2 2 2 9 4" xfId="8155"/>
    <cellStyle name="Input [yellow] 2 2 3" xfId="8156"/>
    <cellStyle name="Input [yellow] 2 2 3 2" xfId="8157"/>
    <cellStyle name="Input [yellow] 2 2 3 2 2" xfId="8158"/>
    <cellStyle name="Input [yellow] 2 2 3 2 2 2" xfId="8159"/>
    <cellStyle name="Input [yellow] 2 2 3 2 2 2 2" xfId="8160"/>
    <cellStyle name="Input [yellow] 2 2 3 2 2 2 3" xfId="8161"/>
    <cellStyle name="Input [yellow] 2 2 3 2 2 2 4" xfId="8162"/>
    <cellStyle name="Input [yellow] 2 2 3 2 2 3" xfId="8163"/>
    <cellStyle name="Input [yellow] 2 2 3 2 2 3 2" xfId="8164"/>
    <cellStyle name="Input [yellow] 2 2 3 2 2 3 3" xfId="8165"/>
    <cellStyle name="Input [yellow] 2 2 3 2 2 3 4" xfId="8166"/>
    <cellStyle name="Input [yellow] 2 2 3 2 2 4" xfId="8167"/>
    <cellStyle name="Input [yellow] 2 2 3 2 2 4 2" xfId="8168"/>
    <cellStyle name="Input [yellow] 2 2 3 2 2 4 3" xfId="8169"/>
    <cellStyle name="Input [yellow] 2 2 3 2 2 4 4" xfId="8170"/>
    <cellStyle name="Input [yellow] 2 2 3 2 2 5" xfId="8171"/>
    <cellStyle name="Input [yellow] 2 2 3 2 2 5 2" xfId="8172"/>
    <cellStyle name="Input [yellow] 2 2 3 2 2 5 3" xfId="8173"/>
    <cellStyle name="Input [yellow] 2 2 3 2 2 5 4" xfId="8174"/>
    <cellStyle name="Input [yellow] 2 2 3 2 2 6" xfId="8175"/>
    <cellStyle name="Input [yellow] 2 2 3 2 2 6 2" xfId="8176"/>
    <cellStyle name="Input [yellow] 2 2 3 2 2 6 3" xfId="8177"/>
    <cellStyle name="Input [yellow] 2 2 3 2 2 6 4" xfId="8178"/>
    <cellStyle name="Input [yellow] 2 2 3 2 2 7" xfId="8179"/>
    <cellStyle name="Input [yellow] 2 2 3 3" xfId="8180"/>
    <cellStyle name="Input [yellow] 2 2 3 3 2" xfId="8181"/>
    <cellStyle name="Input [yellow] 2 2 3 3 2 2" xfId="8182"/>
    <cellStyle name="Input [yellow] 2 2 3 3 2 3" xfId="8183"/>
    <cellStyle name="Input [yellow] 2 2 3 3 2 4" xfId="8184"/>
    <cellStyle name="Input [yellow] 2 2 3 3 3" xfId="8185"/>
    <cellStyle name="Input [yellow] 2 2 3 3 3 2" xfId="8186"/>
    <cellStyle name="Input [yellow] 2 2 3 3 3 3" xfId="8187"/>
    <cellStyle name="Input [yellow] 2 2 3 3 3 4" xfId="8188"/>
    <cellStyle name="Input [yellow] 2 2 3 3 4" xfId="8189"/>
    <cellStyle name="Input [yellow] 2 2 3 3 4 2" xfId="8190"/>
    <cellStyle name="Input [yellow] 2 2 3 3 4 3" xfId="8191"/>
    <cellStyle name="Input [yellow] 2 2 3 3 4 4" xfId="8192"/>
    <cellStyle name="Input [yellow] 2 2 3 3 5" xfId="8193"/>
    <cellStyle name="Input [yellow] 2 2 3 3 5 2" xfId="8194"/>
    <cellStyle name="Input [yellow] 2 2 3 3 5 3" xfId="8195"/>
    <cellStyle name="Input [yellow] 2 2 3 3 5 4" xfId="8196"/>
    <cellStyle name="Input [yellow] 2 2 3 3 6" xfId="8197"/>
    <cellStyle name="Input [yellow] 2 2 3 3 6 2" xfId="8198"/>
    <cellStyle name="Input [yellow] 2 2 3 3 6 3" xfId="8199"/>
    <cellStyle name="Input [yellow] 2 2 3 3 6 4" xfId="8200"/>
    <cellStyle name="Input [yellow] 2 2 3 3 7" xfId="8201"/>
    <cellStyle name="Input [yellow] 2 3" xfId="8202"/>
    <cellStyle name="Input [yellow] 2 3 10" xfId="8203"/>
    <cellStyle name="Input [yellow] 2 3 10 2" xfId="8204"/>
    <cellStyle name="Input [yellow] 2 3 10 3" xfId="8205"/>
    <cellStyle name="Input [yellow] 2 3 10 4" xfId="8206"/>
    <cellStyle name="Input [yellow] 2 3 11" xfId="8207"/>
    <cellStyle name="Input [yellow] 2 3 11 2" xfId="8208"/>
    <cellStyle name="Input [yellow] 2 3 11 3" xfId="8209"/>
    <cellStyle name="Input [yellow] 2 3 11 4" xfId="8210"/>
    <cellStyle name="Input [yellow] 2 3 12" xfId="8211"/>
    <cellStyle name="Input [yellow] 2 3 2" xfId="8212"/>
    <cellStyle name="Input [yellow] 2 3 2 2" xfId="8213"/>
    <cellStyle name="Input [yellow] 2 3 2 2 2" xfId="8214"/>
    <cellStyle name="Input [yellow] 2 3 2 2 2 2" xfId="8215"/>
    <cellStyle name="Input [yellow] 2 3 2 2 2 2 2" xfId="8216"/>
    <cellStyle name="Input [yellow] 2 3 2 2 2 2 3" xfId="8217"/>
    <cellStyle name="Input [yellow] 2 3 2 2 2 2 4" xfId="8218"/>
    <cellStyle name="Input [yellow] 2 3 2 2 2 3" xfId="8219"/>
    <cellStyle name="Input [yellow] 2 3 2 2 2 3 2" xfId="8220"/>
    <cellStyle name="Input [yellow] 2 3 2 2 2 3 3" xfId="8221"/>
    <cellStyle name="Input [yellow] 2 3 2 2 2 3 4" xfId="8222"/>
    <cellStyle name="Input [yellow] 2 3 2 2 2 4" xfId="8223"/>
    <cellStyle name="Input [yellow] 2 3 2 2 2 4 2" xfId="8224"/>
    <cellStyle name="Input [yellow] 2 3 2 2 2 4 3" xfId="8225"/>
    <cellStyle name="Input [yellow] 2 3 2 2 2 4 4" xfId="8226"/>
    <cellStyle name="Input [yellow] 2 3 2 2 2 5" xfId="8227"/>
    <cellStyle name="Input [yellow] 2 3 2 2 2 5 2" xfId="8228"/>
    <cellStyle name="Input [yellow] 2 3 2 2 2 5 3" xfId="8229"/>
    <cellStyle name="Input [yellow] 2 3 2 2 2 5 4" xfId="8230"/>
    <cellStyle name="Input [yellow] 2 3 2 2 2 6" xfId="8231"/>
    <cellStyle name="Input [yellow] 2 3 2 2 2 6 2" xfId="8232"/>
    <cellStyle name="Input [yellow] 2 3 2 2 2 6 3" xfId="8233"/>
    <cellStyle name="Input [yellow] 2 3 2 2 2 6 4" xfId="8234"/>
    <cellStyle name="Input [yellow] 2 3 2 2 2 7" xfId="8235"/>
    <cellStyle name="Input [yellow] 2 3 2 3" xfId="8236"/>
    <cellStyle name="Input [yellow] 2 3 2 3 2" xfId="8237"/>
    <cellStyle name="Input [yellow] 2 3 2 3 2 2" xfId="8238"/>
    <cellStyle name="Input [yellow] 2 3 2 3 2 3" xfId="8239"/>
    <cellStyle name="Input [yellow] 2 3 2 3 2 4" xfId="8240"/>
    <cellStyle name="Input [yellow] 2 3 2 3 3" xfId="8241"/>
    <cellStyle name="Input [yellow] 2 3 2 3 3 2" xfId="8242"/>
    <cellStyle name="Input [yellow] 2 3 2 3 3 3" xfId="8243"/>
    <cellStyle name="Input [yellow] 2 3 2 3 3 4" xfId="8244"/>
    <cellStyle name="Input [yellow] 2 3 2 3 4" xfId="8245"/>
    <cellStyle name="Input [yellow] 2 3 2 3 4 2" xfId="8246"/>
    <cellStyle name="Input [yellow] 2 3 2 3 4 3" xfId="8247"/>
    <cellStyle name="Input [yellow] 2 3 2 3 4 4" xfId="8248"/>
    <cellStyle name="Input [yellow] 2 3 2 3 5" xfId="8249"/>
    <cellStyle name="Input [yellow] 2 3 2 3 5 2" xfId="8250"/>
    <cellStyle name="Input [yellow] 2 3 2 3 5 3" xfId="8251"/>
    <cellStyle name="Input [yellow] 2 3 2 3 5 4" xfId="8252"/>
    <cellStyle name="Input [yellow] 2 3 2 3 6" xfId="8253"/>
    <cellStyle name="Input [yellow] 2 3 2 3 6 2" xfId="8254"/>
    <cellStyle name="Input [yellow] 2 3 2 3 6 3" xfId="8255"/>
    <cellStyle name="Input [yellow] 2 3 2 3 6 4" xfId="8256"/>
    <cellStyle name="Input [yellow] 2 3 2 3 7" xfId="8257"/>
    <cellStyle name="Input [yellow] 2 3 3" xfId="8258"/>
    <cellStyle name="Input [yellow] 2 3 3 2" xfId="8259"/>
    <cellStyle name="Input [yellow] 2 3 3 2 2" xfId="8260"/>
    <cellStyle name="Input [yellow] 2 3 3 2 2 2" xfId="8261"/>
    <cellStyle name="Input [yellow] 2 3 3 2 2 3" xfId="8262"/>
    <cellStyle name="Input [yellow] 2 3 3 2 2 4" xfId="8263"/>
    <cellStyle name="Input [yellow] 2 3 3 2 3" xfId="8264"/>
    <cellStyle name="Input [yellow] 2 3 3 2 3 2" xfId="8265"/>
    <cellStyle name="Input [yellow] 2 3 3 2 3 3" xfId="8266"/>
    <cellStyle name="Input [yellow] 2 3 3 2 3 4" xfId="8267"/>
    <cellStyle name="Input [yellow] 2 3 3 2 4" xfId="8268"/>
    <cellStyle name="Input [yellow] 2 3 3 2 4 2" xfId="8269"/>
    <cellStyle name="Input [yellow] 2 3 3 2 4 3" xfId="8270"/>
    <cellStyle name="Input [yellow] 2 3 3 2 4 4" xfId="8271"/>
    <cellStyle name="Input [yellow] 2 3 3 2 5" xfId="8272"/>
    <cellStyle name="Input [yellow] 2 3 3 2 5 2" xfId="8273"/>
    <cellStyle name="Input [yellow] 2 3 3 2 5 3" xfId="8274"/>
    <cellStyle name="Input [yellow] 2 3 3 2 5 4" xfId="8275"/>
    <cellStyle name="Input [yellow] 2 3 3 2 6" xfId="8276"/>
    <cellStyle name="Input [yellow] 2 3 3 2 6 2" xfId="8277"/>
    <cellStyle name="Input [yellow] 2 3 3 2 6 3" xfId="8278"/>
    <cellStyle name="Input [yellow] 2 3 3 2 6 4" xfId="8279"/>
    <cellStyle name="Input [yellow] 2 3 3 2 7" xfId="8280"/>
    <cellStyle name="Input [yellow] 2 3 4" xfId="8281"/>
    <cellStyle name="Input [yellow] 2 3 4 2" xfId="8282"/>
    <cellStyle name="Input [yellow] 2 3 4 2 2" xfId="8283"/>
    <cellStyle name="Input [yellow] 2 3 4 2 2 2" xfId="8284"/>
    <cellStyle name="Input [yellow] 2 3 4 2 2 3" xfId="8285"/>
    <cellStyle name="Input [yellow] 2 3 4 2 2 4" xfId="8286"/>
    <cellStyle name="Input [yellow] 2 3 4 2 3" xfId="8287"/>
    <cellStyle name="Input [yellow] 2 3 4 2 3 2" xfId="8288"/>
    <cellStyle name="Input [yellow] 2 3 4 2 3 3" xfId="8289"/>
    <cellStyle name="Input [yellow] 2 3 4 2 3 4" xfId="8290"/>
    <cellStyle name="Input [yellow] 2 3 4 2 4" xfId="8291"/>
    <cellStyle name="Input [yellow] 2 3 4 2 4 2" xfId="8292"/>
    <cellStyle name="Input [yellow] 2 3 4 2 4 3" xfId="8293"/>
    <cellStyle name="Input [yellow] 2 3 4 2 4 4" xfId="8294"/>
    <cellStyle name="Input [yellow] 2 3 4 2 5" xfId="8295"/>
    <cellStyle name="Input [yellow] 2 3 4 2 5 2" xfId="8296"/>
    <cellStyle name="Input [yellow] 2 3 4 2 5 3" xfId="8297"/>
    <cellStyle name="Input [yellow] 2 3 4 2 5 4" xfId="8298"/>
    <cellStyle name="Input [yellow] 2 3 4 2 6" xfId="8299"/>
    <cellStyle name="Input [yellow] 2 3 4 2 6 2" xfId="8300"/>
    <cellStyle name="Input [yellow] 2 3 4 2 6 3" xfId="8301"/>
    <cellStyle name="Input [yellow] 2 3 4 2 6 4" xfId="8302"/>
    <cellStyle name="Input [yellow] 2 3 4 2 7" xfId="8303"/>
    <cellStyle name="Input [yellow] 2 3 5" xfId="8304"/>
    <cellStyle name="Input [yellow] 2 3 5 2" xfId="8305"/>
    <cellStyle name="Input [yellow] 2 3 5 2 2" xfId="8306"/>
    <cellStyle name="Input [yellow] 2 3 5 2 3" xfId="8307"/>
    <cellStyle name="Input [yellow] 2 3 5 2 4" xfId="8308"/>
    <cellStyle name="Input [yellow] 2 3 5 3" xfId="8309"/>
    <cellStyle name="Input [yellow] 2 3 5 3 2" xfId="8310"/>
    <cellStyle name="Input [yellow] 2 3 5 3 3" xfId="8311"/>
    <cellStyle name="Input [yellow] 2 3 5 3 4" xfId="8312"/>
    <cellStyle name="Input [yellow] 2 3 5 4" xfId="8313"/>
    <cellStyle name="Input [yellow] 2 3 5 4 2" xfId="8314"/>
    <cellStyle name="Input [yellow] 2 3 5 4 3" xfId="8315"/>
    <cellStyle name="Input [yellow] 2 3 5 4 4" xfId="8316"/>
    <cellStyle name="Input [yellow] 2 3 5 5" xfId="8317"/>
    <cellStyle name="Input [yellow] 2 3 5 5 2" xfId="8318"/>
    <cellStyle name="Input [yellow] 2 3 5 5 3" xfId="8319"/>
    <cellStyle name="Input [yellow] 2 3 5 5 4" xfId="8320"/>
    <cellStyle name="Input [yellow] 2 3 5 6" xfId="8321"/>
    <cellStyle name="Input [yellow] 2 3 5 6 2" xfId="8322"/>
    <cellStyle name="Input [yellow] 2 3 5 6 3" xfId="8323"/>
    <cellStyle name="Input [yellow] 2 3 5 6 4" xfId="8324"/>
    <cellStyle name="Input [yellow] 2 3 5 7" xfId="8325"/>
    <cellStyle name="Input [yellow] 2 3 6" xfId="8326"/>
    <cellStyle name="Input [yellow] 2 3 6 2" xfId="8327"/>
    <cellStyle name="Input [yellow] 2 3 6 3" xfId="8328"/>
    <cellStyle name="Input [yellow] 2 3 6 4" xfId="8329"/>
    <cellStyle name="Input [yellow] 2 3 7" xfId="8330"/>
    <cellStyle name="Input [yellow] 2 3 7 2" xfId="8331"/>
    <cellStyle name="Input [yellow] 2 3 7 3" xfId="8332"/>
    <cellStyle name="Input [yellow] 2 3 7 4" xfId="8333"/>
    <cellStyle name="Input [yellow] 2 3 8" xfId="8334"/>
    <cellStyle name="Input [yellow] 2 3 8 2" xfId="8335"/>
    <cellStyle name="Input [yellow] 2 3 8 3" xfId="8336"/>
    <cellStyle name="Input [yellow] 2 3 8 4" xfId="8337"/>
    <cellStyle name="Input [yellow] 2 3 9" xfId="8338"/>
    <cellStyle name="Input [yellow] 2 3 9 2" xfId="8339"/>
    <cellStyle name="Input [yellow] 2 3 9 3" xfId="8340"/>
    <cellStyle name="Input [yellow] 2 3 9 4" xfId="8341"/>
    <cellStyle name="Input [yellow] 2 4" xfId="8342"/>
    <cellStyle name="Input [yellow] 2 4 2" xfId="8343"/>
    <cellStyle name="Input [yellow] 2 4 2 2" xfId="8344"/>
    <cellStyle name="Input [yellow] 2 4 2 2 2" xfId="8345"/>
    <cellStyle name="Input [yellow] 2 4 2 2 2 2" xfId="8346"/>
    <cellStyle name="Input [yellow] 2 4 2 2 2 3" xfId="8347"/>
    <cellStyle name="Input [yellow] 2 4 2 2 2 4" xfId="8348"/>
    <cellStyle name="Input [yellow] 2 4 2 2 3" xfId="8349"/>
    <cellStyle name="Input [yellow] 2 4 2 2 3 2" xfId="8350"/>
    <cellStyle name="Input [yellow] 2 4 2 2 3 3" xfId="8351"/>
    <cellStyle name="Input [yellow] 2 4 2 2 3 4" xfId="8352"/>
    <cellStyle name="Input [yellow] 2 4 2 2 4" xfId="8353"/>
    <cellStyle name="Input [yellow] 2 4 2 2 4 2" xfId="8354"/>
    <cellStyle name="Input [yellow] 2 4 2 2 4 3" xfId="8355"/>
    <cellStyle name="Input [yellow] 2 4 2 2 4 4" xfId="8356"/>
    <cellStyle name="Input [yellow] 2 4 2 2 5" xfId="8357"/>
    <cellStyle name="Input [yellow] 2 4 2 2 5 2" xfId="8358"/>
    <cellStyle name="Input [yellow] 2 4 2 2 5 3" xfId="8359"/>
    <cellStyle name="Input [yellow] 2 4 2 2 5 4" xfId="8360"/>
    <cellStyle name="Input [yellow] 2 4 2 2 6" xfId="8361"/>
    <cellStyle name="Input [yellow] 2 4 2 2 6 2" xfId="8362"/>
    <cellStyle name="Input [yellow] 2 4 2 2 6 3" xfId="8363"/>
    <cellStyle name="Input [yellow] 2 4 2 2 6 4" xfId="8364"/>
    <cellStyle name="Input [yellow] 2 4 2 2 7" xfId="8365"/>
    <cellStyle name="Input [yellow] 2 4 3" xfId="8366"/>
    <cellStyle name="Input [yellow] 2 4 3 2" xfId="8367"/>
    <cellStyle name="Input [yellow] 2 4 3 2 2" xfId="8368"/>
    <cellStyle name="Input [yellow] 2 4 3 2 3" xfId="8369"/>
    <cellStyle name="Input [yellow] 2 4 3 2 4" xfId="8370"/>
    <cellStyle name="Input [yellow] 2 4 3 3" xfId="8371"/>
    <cellStyle name="Input [yellow] 2 4 3 3 2" xfId="8372"/>
    <cellStyle name="Input [yellow] 2 4 3 3 3" xfId="8373"/>
    <cellStyle name="Input [yellow] 2 4 3 3 4" xfId="8374"/>
    <cellStyle name="Input [yellow] 2 4 3 4" xfId="8375"/>
    <cellStyle name="Input [yellow] 2 4 3 4 2" xfId="8376"/>
    <cellStyle name="Input [yellow] 2 4 3 4 3" xfId="8377"/>
    <cellStyle name="Input [yellow] 2 4 3 4 4" xfId="8378"/>
    <cellStyle name="Input [yellow] 2 4 3 5" xfId="8379"/>
    <cellStyle name="Input [yellow] 2 4 3 5 2" xfId="8380"/>
    <cellStyle name="Input [yellow] 2 4 3 5 3" xfId="8381"/>
    <cellStyle name="Input [yellow] 2 4 3 5 4" xfId="8382"/>
    <cellStyle name="Input [yellow] 2 4 3 6" xfId="8383"/>
    <cellStyle name="Input [yellow] 2 4 3 6 2" xfId="8384"/>
    <cellStyle name="Input [yellow] 2 4 3 6 3" xfId="8385"/>
    <cellStyle name="Input [yellow] 2 4 3 6 4" xfId="8386"/>
    <cellStyle name="Input [yellow] 2 4 3 7" xfId="8387"/>
    <cellStyle name="Input [yellow] 3" xfId="8388"/>
    <cellStyle name="Input [yellow] 3 2" xfId="8389"/>
    <cellStyle name="Input [yellow] 3 2 2" xfId="8390"/>
    <cellStyle name="Input [yellow] 3 2 2 10" xfId="8391"/>
    <cellStyle name="Input [yellow] 3 2 2 10 2" xfId="8392"/>
    <cellStyle name="Input [yellow] 3 2 2 10 3" xfId="8393"/>
    <cellStyle name="Input [yellow] 3 2 2 10 4" xfId="8394"/>
    <cellStyle name="Input [yellow] 3 2 2 11" xfId="8395"/>
    <cellStyle name="Input [yellow] 3 2 2 11 2" xfId="8396"/>
    <cellStyle name="Input [yellow] 3 2 2 11 3" xfId="8397"/>
    <cellStyle name="Input [yellow] 3 2 2 11 4" xfId="8398"/>
    <cellStyle name="Input [yellow] 3 2 2 12" xfId="8399"/>
    <cellStyle name="Input [yellow] 3 2 2 2" xfId="8400"/>
    <cellStyle name="Input [yellow] 3 2 2 2 2" xfId="8401"/>
    <cellStyle name="Input [yellow] 3 2 2 2 2 2" xfId="8402"/>
    <cellStyle name="Input [yellow] 3 2 2 2 2 2 2" xfId="8403"/>
    <cellStyle name="Input [yellow] 3 2 2 2 2 2 2 2" xfId="8404"/>
    <cellStyle name="Input [yellow] 3 2 2 2 2 2 2 3" xfId="8405"/>
    <cellStyle name="Input [yellow] 3 2 2 2 2 2 2 4" xfId="8406"/>
    <cellStyle name="Input [yellow] 3 2 2 2 2 2 3" xfId="8407"/>
    <cellStyle name="Input [yellow] 3 2 2 2 2 2 3 2" xfId="8408"/>
    <cellStyle name="Input [yellow] 3 2 2 2 2 2 3 3" xfId="8409"/>
    <cellStyle name="Input [yellow] 3 2 2 2 2 2 3 4" xfId="8410"/>
    <cellStyle name="Input [yellow] 3 2 2 2 2 2 4" xfId="8411"/>
    <cellStyle name="Input [yellow] 3 2 2 2 2 2 4 2" xfId="8412"/>
    <cellStyle name="Input [yellow] 3 2 2 2 2 2 4 3" xfId="8413"/>
    <cellStyle name="Input [yellow] 3 2 2 2 2 2 4 4" xfId="8414"/>
    <cellStyle name="Input [yellow] 3 2 2 2 2 2 5" xfId="8415"/>
    <cellStyle name="Input [yellow] 3 2 2 2 2 2 5 2" xfId="8416"/>
    <cellStyle name="Input [yellow] 3 2 2 2 2 2 5 3" xfId="8417"/>
    <cellStyle name="Input [yellow] 3 2 2 2 2 2 5 4" xfId="8418"/>
    <cellStyle name="Input [yellow] 3 2 2 2 2 2 6" xfId="8419"/>
    <cellStyle name="Input [yellow] 3 2 2 2 2 2 6 2" xfId="8420"/>
    <cellStyle name="Input [yellow] 3 2 2 2 2 2 6 3" xfId="8421"/>
    <cellStyle name="Input [yellow] 3 2 2 2 2 2 6 4" xfId="8422"/>
    <cellStyle name="Input [yellow] 3 2 2 2 2 2 7" xfId="8423"/>
    <cellStyle name="Input [yellow] 3 2 2 2 3" xfId="8424"/>
    <cellStyle name="Input [yellow] 3 2 2 2 3 2" xfId="8425"/>
    <cellStyle name="Input [yellow] 3 2 2 2 3 2 2" xfId="8426"/>
    <cellStyle name="Input [yellow] 3 2 2 2 3 2 3" xfId="8427"/>
    <cellStyle name="Input [yellow] 3 2 2 2 3 2 4" xfId="8428"/>
    <cellStyle name="Input [yellow] 3 2 2 2 3 3" xfId="8429"/>
    <cellStyle name="Input [yellow] 3 2 2 2 3 3 2" xfId="8430"/>
    <cellStyle name="Input [yellow] 3 2 2 2 3 3 3" xfId="8431"/>
    <cellStyle name="Input [yellow] 3 2 2 2 3 3 4" xfId="8432"/>
    <cellStyle name="Input [yellow] 3 2 2 2 3 4" xfId="8433"/>
    <cellStyle name="Input [yellow] 3 2 2 2 3 4 2" xfId="8434"/>
    <cellStyle name="Input [yellow] 3 2 2 2 3 4 3" xfId="8435"/>
    <cellStyle name="Input [yellow] 3 2 2 2 3 4 4" xfId="8436"/>
    <cellStyle name="Input [yellow] 3 2 2 2 3 5" xfId="8437"/>
    <cellStyle name="Input [yellow] 3 2 2 2 3 5 2" xfId="8438"/>
    <cellStyle name="Input [yellow] 3 2 2 2 3 5 3" xfId="8439"/>
    <cellStyle name="Input [yellow] 3 2 2 2 3 5 4" xfId="8440"/>
    <cellStyle name="Input [yellow] 3 2 2 2 3 6" xfId="8441"/>
    <cellStyle name="Input [yellow] 3 2 2 2 3 6 2" xfId="8442"/>
    <cellStyle name="Input [yellow] 3 2 2 2 3 6 3" xfId="8443"/>
    <cellStyle name="Input [yellow] 3 2 2 2 3 6 4" xfId="8444"/>
    <cellStyle name="Input [yellow] 3 2 2 2 3 7" xfId="8445"/>
    <cellStyle name="Input [yellow] 3 2 2 3" xfId="8446"/>
    <cellStyle name="Input [yellow] 3 2 2 3 2" xfId="8447"/>
    <cellStyle name="Input [yellow] 3 2 2 3 2 2" xfId="8448"/>
    <cellStyle name="Input [yellow] 3 2 2 3 2 2 2" xfId="8449"/>
    <cellStyle name="Input [yellow] 3 2 2 3 2 2 3" xfId="8450"/>
    <cellStyle name="Input [yellow] 3 2 2 3 2 2 4" xfId="8451"/>
    <cellStyle name="Input [yellow] 3 2 2 3 2 3" xfId="8452"/>
    <cellStyle name="Input [yellow] 3 2 2 3 2 3 2" xfId="8453"/>
    <cellStyle name="Input [yellow] 3 2 2 3 2 3 3" xfId="8454"/>
    <cellStyle name="Input [yellow] 3 2 2 3 2 3 4" xfId="8455"/>
    <cellStyle name="Input [yellow] 3 2 2 3 2 4" xfId="8456"/>
    <cellStyle name="Input [yellow] 3 2 2 3 2 4 2" xfId="8457"/>
    <cellStyle name="Input [yellow] 3 2 2 3 2 4 3" xfId="8458"/>
    <cellStyle name="Input [yellow] 3 2 2 3 2 4 4" xfId="8459"/>
    <cellStyle name="Input [yellow] 3 2 2 3 2 5" xfId="8460"/>
    <cellStyle name="Input [yellow] 3 2 2 3 2 5 2" xfId="8461"/>
    <cellStyle name="Input [yellow] 3 2 2 3 2 5 3" xfId="8462"/>
    <cellStyle name="Input [yellow] 3 2 2 3 2 5 4" xfId="8463"/>
    <cellStyle name="Input [yellow] 3 2 2 3 2 6" xfId="8464"/>
    <cellStyle name="Input [yellow] 3 2 2 3 2 6 2" xfId="8465"/>
    <cellStyle name="Input [yellow] 3 2 2 3 2 6 3" xfId="8466"/>
    <cellStyle name="Input [yellow] 3 2 2 3 2 6 4" xfId="8467"/>
    <cellStyle name="Input [yellow] 3 2 2 3 2 7" xfId="8468"/>
    <cellStyle name="Input [yellow] 3 2 2 4" xfId="8469"/>
    <cellStyle name="Input [yellow] 3 2 2 4 2" xfId="8470"/>
    <cellStyle name="Input [yellow] 3 2 2 4 2 2" xfId="8471"/>
    <cellStyle name="Input [yellow] 3 2 2 4 2 2 2" xfId="8472"/>
    <cellStyle name="Input [yellow] 3 2 2 4 2 2 3" xfId="8473"/>
    <cellStyle name="Input [yellow] 3 2 2 4 2 2 4" xfId="8474"/>
    <cellStyle name="Input [yellow] 3 2 2 4 2 3" xfId="8475"/>
    <cellStyle name="Input [yellow] 3 2 2 4 2 3 2" xfId="8476"/>
    <cellStyle name="Input [yellow] 3 2 2 4 2 3 3" xfId="8477"/>
    <cellStyle name="Input [yellow] 3 2 2 4 2 3 4" xfId="8478"/>
    <cellStyle name="Input [yellow] 3 2 2 4 2 4" xfId="8479"/>
    <cellStyle name="Input [yellow] 3 2 2 4 2 4 2" xfId="8480"/>
    <cellStyle name="Input [yellow] 3 2 2 4 2 4 3" xfId="8481"/>
    <cellStyle name="Input [yellow] 3 2 2 4 2 4 4" xfId="8482"/>
    <cellStyle name="Input [yellow] 3 2 2 4 2 5" xfId="8483"/>
    <cellStyle name="Input [yellow] 3 2 2 4 2 5 2" xfId="8484"/>
    <cellStyle name="Input [yellow] 3 2 2 4 2 5 3" xfId="8485"/>
    <cellStyle name="Input [yellow] 3 2 2 4 2 5 4" xfId="8486"/>
    <cellStyle name="Input [yellow] 3 2 2 4 2 6" xfId="8487"/>
    <cellStyle name="Input [yellow] 3 2 2 4 2 6 2" xfId="8488"/>
    <cellStyle name="Input [yellow] 3 2 2 4 2 6 3" xfId="8489"/>
    <cellStyle name="Input [yellow] 3 2 2 4 2 6 4" xfId="8490"/>
    <cellStyle name="Input [yellow] 3 2 2 4 2 7" xfId="8491"/>
    <cellStyle name="Input [yellow] 3 2 2 5" xfId="8492"/>
    <cellStyle name="Input [yellow] 3 2 2 5 2" xfId="8493"/>
    <cellStyle name="Input [yellow] 3 2 2 5 2 2" xfId="8494"/>
    <cellStyle name="Input [yellow] 3 2 2 5 2 3" xfId="8495"/>
    <cellStyle name="Input [yellow] 3 2 2 5 2 4" xfId="8496"/>
    <cellStyle name="Input [yellow] 3 2 2 5 3" xfId="8497"/>
    <cellStyle name="Input [yellow] 3 2 2 5 3 2" xfId="8498"/>
    <cellStyle name="Input [yellow] 3 2 2 5 3 3" xfId="8499"/>
    <cellStyle name="Input [yellow] 3 2 2 5 3 4" xfId="8500"/>
    <cellStyle name="Input [yellow] 3 2 2 5 4" xfId="8501"/>
    <cellStyle name="Input [yellow] 3 2 2 5 4 2" xfId="8502"/>
    <cellStyle name="Input [yellow] 3 2 2 5 4 3" xfId="8503"/>
    <cellStyle name="Input [yellow] 3 2 2 5 4 4" xfId="8504"/>
    <cellStyle name="Input [yellow] 3 2 2 5 5" xfId="8505"/>
    <cellStyle name="Input [yellow] 3 2 2 5 5 2" xfId="8506"/>
    <cellStyle name="Input [yellow] 3 2 2 5 5 3" xfId="8507"/>
    <cellStyle name="Input [yellow] 3 2 2 5 5 4" xfId="8508"/>
    <cellStyle name="Input [yellow] 3 2 2 5 6" xfId="8509"/>
    <cellStyle name="Input [yellow] 3 2 2 5 6 2" xfId="8510"/>
    <cellStyle name="Input [yellow] 3 2 2 5 6 3" xfId="8511"/>
    <cellStyle name="Input [yellow] 3 2 2 5 6 4" xfId="8512"/>
    <cellStyle name="Input [yellow] 3 2 2 5 7" xfId="8513"/>
    <cellStyle name="Input [yellow] 3 2 2 6" xfId="8514"/>
    <cellStyle name="Input [yellow] 3 2 2 6 2" xfId="8515"/>
    <cellStyle name="Input [yellow] 3 2 2 6 3" xfId="8516"/>
    <cellStyle name="Input [yellow] 3 2 2 6 4" xfId="8517"/>
    <cellStyle name="Input [yellow] 3 2 2 7" xfId="8518"/>
    <cellStyle name="Input [yellow] 3 2 2 7 2" xfId="8519"/>
    <cellStyle name="Input [yellow] 3 2 2 7 3" xfId="8520"/>
    <cellStyle name="Input [yellow] 3 2 2 7 4" xfId="8521"/>
    <cellStyle name="Input [yellow] 3 2 2 8" xfId="8522"/>
    <cellStyle name="Input [yellow] 3 2 2 8 2" xfId="8523"/>
    <cellStyle name="Input [yellow] 3 2 2 8 3" xfId="8524"/>
    <cellStyle name="Input [yellow] 3 2 2 8 4" xfId="8525"/>
    <cellStyle name="Input [yellow] 3 2 2 9" xfId="8526"/>
    <cellStyle name="Input [yellow] 3 2 2 9 2" xfId="8527"/>
    <cellStyle name="Input [yellow] 3 2 2 9 3" xfId="8528"/>
    <cellStyle name="Input [yellow] 3 2 2 9 4" xfId="8529"/>
    <cellStyle name="Input [yellow] 3 2 3" xfId="8530"/>
    <cellStyle name="Input [yellow] 3 2 3 2" xfId="8531"/>
    <cellStyle name="Input [yellow] 3 2 3 2 2" xfId="8532"/>
    <cellStyle name="Input [yellow] 3 2 3 2 2 2" xfId="8533"/>
    <cellStyle name="Input [yellow] 3 2 3 2 2 2 2" xfId="8534"/>
    <cellStyle name="Input [yellow] 3 2 3 2 2 2 3" xfId="8535"/>
    <cellStyle name="Input [yellow] 3 2 3 2 2 2 4" xfId="8536"/>
    <cellStyle name="Input [yellow] 3 2 3 2 2 3" xfId="8537"/>
    <cellStyle name="Input [yellow] 3 2 3 2 2 3 2" xfId="8538"/>
    <cellStyle name="Input [yellow] 3 2 3 2 2 3 3" xfId="8539"/>
    <cellStyle name="Input [yellow] 3 2 3 2 2 3 4" xfId="8540"/>
    <cellStyle name="Input [yellow] 3 2 3 2 2 4" xfId="8541"/>
    <cellStyle name="Input [yellow] 3 2 3 2 2 4 2" xfId="8542"/>
    <cellStyle name="Input [yellow] 3 2 3 2 2 4 3" xfId="8543"/>
    <cellStyle name="Input [yellow] 3 2 3 2 2 4 4" xfId="8544"/>
    <cellStyle name="Input [yellow] 3 2 3 2 2 5" xfId="8545"/>
    <cellStyle name="Input [yellow] 3 2 3 2 2 5 2" xfId="8546"/>
    <cellStyle name="Input [yellow] 3 2 3 2 2 5 3" xfId="8547"/>
    <cellStyle name="Input [yellow] 3 2 3 2 2 5 4" xfId="8548"/>
    <cellStyle name="Input [yellow] 3 2 3 2 2 6" xfId="8549"/>
    <cellStyle name="Input [yellow] 3 2 3 2 2 6 2" xfId="8550"/>
    <cellStyle name="Input [yellow] 3 2 3 2 2 6 3" xfId="8551"/>
    <cellStyle name="Input [yellow] 3 2 3 2 2 6 4" xfId="8552"/>
    <cellStyle name="Input [yellow] 3 2 3 2 2 7" xfId="8553"/>
    <cellStyle name="Input [yellow] 3 2 3 3" xfId="8554"/>
    <cellStyle name="Input [yellow] 3 2 3 3 2" xfId="8555"/>
    <cellStyle name="Input [yellow] 3 2 3 3 2 2" xfId="8556"/>
    <cellStyle name="Input [yellow] 3 2 3 3 2 3" xfId="8557"/>
    <cellStyle name="Input [yellow] 3 2 3 3 2 4" xfId="8558"/>
    <cellStyle name="Input [yellow] 3 2 3 3 3" xfId="8559"/>
    <cellStyle name="Input [yellow] 3 2 3 3 3 2" xfId="8560"/>
    <cellStyle name="Input [yellow] 3 2 3 3 3 3" xfId="8561"/>
    <cellStyle name="Input [yellow] 3 2 3 3 3 4" xfId="8562"/>
    <cellStyle name="Input [yellow] 3 2 3 3 4" xfId="8563"/>
    <cellStyle name="Input [yellow] 3 2 3 3 4 2" xfId="8564"/>
    <cellStyle name="Input [yellow] 3 2 3 3 4 3" xfId="8565"/>
    <cellStyle name="Input [yellow] 3 2 3 3 4 4" xfId="8566"/>
    <cellStyle name="Input [yellow] 3 2 3 3 5" xfId="8567"/>
    <cellStyle name="Input [yellow] 3 2 3 3 5 2" xfId="8568"/>
    <cellStyle name="Input [yellow] 3 2 3 3 5 3" xfId="8569"/>
    <cellStyle name="Input [yellow] 3 2 3 3 5 4" xfId="8570"/>
    <cellStyle name="Input [yellow] 3 2 3 3 6" xfId="8571"/>
    <cellStyle name="Input [yellow] 3 2 3 3 6 2" xfId="8572"/>
    <cellStyle name="Input [yellow] 3 2 3 3 6 3" xfId="8573"/>
    <cellStyle name="Input [yellow] 3 2 3 3 6 4" xfId="8574"/>
    <cellStyle name="Input [yellow] 3 2 3 3 7" xfId="8575"/>
    <cellStyle name="Input [yellow] 3 3" xfId="8576"/>
    <cellStyle name="Input [yellow] 3 3 10" xfId="8577"/>
    <cellStyle name="Input [yellow] 3 3 10 2" xfId="8578"/>
    <cellStyle name="Input [yellow] 3 3 10 3" xfId="8579"/>
    <cellStyle name="Input [yellow] 3 3 10 4" xfId="8580"/>
    <cellStyle name="Input [yellow] 3 3 11" xfId="8581"/>
    <cellStyle name="Input [yellow] 3 3 11 2" xfId="8582"/>
    <cellStyle name="Input [yellow] 3 3 11 3" xfId="8583"/>
    <cellStyle name="Input [yellow] 3 3 11 4" xfId="8584"/>
    <cellStyle name="Input [yellow] 3 3 12" xfId="8585"/>
    <cellStyle name="Input [yellow] 3 3 2" xfId="8586"/>
    <cellStyle name="Input [yellow] 3 3 2 2" xfId="8587"/>
    <cellStyle name="Input [yellow] 3 3 2 2 2" xfId="8588"/>
    <cellStyle name="Input [yellow] 3 3 2 2 2 2" xfId="8589"/>
    <cellStyle name="Input [yellow] 3 3 2 2 2 2 2" xfId="8590"/>
    <cellStyle name="Input [yellow] 3 3 2 2 2 2 3" xfId="8591"/>
    <cellStyle name="Input [yellow] 3 3 2 2 2 2 4" xfId="8592"/>
    <cellStyle name="Input [yellow] 3 3 2 2 2 3" xfId="8593"/>
    <cellStyle name="Input [yellow] 3 3 2 2 2 3 2" xfId="8594"/>
    <cellStyle name="Input [yellow] 3 3 2 2 2 3 3" xfId="8595"/>
    <cellStyle name="Input [yellow] 3 3 2 2 2 3 4" xfId="8596"/>
    <cellStyle name="Input [yellow] 3 3 2 2 2 4" xfId="8597"/>
    <cellStyle name="Input [yellow] 3 3 2 2 2 4 2" xfId="8598"/>
    <cellStyle name="Input [yellow] 3 3 2 2 2 4 3" xfId="8599"/>
    <cellStyle name="Input [yellow] 3 3 2 2 2 4 4" xfId="8600"/>
    <cellStyle name="Input [yellow] 3 3 2 2 2 5" xfId="8601"/>
    <cellStyle name="Input [yellow] 3 3 2 2 2 5 2" xfId="8602"/>
    <cellStyle name="Input [yellow] 3 3 2 2 2 5 3" xfId="8603"/>
    <cellStyle name="Input [yellow] 3 3 2 2 2 5 4" xfId="8604"/>
    <cellStyle name="Input [yellow] 3 3 2 2 2 6" xfId="8605"/>
    <cellStyle name="Input [yellow] 3 3 2 2 2 6 2" xfId="8606"/>
    <cellStyle name="Input [yellow] 3 3 2 2 2 6 3" xfId="8607"/>
    <cellStyle name="Input [yellow] 3 3 2 2 2 6 4" xfId="8608"/>
    <cellStyle name="Input [yellow] 3 3 2 2 2 7" xfId="8609"/>
    <cellStyle name="Input [yellow] 3 3 2 3" xfId="8610"/>
    <cellStyle name="Input [yellow] 3 3 2 3 2" xfId="8611"/>
    <cellStyle name="Input [yellow] 3 3 2 3 2 2" xfId="8612"/>
    <cellStyle name="Input [yellow] 3 3 2 3 2 3" xfId="8613"/>
    <cellStyle name="Input [yellow] 3 3 2 3 2 4" xfId="8614"/>
    <cellStyle name="Input [yellow] 3 3 2 3 3" xfId="8615"/>
    <cellStyle name="Input [yellow] 3 3 2 3 3 2" xfId="8616"/>
    <cellStyle name="Input [yellow] 3 3 2 3 3 3" xfId="8617"/>
    <cellStyle name="Input [yellow] 3 3 2 3 3 4" xfId="8618"/>
    <cellStyle name="Input [yellow] 3 3 2 3 4" xfId="8619"/>
    <cellStyle name="Input [yellow] 3 3 2 3 4 2" xfId="8620"/>
    <cellStyle name="Input [yellow] 3 3 2 3 4 3" xfId="8621"/>
    <cellStyle name="Input [yellow] 3 3 2 3 4 4" xfId="8622"/>
    <cellStyle name="Input [yellow] 3 3 2 3 5" xfId="8623"/>
    <cellStyle name="Input [yellow] 3 3 2 3 5 2" xfId="8624"/>
    <cellStyle name="Input [yellow] 3 3 2 3 5 3" xfId="8625"/>
    <cellStyle name="Input [yellow] 3 3 2 3 5 4" xfId="8626"/>
    <cellStyle name="Input [yellow] 3 3 2 3 6" xfId="8627"/>
    <cellStyle name="Input [yellow] 3 3 2 3 6 2" xfId="8628"/>
    <cellStyle name="Input [yellow] 3 3 2 3 6 3" xfId="8629"/>
    <cellStyle name="Input [yellow] 3 3 2 3 6 4" xfId="8630"/>
    <cellStyle name="Input [yellow] 3 3 2 3 7" xfId="8631"/>
    <cellStyle name="Input [yellow] 3 3 3" xfId="8632"/>
    <cellStyle name="Input [yellow] 3 3 3 2" xfId="8633"/>
    <cellStyle name="Input [yellow] 3 3 3 2 2" xfId="8634"/>
    <cellStyle name="Input [yellow] 3 3 3 2 2 2" xfId="8635"/>
    <cellStyle name="Input [yellow] 3 3 3 2 2 3" xfId="8636"/>
    <cellStyle name="Input [yellow] 3 3 3 2 2 4" xfId="8637"/>
    <cellStyle name="Input [yellow] 3 3 3 2 3" xfId="8638"/>
    <cellStyle name="Input [yellow] 3 3 3 2 3 2" xfId="8639"/>
    <cellStyle name="Input [yellow] 3 3 3 2 3 3" xfId="8640"/>
    <cellStyle name="Input [yellow] 3 3 3 2 3 4" xfId="8641"/>
    <cellStyle name="Input [yellow] 3 3 3 2 4" xfId="8642"/>
    <cellStyle name="Input [yellow] 3 3 3 2 4 2" xfId="8643"/>
    <cellStyle name="Input [yellow] 3 3 3 2 4 3" xfId="8644"/>
    <cellStyle name="Input [yellow] 3 3 3 2 4 4" xfId="8645"/>
    <cellStyle name="Input [yellow] 3 3 3 2 5" xfId="8646"/>
    <cellStyle name="Input [yellow] 3 3 3 2 5 2" xfId="8647"/>
    <cellStyle name="Input [yellow] 3 3 3 2 5 3" xfId="8648"/>
    <cellStyle name="Input [yellow] 3 3 3 2 5 4" xfId="8649"/>
    <cellStyle name="Input [yellow] 3 3 3 2 6" xfId="8650"/>
    <cellStyle name="Input [yellow] 3 3 3 2 6 2" xfId="8651"/>
    <cellStyle name="Input [yellow] 3 3 3 2 6 3" xfId="8652"/>
    <cellStyle name="Input [yellow] 3 3 3 2 6 4" xfId="8653"/>
    <cellStyle name="Input [yellow] 3 3 3 2 7" xfId="8654"/>
    <cellStyle name="Input [yellow] 3 3 4" xfId="8655"/>
    <cellStyle name="Input [yellow] 3 3 4 2" xfId="8656"/>
    <cellStyle name="Input [yellow] 3 3 4 2 2" xfId="8657"/>
    <cellStyle name="Input [yellow] 3 3 4 2 2 2" xfId="8658"/>
    <cellStyle name="Input [yellow] 3 3 4 2 2 3" xfId="8659"/>
    <cellStyle name="Input [yellow] 3 3 4 2 2 4" xfId="8660"/>
    <cellStyle name="Input [yellow] 3 3 4 2 3" xfId="8661"/>
    <cellStyle name="Input [yellow] 3 3 4 2 3 2" xfId="8662"/>
    <cellStyle name="Input [yellow] 3 3 4 2 3 3" xfId="8663"/>
    <cellStyle name="Input [yellow] 3 3 4 2 3 4" xfId="8664"/>
    <cellStyle name="Input [yellow] 3 3 4 2 4" xfId="8665"/>
    <cellStyle name="Input [yellow] 3 3 4 2 4 2" xfId="8666"/>
    <cellStyle name="Input [yellow] 3 3 4 2 4 3" xfId="8667"/>
    <cellStyle name="Input [yellow] 3 3 4 2 4 4" xfId="8668"/>
    <cellStyle name="Input [yellow] 3 3 4 2 5" xfId="8669"/>
    <cellStyle name="Input [yellow] 3 3 4 2 5 2" xfId="8670"/>
    <cellStyle name="Input [yellow] 3 3 4 2 5 3" xfId="8671"/>
    <cellStyle name="Input [yellow] 3 3 4 2 5 4" xfId="8672"/>
    <cellStyle name="Input [yellow] 3 3 4 2 6" xfId="8673"/>
    <cellStyle name="Input [yellow] 3 3 4 2 6 2" xfId="8674"/>
    <cellStyle name="Input [yellow] 3 3 4 2 6 3" xfId="8675"/>
    <cellStyle name="Input [yellow] 3 3 4 2 6 4" xfId="8676"/>
    <cellStyle name="Input [yellow] 3 3 4 2 7" xfId="8677"/>
    <cellStyle name="Input [yellow] 3 3 5" xfId="8678"/>
    <cellStyle name="Input [yellow] 3 3 5 2" xfId="8679"/>
    <cellStyle name="Input [yellow] 3 3 5 2 2" xfId="8680"/>
    <cellStyle name="Input [yellow] 3 3 5 2 3" xfId="8681"/>
    <cellStyle name="Input [yellow] 3 3 5 2 4" xfId="8682"/>
    <cellStyle name="Input [yellow] 3 3 5 3" xfId="8683"/>
    <cellStyle name="Input [yellow] 3 3 5 3 2" xfId="8684"/>
    <cellStyle name="Input [yellow] 3 3 5 3 3" xfId="8685"/>
    <cellStyle name="Input [yellow] 3 3 5 3 4" xfId="8686"/>
    <cellStyle name="Input [yellow] 3 3 5 4" xfId="8687"/>
    <cellStyle name="Input [yellow] 3 3 5 4 2" xfId="8688"/>
    <cellStyle name="Input [yellow] 3 3 5 4 3" xfId="8689"/>
    <cellStyle name="Input [yellow] 3 3 5 4 4" xfId="8690"/>
    <cellStyle name="Input [yellow] 3 3 5 5" xfId="8691"/>
    <cellStyle name="Input [yellow] 3 3 5 5 2" xfId="8692"/>
    <cellStyle name="Input [yellow] 3 3 5 5 3" xfId="8693"/>
    <cellStyle name="Input [yellow] 3 3 5 5 4" xfId="8694"/>
    <cellStyle name="Input [yellow] 3 3 5 6" xfId="8695"/>
    <cellStyle name="Input [yellow] 3 3 5 6 2" xfId="8696"/>
    <cellStyle name="Input [yellow] 3 3 5 6 3" xfId="8697"/>
    <cellStyle name="Input [yellow] 3 3 5 6 4" xfId="8698"/>
    <cellStyle name="Input [yellow] 3 3 5 7" xfId="8699"/>
    <cellStyle name="Input [yellow] 3 3 6" xfId="8700"/>
    <cellStyle name="Input [yellow] 3 3 6 2" xfId="8701"/>
    <cellStyle name="Input [yellow] 3 3 6 3" xfId="8702"/>
    <cellStyle name="Input [yellow] 3 3 6 4" xfId="8703"/>
    <cellStyle name="Input [yellow] 3 3 7" xfId="8704"/>
    <cellStyle name="Input [yellow] 3 3 7 2" xfId="8705"/>
    <cellStyle name="Input [yellow] 3 3 7 3" xfId="8706"/>
    <cellStyle name="Input [yellow] 3 3 7 4" xfId="8707"/>
    <cellStyle name="Input [yellow] 3 3 8" xfId="8708"/>
    <cellStyle name="Input [yellow] 3 3 8 2" xfId="8709"/>
    <cellStyle name="Input [yellow] 3 3 8 3" xfId="8710"/>
    <cellStyle name="Input [yellow] 3 3 8 4" xfId="8711"/>
    <cellStyle name="Input [yellow] 3 3 9" xfId="8712"/>
    <cellStyle name="Input [yellow] 3 3 9 2" xfId="8713"/>
    <cellStyle name="Input [yellow] 3 3 9 3" xfId="8714"/>
    <cellStyle name="Input [yellow] 3 3 9 4" xfId="8715"/>
    <cellStyle name="Input [yellow] 3 4" xfId="8716"/>
    <cellStyle name="Input [yellow] 3 4 2" xfId="8717"/>
    <cellStyle name="Input [yellow] 3 4 2 2" xfId="8718"/>
    <cellStyle name="Input [yellow] 3 4 2 2 2" xfId="8719"/>
    <cellStyle name="Input [yellow] 3 4 2 2 2 2" xfId="8720"/>
    <cellStyle name="Input [yellow] 3 4 2 2 2 3" xfId="8721"/>
    <cellStyle name="Input [yellow] 3 4 2 2 2 4" xfId="8722"/>
    <cellStyle name="Input [yellow] 3 4 2 2 3" xfId="8723"/>
    <cellStyle name="Input [yellow] 3 4 2 2 3 2" xfId="8724"/>
    <cellStyle name="Input [yellow] 3 4 2 2 3 3" xfId="8725"/>
    <cellStyle name="Input [yellow] 3 4 2 2 3 4" xfId="8726"/>
    <cellStyle name="Input [yellow] 3 4 2 2 4" xfId="8727"/>
    <cellStyle name="Input [yellow] 3 4 2 2 4 2" xfId="8728"/>
    <cellStyle name="Input [yellow] 3 4 2 2 4 3" xfId="8729"/>
    <cellStyle name="Input [yellow] 3 4 2 2 4 4" xfId="8730"/>
    <cellStyle name="Input [yellow] 3 4 2 2 5" xfId="8731"/>
    <cellStyle name="Input [yellow] 3 4 2 2 5 2" xfId="8732"/>
    <cellStyle name="Input [yellow] 3 4 2 2 5 3" xfId="8733"/>
    <cellStyle name="Input [yellow] 3 4 2 2 5 4" xfId="8734"/>
    <cellStyle name="Input [yellow] 3 4 2 2 6" xfId="8735"/>
    <cellStyle name="Input [yellow] 3 4 2 2 6 2" xfId="8736"/>
    <cellStyle name="Input [yellow] 3 4 2 2 6 3" xfId="8737"/>
    <cellStyle name="Input [yellow] 3 4 2 2 6 4" xfId="8738"/>
    <cellStyle name="Input [yellow] 3 4 2 2 7" xfId="8739"/>
    <cellStyle name="Input [yellow] 3 4 3" xfId="8740"/>
    <cellStyle name="Input [yellow] 3 4 3 2" xfId="8741"/>
    <cellStyle name="Input [yellow] 3 4 3 2 2" xfId="8742"/>
    <cellStyle name="Input [yellow] 3 4 3 2 3" xfId="8743"/>
    <cellStyle name="Input [yellow] 3 4 3 2 4" xfId="8744"/>
    <cellStyle name="Input [yellow] 3 4 3 3" xfId="8745"/>
    <cellStyle name="Input [yellow] 3 4 3 3 2" xfId="8746"/>
    <cellStyle name="Input [yellow] 3 4 3 3 3" xfId="8747"/>
    <cellStyle name="Input [yellow] 3 4 3 3 4" xfId="8748"/>
    <cellStyle name="Input [yellow] 3 4 3 4" xfId="8749"/>
    <cellStyle name="Input [yellow] 3 4 3 4 2" xfId="8750"/>
    <cellStyle name="Input [yellow] 3 4 3 4 3" xfId="8751"/>
    <cellStyle name="Input [yellow] 3 4 3 4 4" xfId="8752"/>
    <cellStyle name="Input [yellow] 3 4 3 5" xfId="8753"/>
    <cellStyle name="Input [yellow] 3 4 3 5 2" xfId="8754"/>
    <cellStyle name="Input [yellow] 3 4 3 5 3" xfId="8755"/>
    <cellStyle name="Input [yellow] 3 4 3 5 4" xfId="8756"/>
    <cellStyle name="Input [yellow] 3 4 3 6" xfId="8757"/>
    <cellStyle name="Input [yellow] 3 4 3 6 2" xfId="8758"/>
    <cellStyle name="Input [yellow] 3 4 3 6 3" xfId="8759"/>
    <cellStyle name="Input [yellow] 3 4 3 6 4" xfId="8760"/>
    <cellStyle name="Input [yellow] 3 4 3 7" xfId="8761"/>
    <cellStyle name="Input [yellow] 4" xfId="8762"/>
    <cellStyle name="Input [yellow] 4 2" xfId="8763"/>
    <cellStyle name="Input [yellow] 4 2 10" xfId="8764"/>
    <cellStyle name="Input [yellow] 4 2 10 2" xfId="8765"/>
    <cellStyle name="Input [yellow] 4 2 10 3" xfId="8766"/>
    <cellStyle name="Input [yellow] 4 2 10 4" xfId="8767"/>
    <cellStyle name="Input [yellow] 4 2 11" xfId="8768"/>
    <cellStyle name="Input [yellow] 4 2 11 2" xfId="8769"/>
    <cellStyle name="Input [yellow] 4 2 11 3" xfId="8770"/>
    <cellStyle name="Input [yellow] 4 2 11 4" xfId="8771"/>
    <cellStyle name="Input [yellow] 4 2 12" xfId="8772"/>
    <cellStyle name="Input [yellow] 4 2 2" xfId="8773"/>
    <cellStyle name="Input [yellow] 4 2 2 2" xfId="8774"/>
    <cellStyle name="Input [yellow] 4 2 2 2 2" xfId="8775"/>
    <cellStyle name="Input [yellow] 4 2 2 2 2 2" xfId="8776"/>
    <cellStyle name="Input [yellow] 4 2 2 2 2 2 2" xfId="8777"/>
    <cellStyle name="Input [yellow] 4 2 2 2 2 2 3" xfId="8778"/>
    <cellStyle name="Input [yellow] 4 2 2 2 2 2 4" xfId="8779"/>
    <cellStyle name="Input [yellow] 4 2 2 2 2 3" xfId="8780"/>
    <cellStyle name="Input [yellow] 4 2 2 2 2 3 2" xfId="8781"/>
    <cellStyle name="Input [yellow] 4 2 2 2 2 3 3" xfId="8782"/>
    <cellStyle name="Input [yellow] 4 2 2 2 2 3 4" xfId="8783"/>
    <cellStyle name="Input [yellow] 4 2 2 2 2 4" xfId="8784"/>
    <cellStyle name="Input [yellow] 4 2 2 2 2 4 2" xfId="8785"/>
    <cellStyle name="Input [yellow] 4 2 2 2 2 4 3" xfId="8786"/>
    <cellStyle name="Input [yellow] 4 2 2 2 2 4 4" xfId="8787"/>
    <cellStyle name="Input [yellow] 4 2 2 2 2 5" xfId="8788"/>
    <cellStyle name="Input [yellow] 4 2 2 2 2 5 2" xfId="8789"/>
    <cellStyle name="Input [yellow] 4 2 2 2 2 5 3" xfId="8790"/>
    <cellStyle name="Input [yellow] 4 2 2 2 2 5 4" xfId="8791"/>
    <cellStyle name="Input [yellow] 4 2 2 2 2 6" xfId="8792"/>
    <cellStyle name="Input [yellow] 4 2 2 2 2 6 2" xfId="8793"/>
    <cellStyle name="Input [yellow] 4 2 2 2 2 6 3" xfId="8794"/>
    <cellStyle name="Input [yellow] 4 2 2 2 2 6 4" xfId="8795"/>
    <cellStyle name="Input [yellow] 4 2 2 2 2 7" xfId="8796"/>
    <cellStyle name="Input [yellow] 4 2 2 3" xfId="8797"/>
    <cellStyle name="Input [yellow] 4 2 2 3 2" xfId="8798"/>
    <cellStyle name="Input [yellow] 4 2 2 3 2 2" xfId="8799"/>
    <cellStyle name="Input [yellow] 4 2 2 3 2 3" xfId="8800"/>
    <cellStyle name="Input [yellow] 4 2 2 3 2 4" xfId="8801"/>
    <cellStyle name="Input [yellow] 4 2 2 3 3" xfId="8802"/>
    <cellStyle name="Input [yellow] 4 2 2 3 3 2" xfId="8803"/>
    <cellStyle name="Input [yellow] 4 2 2 3 3 3" xfId="8804"/>
    <cellStyle name="Input [yellow] 4 2 2 3 3 4" xfId="8805"/>
    <cellStyle name="Input [yellow] 4 2 2 3 4" xfId="8806"/>
    <cellStyle name="Input [yellow] 4 2 2 3 4 2" xfId="8807"/>
    <cellStyle name="Input [yellow] 4 2 2 3 4 3" xfId="8808"/>
    <cellStyle name="Input [yellow] 4 2 2 3 4 4" xfId="8809"/>
    <cellStyle name="Input [yellow] 4 2 2 3 5" xfId="8810"/>
    <cellStyle name="Input [yellow] 4 2 2 3 5 2" xfId="8811"/>
    <cellStyle name="Input [yellow] 4 2 2 3 5 3" xfId="8812"/>
    <cellStyle name="Input [yellow] 4 2 2 3 5 4" xfId="8813"/>
    <cellStyle name="Input [yellow] 4 2 2 3 6" xfId="8814"/>
    <cellStyle name="Input [yellow] 4 2 2 3 6 2" xfId="8815"/>
    <cellStyle name="Input [yellow] 4 2 2 3 6 3" xfId="8816"/>
    <cellStyle name="Input [yellow] 4 2 2 3 6 4" xfId="8817"/>
    <cellStyle name="Input [yellow] 4 2 2 3 7" xfId="8818"/>
    <cellStyle name="Input [yellow] 4 2 3" xfId="8819"/>
    <cellStyle name="Input [yellow] 4 2 3 2" xfId="8820"/>
    <cellStyle name="Input [yellow] 4 2 3 2 2" xfId="8821"/>
    <cellStyle name="Input [yellow] 4 2 3 2 2 2" xfId="8822"/>
    <cellStyle name="Input [yellow] 4 2 3 2 2 3" xfId="8823"/>
    <cellStyle name="Input [yellow] 4 2 3 2 2 4" xfId="8824"/>
    <cellStyle name="Input [yellow] 4 2 3 2 3" xfId="8825"/>
    <cellStyle name="Input [yellow] 4 2 3 2 3 2" xfId="8826"/>
    <cellStyle name="Input [yellow] 4 2 3 2 3 3" xfId="8827"/>
    <cellStyle name="Input [yellow] 4 2 3 2 3 4" xfId="8828"/>
    <cellStyle name="Input [yellow] 4 2 3 2 4" xfId="8829"/>
    <cellStyle name="Input [yellow] 4 2 3 2 4 2" xfId="8830"/>
    <cellStyle name="Input [yellow] 4 2 3 2 4 3" xfId="8831"/>
    <cellStyle name="Input [yellow] 4 2 3 2 4 4" xfId="8832"/>
    <cellStyle name="Input [yellow] 4 2 3 2 5" xfId="8833"/>
    <cellStyle name="Input [yellow] 4 2 3 2 5 2" xfId="8834"/>
    <cellStyle name="Input [yellow] 4 2 3 2 5 3" xfId="8835"/>
    <cellStyle name="Input [yellow] 4 2 3 2 5 4" xfId="8836"/>
    <cellStyle name="Input [yellow] 4 2 3 2 6" xfId="8837"/>
    <cellStyle name="Input [yellow] 4 2 3 2 6 2" xfId="8838"/>
    <cellStyle name="Input [yellow] 4 2 3 2 6 3" xfId="8839"/>
    <cellStyle name="Input [yellow] 4 2 3 2 6 4" xfId="8840"/>
    <cellStyle name="Input [yellow] 4 2 3 2 7" xfId="8841"/>
    <cellStyle name="Input [yellow] 4 2 4" xfId="8842"/>
    <cellStyle name="Input [yellow] 4 2 4 2" xfId="8843"/>
    <cellStyle name="Input [yellow] 4 2 4 2 2" xfId="8844"/>
    <cellStyle name="Input [yellow] 4 2 4 2 2 2" xfId="8845"/>
    <cellStyle name="Input [yellow] 4 2 4 2 2 3" xfId="8846"/>
    <cellStyle name="Input [yellow] 4 2 4 2 2 4" xfId="8847"/>
    <cellStyle name="Input [yellow] 4 2 4 2 3" xfId="8848"/>
    <cellStyle name="Input [yellow] 4 2 4 2 3 2" xfId="8849"/>
    <cellStyle name="Input [yellow] 4 2 4 2 3 3" xfId="8850"/>
    <cellStyle name="Input [yellow] 4 2 4 2 3 4" xfId="8851"/>
    <cellStyle name="Input [yellow] 4 2 4 2 4" xfId="8852"/>
    <cellStyle name="Input [yellow] 4 2 4 2 4 2" xfId="8853"/>
    <cellStyle name="Input [yellow] 4 2 4 2 4 3" xfId="8854"/>
    <cellStyle name="Input [yellow] 4 2 4 2 4 4" xfId="8855"/>
    <cellStyle name="Input [yellow] 4 2 4 2 5" xfId="8856"/>
    <cellStyle name="Input [yellow] 4 2 4 2 5 2" xfId="8857"/>
    <cellStyle name="Input [yellow] 4 2 4 2 5 3" xfId="8858"/>
    <cellStyle name="Input [yellow] 4 2 4 2 5 4" xfId="8859"/>
    <cellStyle name="Input [yellow] 4 2 4 2 6" xfId="8860"/>
    <cellStyle name="Input [yellow] 4 2 4 2 6 2" xfId="8861"/>
    <cellStyle name="Input [yellow] 4 2 4 2 6 3" xfId="8862"/>
    <cellStyle name="Input [yellow] 4 2 4 2 6 4" xfId="8863"/>
    <cellStyle name="Input [yellow] 4 2 4 2 7" xfId="8864"/>
    <cellStyle name="Input [yellow] 4 2 5" xfId="8865"/>
    <cellStyle name="Input [yellow] 4 2 5 2" xfId="8866"/>
    <cellStyle name="Input [yellow] 4 2 5 2 2" xfId="8867"/>
    <cellStyle name="Input [yellow] 4 2 5 2 3" xfId="8868"/>
    <cellStyle name="Input [yellow] 4 2 5 2 4" xfId="8869"/>
    <cellStyle name="Input [yellow] 4 2 5 3" xfId="8870"/>
    <cellStyle name="Input [yellow] 4 2 5 3 2" xfId="8871"/>
    <cellStyle name="Input [yellow] 4 2 5 3 3" xfId="8872"/>
    <cellStyle name="Input [yellow] 4 2 5 3 4" xfId="8873"/>
    <cellStyle name="Input [yellow] 4 2 5 4" xfId="8874"/>
    <cellStyle name="Input [yellow] 4 2 5 4 2" xfId="8875"/>
    <cellStyle name="Input [yellow] 4 2 5 4 3" xfId="8876"/>
    <cellStyle name="Input [yellow] 4 2 5 4 4" xfId="8877"/>
    <cellStyle name="Input [yellow] 4 2 5 5" xfId="8878"/>
    <cellStyle name="Input [yellow] 4 2 5 5 2" xfId="8879"/>
    <cellStyle name="Input [yellow] 4 2 5 5 3" xfId="8880"/>
    <cellStyle name="Input [yellow] 4 2 5 5 4" xfId="8881"/>
    <cellStyle name="Input [yellow] 4 2 5 6" xfId="8882"/>
    <cellStyle name="Input [yellow] 4 2 5 6 2" xfId="8883"/>
    <cellStyle name="Input [yellow] 4 2 5 6 3" xfId="8884"/>
    <cellStyle name="Input [yellow] 4 2 5 6 4" xfId="8885"/>
    <cellStyle name="Input [yellow] 4 2 5 7" xfId="8886"/>
    <cellStyle name="Input [yellow] 4 2 6" xfId="8887"/>
    <cellStyle name="Input [yellow] 4 2 6 2" xfId="8888"/>
    <cellStyle name="Input [yellow] 4 2 6 3" xfId="8889"/>
    <cellStyle name="Input [yellow] 4 2 6 4" xfId="8890"/>
    <cellStyle name="Input [yellow] 4 2 7" xfId="8891"/>
    <cellStyle name="Input [yellow] 4 2 7 2" xfId="8892"/>
    <cellStyle name="Input [yellow] 4 2 7 3" xfId="8893"/>
    <cellStyle name="Input [yellow] 4 2 7 4" xfId="8894"/>
    <cellStyle name="Input [yellow] 4 2 8" xfId="8895"/>
    <cellStyle name="Input [yellow] 4 2 8 2" xfId="8896"/>
    <cellStyle name="Input [yellow] 4 2 8 3" xfId="8897"/>
    <cellStyle name="Input [yellow] 4 2 8 4" xfId="8898"/>
    <cellStyle name="Input [yellow] 4 2 9" xfId="8899"/>
    <cellStyle name="Input [yellow] 4 2 9 2" xfId="8900"/>
    <cellStyle name="Input [yellow] 4 2 9 3" xfId="8901"/>
    <cellStyle name="Input [yellow] 4 2 9 4" xfId="8902"/>
    <cellStyle name="Input [yellow] 4 3" xfId="8903"/>
    <cellStyle name="Input [yellow] 4 3 2" xfId="8904"/>
    <cellStyle name="Input [yellow] 4 3 2 2" xfId="8905"/>
    <cellStyle name="Input [yellow] 4 3 2 2 2" xfId="8906"/>
    <cellStyle name="Input [yellow] 4 3 2 2 2 2" xfId="8907"/>
    <cellStyle name="Input [yellow] 4 3 2 2 2 3" xfId="8908"/>
    <cellStyle name="Input [yellow] 4 3 2 2 2 4" xfId="8909"/>
    <cellStyle name="Input [yellow] 4 3 2 2 3" xfId="8910"/>
    <cellStyle name="Input [yellow] 4 3 2 2 3 2" xfId="8911"/>
    <cellStyle name="Input [yellow] 4 3 2 2 3 3" xfId="8912"/>
    <cellStyle name="Input [yellow] 4 3 2 2 3 4" xfId="8913"/>
    <cellStyle name="Input [yellow] 4 3 2 2 4" xfId="8914"/>
    <cellStyle name="Input [yellow] 4 3 2 2 4 2" xfId="8915"/>
    <cellStyle name="Input [yellow] 4 3 2 2 4 3" xfId="8916"/>
    <cellStyle name="Input [yellow] 4 3 2 2 4 4" xfId="8917"/>
    <cellStyle name="Input [yellow] 4 3 2 2 5" xfId="8918"/>
    <cellStyle name="Input [yellow] 4 3 2 2 5 2" xfId="8919"/>
    <cellStyle name="Input [yellow] 4 3 2 2 5 3" xfId="8920"/>
    <cellStyle name="Input [yellow] 4 3 2 2 5 4" xfId="8921"/>
    <cellStyle name="Input [yellow] 4 3 2 2 6" xfId="8922"/>
    <cellStyle name="Input [yellow] 4 3 2 2 6 2" xfId="8923"/>
    <cellStyle name="Input [yellow] 4 3 2 2 6 3" xfId="8924"/>
    <cellStyle name="Input [yellow] 4 3 2 2 6 4" xfId="8925"/>
    <cellStyle name="Input [yellow] 4 3 2 2 7" xfId="8926"/>
    <cellStyle name="Input [yellow] 4 3 3" xfId="8927"/>
    <cellStyle name="Input [yellow] 4 3 3 2" xfId="8928"/>
    <cellStyle name="Input [yellow] 4 3 3 2 2" xfId="8929"/>
    <cellStyle name="Input [yellow] 4 3 3 2 3" xfId="8930"/>
    <cellStyle name="Input [yellow] 4 3 3 2 4" xfId="8931"/>
    <cellStyle name="Input [yellow] 4 3 3 3" xfId="8932"/>
    <cellStyle name="Input [yellow] 4 3 3 3 2" xfId="8933"/>
    <cellStyle name="Input [yellow] 4 3 3 3 3" xfId="8934"/>
    <cellStyle name="Input [yellow] 4 3 3 3 4" xfId="8935"/>
    <cellStyle name="Input [yellow] 4 3 3 4" xfId="8936"/>
    <cellStyle name="Input [yellow] 4 3 3 4 2" xfId="8937"/>
    <cellStyle name="Input [yellow] 4 3 3 4 3" xfId="8938"/>
    <cellStyle name="Input [yellow] 4 3 3 4 4" xfId="8939"/>
    <cellStyle name="Input [yellow] 4 3 3 5" xfId="8940"/>
    <cellStyle name="Input [yellow] 4 3 3 5 2" xfId="8941"/>
    <cellStyle name="Input [yellow] 4 3 3 5 3" xfId="8942"/>
    <cellStyle name="Input [yellow] 4 3 3 5 4" xfId="8943"/>
    <cellStyle name="Input [yellow] 4 3 3 6" xfId="8944"/>
    <cellStyle name="Input [yellow] 4 3 3 6 2" xfId="8945"/>
    <cellStyle name="Input [yellow] 4 3 3 6 3" xfId="8946"/>
    <cellStyle name="Input [yellow] 4 3 3 6 4" xfId="8947"/>
    <cellStyle name="Input [yellow] 4 3 3 7" xfId="8948"/>
    <cellStyle name="Input [yellow] 5" xfId="8949"/>
    <cellStyle name="Input [yellow] 5 10" xfId="8950"/>
    <cellStyle name="Input [yellow] 5 10 2" xfId="8951"/>
    <cellStyle name="Input [yellow] 5 10 3" xfId="8952"/>
    <cellStyle name="Input [yellow] 5 10 4" xfId="8953"/>
    <cellStyle name="Input [yellow] 5 11" xfId="8954"/>
    <cellStyle name="Input [yellow] 5 11 2" xfId="8955"/>
    <cellStyle name="Input [yellow] 5 11 3" xfId="8956"/>
    <cellStyle name="Input [yellow] 5 11 4" xfId="8957"/>
    <cellStyle name="Input [yellow] 5 12" xfId="8958"/>
    <cellStyle name="Input [yellow] 5 2" xfId="8959"/>
    <cellStyle name="Input [yellow] 5 2 2" xfId="8960"/>
    <cellStyle name="Input [yellow] 5 2 2 2" xfId="8961"/>
    <cellStyle name="Input [yellow] 5 2 2 2 2" xfId="8962"/>
    <cellStyle name="Input [yellow] 5 2 2 2 2 2" xfId="8963"/>
    <cellStyle name="Input [yellow] 5 2 2 2 2 3" xfId="8964"/>
    <cellStyle name="Input [yellow] 5 2 2 2 2 4" xfId="8965"/>
    <cellStyle name="Input [yellow] 5 2 2 2 3" xfId="8966"/>
    <cellStyle name="Input [yellow] 5 2 2 2 3 2" xfId="8967"/>
    <cellStyle name="Input [yellow] 5 2 2 2 3 3" xfId="8968"/>
    <cellStyle name="Input [yellow] 5 2 2 2 3 4" xfId="8969"/>
    <cellStyle name="Input [yellow] 5 2 2 2 4" xfId="8970"/>
    <cellStyle name="Input [yellow] 5 2 2 2 4 2" xfId="8971"/>
    <cellStyle name="Input [yellow] 5 2 2 2 4 3" xfId="8972"/>
    <cellStyle name="Input [yellow] 5 2 2 2 4 4" xfId="8973"/>
    <cellStyle name="Input [yellow] 5 2 2 2 5" xfId="8974"/>
    <cellStyle name="Input [yellow] 5 2 2 2 5 2" xfId="8975"/>
    <cellStyle name="Input [yellow] 5 2 2 2 5 3" xfId="8976"/>
    <cellStyle name="Input [yellow] 5 2 2 2 5 4" xfId="8977"/>
    <cellStyle name="Input [yellow] 5 2 2 2 6" xfId="8978"/>
    <cellStyle name="Input [yellow] 5 2 2 2 6 2" xfId="8979"/>
    <cellStyle name="Input [yellow] 5 2 2 2 6 3" xfId="8980"/>
    <cellStyle name="Input [yellow] 5 2 2 2 6 4" xfId="8981"/>
    <cellStyle name="Input [yellow] 5 2 2 2 7" xfId="8982"/>
    <cellStyle name="Input [yellow] 5 2 3" xfId="8983"/>
    <cellStyle name="Input [yellow] 5 2 3 2" xfId="8984"/>
    <cellStyle name="Input [yellow] 5 2 3 2 2" xfId="8985"/>
    <cellStyle name="Input [yellow] 5 2 3 2 3" xfId="8986"/>
    <cellStyle name="Input [yellow] 5 2 3 2 4" xfId="8987"/>
    <cellStyle name="Input [yellow] 5 2 3 3" xfId="8988"/>
    <cellStyle name="Input [yellow] 5 2 3 3 2" xfId="8989"/>
    <cellStyle name="Input [yellow] 5 2 3 3 3" xfId="8990"/>
    <cellStyle name="Input [yellow] 5 2 3 3 4" xfId="8991"/>
    <cellStyle name="Input [yellow] 5 2 3 4" xfId="8992"/>
    <cellStyle name="Input [yellow] 5 2 3 4 2" xfId="8993"/>
    <cellStyle name="Input [yellow] 5 2 3 4 3" xfId="8994"/>
    <cellStyle name="Input [yellow] 5 2 3 4 4" xfId="8995"/>
    <cellStyle name="Input [yellow] 5 2 3 5" xfId="8996"/>
    <cellStyle name="Input [yellow] 5 2 3 5 2" xfId="8997"/>
    <cellStyle name="Input [yellow] 5 2 3 5 3" xfId="8998"/>
    <cellStyle name="Input [yellow] 5 2 3 5 4" xfId="8999"/>
    <cellStyle name="Input [yellow] 5 2 3 6" xfId="9000"/>
    <cellStyle name="Input [yellow] 5 2 3 6 2" xfId="9001"/>
    <cellStyle name="Input [yellow] 5 2 3 6 3" xfId="9002"/>
    <cellStyle name="Input [yellow] 5 2 3 6 4" xfId="9003"/>
    <cellStyle name="Input [yellow] 5 2 3 7" xfId="9004"/>
    <cellStyle name="Input [yellow] 5 3" xfId="9005"/>
    <cellStyle name="Input [yellow] 5 3 2" xfId="9006"/>
    <cellStyle name="Input [yellow] 5 3 2 2" xfId="9007"/>
    <cellStyle name="Input [yellow] 5 3 2 2 2" xfId="9008"/>
    <cellStyle name="Input [yellow] 5 3 2 2 3" xfId="9009"/>
    <cellStyle name="Input [yellow] 5 3 2 2 4" xfId="9010"/>
    <cellStyle name="Input [yellow] 5 3 2 3" xfId="9011"/>
    <cellStyle name="Input [yellow] 5 3 2 3 2" xfId="9012"/>
    <cellStyle name="Input [yellow] 5 3 2 3 3" xfId="9013"/>
    <cellStyle name="Input [yellow] 5 3 2 3 4" xfId="9014"/>
    <cellStyle name="Input [yellow] 5 3 2 4" xfId="9015"/>
    <cellStyle name="Input [yellow] 5 3 2 4 2" xfId="9016"/>
    <cellStyle name="Input [yellow] 5 3 2 4 3" xfId="9017"/>
    <cellStyle name="Input [yellow] 5 3 2 4 4" xfId="9018"/>
    <cellStyle name="Input [yellow] 5 3 2 5" xfId="9019"/>
    <cellStyle name="Input [yellow] 5 3 2 5 2" xfId="9020"/>
    <cellStyle name="Input [yellow] 5 3 2 5 3" xfId="9021"/>
    <cellStyle name="Input [yellow] 5 3 2 5 4" xfId="9022"/>
    <cellStyle name="Input [yellow] 5 3 2 6" xfId="9023"/>
    <cellStyle name="Input [yellow] 5 3 2 6 2" xfId="9024"/>
    <cellStyle name="Input [yellow] 5 3 2 6 3" xfId="9025"/>
    <cellStyle name="Input [yellow] 5 3 2 6 4" xfId="9026"/>
    <cellStyle name="Input [yellow] 5 3 2 7" xfId="9027"/>
    <cellStyle name="Input [yellow] 5 4" xfId="9028"/>
    <cellStyle name="Input [yellow] 5 4 2" xfId="9029"/>
    <cellStyle name="Input [yellow] 5 4 2 2" xfId="9030"/>
    <cellStyle name="Input [yellow] 5 4 2 2 2" xfId="9031"/>
    <cellStyle name="Input [yellow] 5 4 2 2 3" xfId="9032"/>
    <cellStyle name="Input [yellow] 5 4 2 2 4" xfId="9033"/>
    <cellStyle name="Input [yellow] 5 4 2 3" xfId="9034"/>
    <cellStyle name="Input [yellow] 5 4 2 3 2" xfId="9035"/>
    <cellStyle name="Input [yellow] 5 4 2 3 3" xfId="9036"/>
    <cellStyle name="Input [yellow] 5 4 2 3 4" xfId="9037"/>
    <cellStyle name="Input [yellow] 5 4 2 4" xfId="9038"/>
    <cellStyle name="Input [yellow] 5 4 2 4 2" xfId="9039"/>
    <cellStyle name="Input [yellow] 5 4 2 4 3" xfId="9040"/>
    <cellStyle name="Input [yellow] 5 4 2 4 4" xfId="9041"/>
    <cellStyle name="Input [yellow] 5 4 2 5" xfId="9042"/>
    <cellStyle name="Input [yellow] 5 4 2 5 2" xfId="9043"/>
    <cellStyle name="Input [yellow] 5 4 2 5 3" xfId="9044"/>
    <cellStyle name="Input [yellow] 5 4 2 5 4" xfId="9045"/>
    <cellStyle name="Input [yellow] 5 4 2 6" xfId="9046"/>
    <cellStyle name="Input [yellow] 5 4 2 6 2" xfId="9047"/>
    <cellStyle name="Input [yellow] 5 4 2 6 3" xfId="9048"/>
    <cellStyle name="Input [yellow] 5 4 2 6 4" xfId="9049"/>
    <cellStyle name="Input [yellow] 5 4 2 7" xfId="9050"/>
    <cellStyle name="Input [yellow] 5 5" xfId="9051"/>
    <cellStyle name="Input [yellow] 5 5 2" xfId="9052"/>
    <cellStyle name="Input [yellow] 5 5 2 2" xfId="9053"/>
    <cellStyle name="Input [yellow] 5 5 2 3" xfId="9054"/>
    <cellStyle name="Input [yellow] 5 5 2 4" xfId="9055"/>
    <cellStyle name="Input [yellow] 5 5 3" xfId="9056"/>
    <cellStyle name="Input [yellow] 5 5 3 2" xfId="9057"/>
    <cellStyle name="Input [yellow] 5 5 3 3" xfId="9058"/>
    <cellStyle name="Input [yellow] 5 5 3 4" xfId="9059"/>
    <cellStyle name="Input [yellow] 5 5 4" xfId="9060"/>
    <cellStyle name="Input [yellow] 5 5 4 2" xfId="9061"/>
    <cellStyle name="Input [yellow] 5 5 4 3" xfId="9062"/>
    <cellStyle name="Input [yellow] 5 5 4 4" xfId="9063"/>
    <cellStyle name="Input [yellow] 5 5 5" xfId="9064"/>
    <cellStyle name="Input [yellow] 5 5 5 2" xfId="9065"/>
    <cellStyle name="Input [yellow] 5 5 5 3" xfId="9066"/>
    <cellStyle name="Input [yellow] 5 5 5 4" xfId="9067"/>
    <cellStyle name="Input [yellow] 5 5 6" xfId="9068"/>
    <cellStyle name="Input [yellow] 5 5 6 2" xfId="9069"/>
    <cellStyle name="Input [yellow] 5 5 6 3" xfId="9070"/>
    <cellStyle name="Input [yellow] 5 5 6 4" xfId="9071"/>
    <cellStyle name="Input [yellow] 5 5 7" xfId="9072"/>
    <cellStyle name="Input [yellow] 5 6" xfId="9073"/>
    <cellStyle name="Input [yellow] 5 6 2" xfId="9074"/>
    <cellStyle name="Input [yellow] 5 6 3" xfId="9075"/>
    <cellStyle name="Input [yellow] 5 6 4" xfId="9076"/>
    <cellStyle name="Input [yellow] 5 7" xfId="9077"/>
    <cellStyle name="Input [yellow] 5 7 2" xfId="9078"/>
    <cellStyle name="Input [yellow] 5 7 3" xfId="9079"/>
    <cellStyle name="Input [yellow] 5 7 4" xfId="9080"/>
    <cellStyle name="Input [yellow] 5 8" xfId="9081"/>
    <cellStyle name="Input [yellow] 5 8 2" xfId="9082"/>
    <cellStyle name="Input [yellow] 5 8 3" xfId="9083"/>
    <cellStyle name="Input [yellow] 5 8 4" xfId="9084"/>
    <cellStyle name="Input [yellow] 5 9" xfId="9085"/>
    <cellStyle name="Input [yellow] 5 9 2" xfId="9086"/>
    <cellStyle name="Input [yellow] 5 9 3" xfId="9087"/>
    <cellStyle name="Input [yellow] 5 9 4" xfId="9088"/>
    <cellStyle name="Input [yellow] 6" xfId="9089"/>
    <cellStyle name="Input [yellow] 6 2" xfId="9090"/>
    <cellStyle name="Input [yellow] 6 2 2" xfId="9091"/>
    <cellStyle name="Input [yellow] 6 2 2 2" xfId="9092"/>
    <cellStyle name="Input [yellow] 6 2 2 2 2" xfId="9093"/>
    <cellStyle name="Input [yellow] 6 2 2 2 3" xfId="9094"/>
    <cellStyle name="Input [yellow] 6 2 2 2 4" xfId="9095"/>
    <cellStyle name="Input [yellow] 6 2 2 3" xfId="9096"/>
    <cellStyle name="Input [yellow] 6 2 2 3 2" xfId="9097"/>
    <cellStyle name="Input [yellow] 6 2 2 3 3" xfId="9098"/>
    <cellStyle name="Input [yellow] 6 2 2 3 4" xfId="9099"/>
    <cellStyle name="Input [yellow] 6 2 2 4" xfId="9100"/>
    <cellStyle name="Input [yellow] 6 2 2 4 2" xfId="9101"/>
    <cellStyle name="Input [yellow] 6 2 2 4 3" xfId="9102"/>
    <cellStyle name="Input [yellow] 6 2 2 4 4" xfId="9103"/>
    <cellStyle name="Input [yellow] 6 2 2 5" xfId="9104"/>
    <cellStyle name="Input [yellow] 6 2 2 5 2" xfId="9105"/>
    <cellStyle name="Input [yellow] 6 2 2 5 3" xfId="9106"/>
    <cellStyle name="Input [yellow] 6 2 2 5 4" xfId="9107"/>
    <cellStyle name="Input [yellow] 6 2 2 6" xfId="9108"/>
    <cellStyle name="Input [yellow] 6 2 2 6 2" xfId="9109"/>
    <cellStyle name="Input [yellow] 6 2 2 6 3" xfId="9110"/>
    <cellStyle name="Input [yellow] 6 2 2 6 4" xfId="9111"/>
    <cellStyle name="Input [yellow] 6 2 2 7" xfId="9112"/>
    <cellStyle name="Input [yellow] 6 3" xfId="9113"/>
    <cellStyle name="Input [yellow] 6 3 2" xfId="9114"/>
    <cellStyle name="Input [yellow] 6 3 2 2" xfId="9115"/>
    <cellStyle name="Input [yellow] 6 3 2 3" xfId="9116"/>
    <cellStyle name="Input [yellow] 6 3 2 4" xfId="9117"/>
    <cellStyle name="Input [yellow] 6 3 3" xfId="9118"/>
    <cellStyle name="Input [yellow] 6 3 3 2" xfId="9119"/>
    <cellStyle name="Input [yellow] 6 3 3 3" xfId="9120"/>
    <cellStyle name="Input [yellow] 6 3 3 4" xfId="9121"/>
    <cellStyle name="Input [yellow] 6 3 4" xfId="9122"/>
    <cellStyle name="Input [yellow] 6 3 4 2" xfId="9123"/>
    <cellStyle name="Input [yellow] 6 3 4 3" xfId="9124"/>
    <cellStyle name="Input [yellow] 6 3 4 4" xfId="9125"/>
    <cellStyle name="Input [yellow] 6 3 5" xfId="9126"/>
    <cellStyle name="Input [yellow] 6 3 5 2" xfId="9127"/>
    <cellStyle name="Input [yellow] 6 3 5 3" xfId="9128"/>
    <cellStyle name="Input [yellow] 6 3 5 4" xfId="9129"/>
    <cellStyle name="Input [yellow] 6 3 6" xfId="9130"/>
    <cellStyle name="Input [yellow] 6 3 6 2" xfId="9131"/>
    <cellStyle name="Input [yellow] 6 3 6 3" xfId="9132"/>
    <cellStyle name="Input [yellow] 6 3 6 4" xfId="9133"/>
    <cellStyle name="Input [yellow] 6 3 7" xfId="9134"/>
    <cellStyle name="Model" xfId="9135"/>
    <cellStyle name="Normal - Style1" xfId="9136"/>
    <cellStyle name="Normal 10" xfId="9137"/>
    <cellStyle name="Normal_ SG&amp;A Bridge " xfId="9138"/>
    <cellStyle name="Percent [2]" xfId="9139"/>
    <cellStyle name="subhead" xfId="9140"/>
    <cellStyle name="강조색1" xfId="4313" builtinId="29" customBuiltin="1"/>
    <cellStyle name="강조색1 10" xfId="9141"/>
    <cellStyle name="강조색1 10 2" xfId="9142"/>
    <cellStyle name="강조색1 11" xfId="9143"/>
    <cellStyle name="강조색1 11 2" xfId="9144"/>
    <cellStyle name="강조색1 12" xfId="9145"/>
    <cellStyle name="강조색1 12 2" xfId="9146"/>
    <cellStyle name="강조색1 13" xfId="9147"/>
    <cellStyle name="강조색1 13 2" xfId="9148"/>
    <cellStyle name="강조색1 14" xfId="9149"/>
    <cellStyle name="강조색1 14 2" xfId="9150"/>
    <cellStyle name="강조색1 15" xfId="9151"/>
    <cellStyle name="강조색1 15 2" xfId="9152"/>
    <cellStyle name="강조색1 16" xfId="9153"/>
    <cellStyle name="강조색1 16 2" xfId="9154"/>
    <cellStyle name="강조색1 2" xfId="3535"/>
    <cellStyle name="강조색1 2 2" xfId="9155"/>
    <cellStyle name="강조색1 2 2 2" xfId="9156"/>
    <cellStyle name="강조색1 2 3" xfId="9157"/>
    <cellStyle name="강조색1 2 3 2" xfId="9158"/>
    <cellStyle name="강조색1 2 4" xfId="9159"/>
    <cellStyle name="강조색1 3" xfId="9160"/>
    <cellStyle name="강조색1 3 2" xfId="9161"/>
    <cellStyle name="강조색1 4" xfId="9162"/>
    <cellStyle name="강조색1 4 2" xfId="9163"/>
    <cellStyle name="강조색1 5" xfId="9164"/>
    <cellStyle name="강조색1 5 2" xfId="9165"/>
    <cellStyle name="강조색1 6" xfId="9166"/>
    <cellStyle name="강조색1 6 2" xfId="9167"/>
    <cellStyle name="강조색1 7" xfId="9168"/>
    <cellStyle name="강조색1 7 2" xfId="9169"/>
    <cellStyle name="강조색1 8" xfId="9170"/>
    <cellStyle name="강조색1 8 2" xfId="9171"/>
    <cellStyle name="강조색1 9" xfId="9172"/>
    <cellStyle name="강조색1 9 2" xfId="9173"/>
    <cellStyle name="강조색2" xfId="4317" builtinId="33" customBuiltin="1"/>
    <cellStyle name="강조색2 10" xfId="9174"/>
    <cellStyle name="강조색2 10 2" xfId="9175"/>
    <cellStyle name="강조색2 11" xfId="9176"/>
    <cellStyle name="강조색2 11 2" xfId="9177"/>
    <cellStyle name="강조색2 12" xfId="9178"/>
    <cellStyle name="강조색2 12 2" xfId="9179"/>
    <cellStyle name="강조색2 13" xfId="9180"/>
    <cellStyle name="강조색2 13 2" xfId="9181"/>
    <cellStyle name="강조색2 14" xfId="9182"/>
    <cellStyle name="강조색2 14 2" xfId="9183"/>
    <cellStyle name="강조색2 15" xfId="9184"/>
    <cellStyle name="강조색2 15 2" xfId="9185"/>
    <cellStyle name="강조색2 16" xfId="9186"/>
    <cellStyle name="강조색2 16 2" xfId="9187"/>
    <cellStyle name="강조색2 2" xfId="3536"/>
    <cellStyle name="강조색2 2 2" xfId="9188"/>
    <cellStyle name="강조색2 2 2 2" xfId="9189"/>
    <cellStyle name="강조색2 2 3" xfId="9190"/>
    <cellStyle name="강조색2 2 3 2" xfId="9191"/>
    <cellStyle name="강조색2 2 4" xfId="9192"/>
    <cellStyle name="강조색2 3" xfId="9193"/>
    <cellStyle name="강조색2 3 2" xfId="9194"/>
    <cellStyle name="강조색2 4" xfId="9195"/>
    <cellStyle name="강조색2 4 2" xfId="9196"/>
    <cellStyle name="강조색2 5" xfId="9197"/>
    <cellStyle name="강조색2 5 2" xfId="9198"/>
    <cellStyle name="강조색2 6" xfId="9199"/>
    <cellStyle name="강조색2 6 2" xfId="9200"/>
    <cellStyle name="강조색2 7" xfId="9201"/>
    <cellStyle name="강조색2 7 2" xfId="9202"/>
    <cellStyle name="강조색2 8" xfId="9203"/>
    <cellStyle name="강조색2 8 2" xfId="9204"/>
    <cellStyle name="강조색2 9" xfId="9205"/>
    <cellStyle name="강조색2 9 2" xfId="9206"/>
    <cellStyle name="강조색3" xfId="4321" builtinId="37" customBuiltin="1"/>
    <cellStyle name="강조색3 10" xfId="9207"/>
    <cellStyle name="강조색3 10 2" xfId="9208"/>
    <cellStyle name="강조색3 11" xfId="9209"/>
    <cellStyle name="강조색3 11 2" xfId="9210"/>
    <cellStyle name="강조색3 12" xfId="9211"/>
    <cellStyle name="강조색3 12 2" xfId="9212"/>
    <cellStyle name="강조색3 13" xfId="9213"/>
    <cellStyle name="강조색3 13 2" xfId="9214"/>
    <cellStyle name="강조색3 14" xfId="9215"/>
    <cellStyle name="강조색3 14 2" xfId="9216"/>
    <cellStyle name="강조색3 15" xfId="9217"/>
    <cellStyle name="강조색3 15 2" xfId="9218"/>
    <cellStyle name="강조색3 16" xfId="9219"/>
    <cellStyle name="강조색3 16 2" xfId="9220"/>
    <cellStyle name="강조색3 2" xfId="3537"/>
    <cellStyle name="강조색3 2 2" xfId="9221"/>
    <cellStyle name="강조색3 2 2 2" xfId="9222"/>
    <cellStyle name="강조색3 2 3" xfId="9223"/>
    <cellStyle name="강조색3 2 3 2" xfId="9224"/>
    <cellStyle name="강조색3 2 4" xfId="9225"/>
    <cellStyle name="강조색3 3" xfId="9226"/>
    <cellStyle name="강조색3 3 2" xfId="9227"/>
    <cellStyle name="강조색3 4" xfId="9228"/>
    <cellStyle name="강조색3 4 2" xfId="9229"/>
    <cellStyle name="강조색3 5" xfId="9230"/>
    <cellStyle name="강조색3 5 2" xfId="9231"/>
    <cellStyle name="강조색3 6" xfId="9232"/>
    <cellStyle name="강조색3 6 2" xfId="9233"/>
    <cellStyle name="강조색3 7" xfId="9234"/>
    <cellStyle name="강조색3 7 2" xfId="9235"/>
    <cellStyle name="강조색3 8" xfId="9236"/>
    <cellStyle name="강조색3 8 2" xfId="9237"/>
    <cellStyle name="강조색3 9" xfId="9238"/>
    <cellStyle name="강조색3 9 2" xfId="9239"/>
    <cellStyle name="강조색4" xfId="4325" builtinId="41" customBuiltin="1"/>
    <cellStyle name="강조색4 10" xfId="9240"/>
    <cellStyle name="강조색4 10 2" xfId="9241"/>
    <cellStyle name="강조색4 11" xfId="9242"/>
    <cellStyle name="강조색4 11 2" xfId="9243"/>
    <cellStyle name="강조색4 12" xfId="9244"/>
    <cellStyle name="강조색4 12 2" xfId="9245"/>
    <cellStyle name="강조색4 13" xfId="9246"/>
    <cellStyle name="강조색4 13 2" xfId="9247"/>
    <cellStyle name="강조색4 14" xfId="9248"/>
    <cellStyle name="강조색4 14 2" xfId="9249"/>
    <cellStyle name="강조색4 15" xfId="9250"/>
    <cellStyle name="강조색4 15 2" xfId="9251"/>
    <cellStyle name="강조색4 16" xfId="9252"/>
    <cellStyle name="강조색4 16 2" xfId="9253"/>
    <cellStyle name="강조색4 2" xfId="3538"/>
    <cellStyle name="강조색4 2 2" xfId="9254"/>
    <cellStyle name="강조색4 2 2 2" xfId="9255"/>
    <cellStyle name="강조색4 2 3" xfId="9256"/>
    <cellStyle name="강조색4 2 3 2" xfId="9257"/>
    <cellStyle name="강조색4 2 4" xfId="9258"/>
    <cellStyle name="강조색4 3" xfId="9259"/>
    <cellStyle name="강조색4 3 2" xfId="9260"/>
    <cellStyle name="강조색4 4" xfId="9261"/>
    <cellStyle name="강조색4 4 2" xfId="9262"/>
    <cellStyle name="강조색4 5" xfId="9263"/>
    <cellStyle name="강조색4 5 2" xfId="9264"/>
    <cellStyle name="강조색4 6" xfId="9265"/>
    <cellStyle name="강조색4 6 2" xfId="9266"/>
    <cellStyle name="강조색4 7" xfId="9267"/>
    <cellStyle name="강조색4 7 2" xfId="9268"/>
    <cellStyle name="강조색4 8" xfId="9269"/>
    <cellStyle name="강조색4 8 2" xfId="9270"/>
    <cellStyle name="강조색4 9" xfId="9271"/>
    <cellStyle name="강조색4 9 2" xfId="9272"/>
    <cellStyle name="강조색5" xfId="4329" builtinId="45" customBuiltin="1"/>
    <cellStyle name="강조색5 10" xfId="9273"/>
    <cellStyle name="강조색5 10 2" xfId="9274"/>
    <cellStyle name="강조색5 11" xfId="9275"/>
    <cellStyle name="강조색5 11 2" xfId="9276"/>
    <cellStyle name="강조색5 12" xfId="9277"/>
    <cellStyle name="강조색5 12 2" xfId="9278"/>
    <cellStyle name="강조색5 13" xfId="9279"/>
    <cellStyle name="강조색5 13 2" xfId="9280"/>
    <cellStyle name="강조색5 14" xfId="9281"/>
    <cellStyle name="강조색5 14 2" xfId="9282"/>
    <cellStyle name="강조색5 15" xfId="9283"/>
    <cellStyle name="강조색5 15 2" xfId="9284"/>
    <cellStyle name="강조색5 16" xfId="9285"/>
    <cellStyle name="강조색5 16 2" xfId="9286"/>
    <cellStyle name="강조색5 2" xfId="3539"/>
    <cellStyle name="강조색5 2 2" xfId="9287"/>
    <cellStyle name="강조색5 2 2 2" xfId="9288"/>
    <cellStyle name="강조색5 2 3" xfId="9289"/>
    <cellStyle name="강조색5 2 3 2" xfId="9290"/>
    <cellStyle name="강조색5 2 4" xfId="9291"/>
    <cellStyle name="강조색5 3" xfId="9292"/>
    <cellStyle name="강조색5 3 2" xfId="9293"/>
    <cellStyle name="강조색5 4" xfId="9294"/>
    <cellStyle name="강조색5 4 2" xfId="9295"/>
    <cellStyle name="강조색5 5" xfId="9296"/>
    <cellStyle name="강조색5 5 2" xfId="9297"/>
    <cellStyle name="강조색5 6" xfId="9298"/>
    <cellStyle name="강조색5 6 2" xfId="9299"/>
    <cellStyle name="강조색5 7" xfId="9300"/>
    <cellStyle name="강조색5 7 2" xfId="9301"/>
    <cellStyle name="강조색5 8" xfId="9302"/>
    <cellStyle name="강조색5 8 2" xfId="9303"/>
    <cellStyle name="강조색5 9" xfId="9304"/>
    <cellStyle name="강조색5 9 2" xfId="9305"/>
    <cellStyle name="강조색6" xfId="4333" builtinId="49" customBuiltin="1"/>
    <cellStyle name="강조색6 10" xfId="9306"/>
    <cellStyle name="강조색6 10 2" xfId="9307"/>
    <cellStyle name="강조색6 11" xfId="9308"/>
    <cellStyle name="강조색6 11 2" xfId="9309"/>
    <cellStyle name="강조색6 12" xfId="9310"/>
    <cellStyle name="강조색6 12 2" xfId="9311"/>
    <cellStyle name="강조색6 13" xfId="9312"/>
    <cellStyle name="강조색6 13 2" xfId="9313"/>
    <cellStyle name="강조색6 14" xfId="9314"/>
    <cellStyle name="강조색6 14 2" xfId="9315"/>
    <cellStyle name="강조색6 15" xfId="9316"/>
    <cellStyle name="강조색6 15 2" xfId="9317"/>
    <cellStyle name="강조색6 16" xfId="9318"/>
    <cellStyle name="강조색6 16 2" xfId="9319"/>
    <cellStyle name="강조색6 2" xfId="3540"/>
    <cellStyle name="강조색6 2 2" xfId="9320"/>
    <cellStyle name="강조색6 2 2 2" xfId="9321"/>
    <cellStyle name="강조색6 2 3" xfId="9322"/>
    <cellStyle name="강조색6 2 3 2" xfId="9323"/>
    <cellStyle name="강조색6 2 4" xfId="9324"/>
    <cellStyle name="강조색6 3" xfId="9325"/>
    <cellStyle name="강조색6 3 2" xfId="9326"/>
    <cellStyle name="강조색6 4" xfId="9327"/>
    <cellStyle name="강조색6 4 2" xfId="9328"/>
    <cellStyle name="강조색6 5" xfId="9329"/>
    <cellStyle name="강조색6 5 2" xfId="9330"/>
    <cellStyle name="강조색6 6" xfId="9331"/>
    <cellStyle name="강조색6 6 2" xfId="9332"/>
    <cellStyle name="강조색6 7" xfId="9333"/>
    <cellStyle name="강조색6 7 2" xfId="9334"/>
    <cellStyle name="강조색6 8" xfId="9335"/>
    <cellStyle name="강조색6 8 2" xfId="9336"/>
    <cellStyle name="강조색6 9" xfId="9337"/>
    <cellStyle name="강조색6 9 2" xfId="9338"/>
    <cellStyle name="경고문" xfId="4310" builtinId="11" customBuiltin="1"/>
    <cellStyle name="경고문 10" xfId="9339"/>
    <cellStyle name="경고문 10 2" xfId="9340"/>
    <cellStyle name="경고문 11" xfId="9341"/>
    <cellStyle name="경고문 11 2" xfId="9342"/>
    <cellStyle name="경고문 12" xfId="9343"/>
    <cellStyle name="경고문 12 2" xfId="9344"/>
    <cellStyle name="경고문 13" xfId="9345"/>
    <cellStyle name="경고문 13 2" xfId="9346"/>
    <cellStyle name="경고문 14" xfId="9347"/>
    <cellStyle name="경고문 14 2" xfId="9348"/>
    <cellStyle name="경고문 15" xfId="9349"/>
    <cellStyle name="경고문 15 2" xfId="9350"/>
    <cellStyle name="경고문 16" xfId="9351"/>
    <cellStyle name="경고문 16 2" xfId="9352"/>
    <cellStyle name="경고문 2" xfId="3541"/>
    <cellStyle name="경고문 2 2" xfId="9353"/>
    <cellStyle name="경고문 2 2 2" xfId="9354"/>
    <cellStyle name="경고문 2 3" xfId="9355"/>
    <cellStyle name="경고문 2 3 2" xfId="9356"/>
    <cellStyle name="경고문 2 4" xfId="9357"/>
    <cellStyle name="경고문 3" xfId="9358"/>
    <cellStyle name="경고문 3 2" xfId="9359"/>
    <cellStyle name="경고문 4" xfId="9360"/>
    <cellStyle name="경고문 4 2" xfId="9361"/>
    <cellStyle name="경고문 5" xfId="9362"/>
    <cellStyle name="경고문 5 2" xfId="9363"/>
    <cellStyle name="경고문 6" xfId="9364"/>
    <cellStyle name="경고문 6 2" xfId="9365"/>
    <cellStyle name="경고문 7" xfId="9366"/>
    <cellStyle name="경고문 7 2" xfId="9367"/>
    <cellStyle name="경고문 8" xfId="9368"/>
    <cellStyle name="경고문 8 2" xfId="9369"/>
    <cellStyle name="경고문 9" xfId="9370"/>
    <cellStyle name="경고문 9 2" xfId="9371"/>
    <cellStyle name="계산" xfId="4307" builtinId="22" customBuiltin="1"/>
    <cellStyle name="계산 10" xfId="9372"/>
    <cellStyle name="계산 10 2" xfId="9373"/>
    <cellStyle name="계산 11" xfId="9374"/>
    <cellStyle name="계산 11 2" xfId="9375"/>
    <cellStyle name="계산 12" xfId="9376"/>
    <cellStyle name="계산 12 2" xfId="9377"/>
    <cellStyle name="계산 13" xfId="9378"/>
    <cellStyle name="계산 13 2" xfId="9379"/>
    <cellStyle name="계산 14" xfId="9380"/>
    <cellStyle name="계산 14 2" xfId="9381"/>
    <cellStyle name="계산 15" xfId="9382"/>
    <cellStyle name="계산 15 2" xfId="9383"/>
    <cellStyle name="계산 16" xfId="9384"/>
    <cellStyle name="계산 16 2" xfId="9385"/>
    <cellStyle name="계산 2" xfId="3542"/>
    <cellStyle name="계산 2 2" xfId="9386"/>
    <cellStyle name="계산 2 2 2" xfId="9387"/>
    <cellStyle name="계산 2 3" xfId="9388"/>
    <cellStyle name="계산 2 3 2" xfId="9389"/>
    <cellStyle name="계산 2 4" xfId="9390"/>
    <cellStyle name="계산 3" xfId="9391"/>
    <cellStyle name="계산 3 2" xfId="9392"/>
    <cellStyle name="계산 4" xfId="9393"/>
    <cellStyle name="계산 4 2" xfId="9394"/>
    <cellStyle name="계산 5" xfId="9395"/>
    <cellStyle name="계산 5 2" xfId="9396"/>
    <cellStyle name="계산 6" xfId="9397"/>
    <cellStyle name="계산 6 2" xfId="9398"/>
    <cellStyle name="계산 7" xfId="9399"/>
    <cellStyle name="계산 7 2" xfId="9400"/>
    <cellStyle name="계산 8" xfId="9401"/>
    <cellStyle name="계산 8 2" xfId="9402"/>
    <cellStyle name="계산 9" xfId="9403"/>
    <cellStyle name="계산 9 2" xfId="9404"/>
    <cellStyle name="나쁨" xfId="4303" builtinId="27" customBuiltin="1"/>
    <cellStyle name="나쁨 10" xfId="9405"/>
    <cellStyle name="나쁨 10 2" xfId="9406"/>
    <cellStyle name="나쁨 11" xfId="9407"/>
    <cellStyle name="나쁨 11 2" xfId="9408"/>
    <cellStyle name="나쁨 12" xfId="9409"/>
    <cellStyle name="나쁨 12 2" xfId="9410"/>
    <cellStyle name="나쁨 13" xfId="9411"/>
    <cellStyle name="나쁨 13 2" xfId="9412"/>
    <cellStyle name="나쁨 14" xfId="9413"/>
    <cellStyle name="나쁨 14 2" xfId="9414"/>
    <cellStyle name="나쁨 15" xfId="9415"/>
    <cellStyle name="나쁨 15 2" xfId="9416"/>
    <cellStyle name="나쁨 16" xfId="9417"/>
    <cellStyle name="나쁨 16 2" xfId="9418"/>
    <cellStyle name="나쁨 2" xfId="3543"/>
    <cellStyle name="나쁨 2 2" xfId="9419"/>
    <cellStyle name="나쁨 2 2 2" xfId="9420"/>
    <cellStyle name="나쁨 2 3" xfId="9421"/>
    <cellStyle name="나쁨 2 3 2" xfId="9422"/>
    <cellStyle name="나쁨 2 4" xfId="9423"/>
    <cellStyle name="나쁨 3" xfId="9424"/>
    <cellStyle name="나쁨 3 2" xfId="9425"/>
    <cellStyle name="나쁨 4" xfId="9426"/>
    <cellStyle name="나쁨 4 2" xfId="9427"/>
    <cellStyle name="나쁨 5" xfId="9428"/>
    <cellStyle name="나쁨 5 2" xfId="9429"/>
    <cellStyle name="나쁨 6" xfId="9430"/>
    <cellStyle name="나쁨 6 2" xfId="9431"/>
    <cellStyle name="나쁨 7" xfId="9432"/>
    <cellStyle name="나쁨 7 2" xfId="9433"/>
    <cellStyle name="나쁨 8" xfId="9434"/>
    <cellStyle name="나쁨 8 2" xfId="9435"/>
    <cellStyle name="나쁨 9" xfId="9436"/>
    <cellStyle name="나쁨 9 2" xfId="9437"/>
    <cellStyle name="메모" xfId="4339" builtinId="10" customBuiltin="1"/>
    <cellStyle name="메모 10" xfId="3544"/>
    <cellStyle name="메모 10 10" xfId="9438"/>
    <cellStyle name="메모 10 11" xfId="9439"/>
    <cellStyle name="메모 10 12" xfId="9440"/>
    <cellStyle name="메모 10 13" xfId="9441"/>
    <cellStyle name="메모 10 14" xfId="9442"/>
    <cellStyle name="메모 10 15" xfId="9443"/>
    <cellStyle name="메모 10 2" xfId="3545"/>
    <cellStyle name="메모 10 2 2" xfId="3546"/>
    <cellStyle name="메모 10 2 2 2" xfId="9444"/>
    <cellStyle name="메모 10 2 3" xfId="3547"/>
    <cellStyle name="메모 10 2 3 2" xfId="9445"/>
    <cellStyle name="메모 10 2 4" xfId="9446"/>
    <cellStyle name="메모 10 3" xfId="3548"/>
    <cellStyle name="메모 10 3 2" xfId="3549"/>
    <cellStyle name="메모 10 3 2 2" xfId="9447"/>
    <cellStyle name="메모 10 3 3" xfId="3550"/>
    <cellStyle name="메모 10 3 3 2" xfId="9448"/>
    <cellStyle name="메모 10 3 4" xfId="9449"/>
    <cellStyle name="메모 10 4" xfId="3551"/>
    <cellStyle name="메모 10 4 2" xfId="9450"/>
    <cellStyle name="메모 10 4 3" xfId="9451"/>
    <cellStyle name="메모 10 5" xfId="3552"/>
    <cellStyle name="메모 10 5 2" xfId="9452"/>
    <cellStyle name="메모 10 6" xfId="9453"/>
    <cellStyle name="메모 10 7" xfId="9454"/>
    <cellStyle name="메모 10 8" xfId="9455"/>
    <cellStyle name="메모 10 9" xfId="9456"/>
    <cellStyle name="메모 100" xfId="9457"/>
    <cellStyle name="메모 100 2" xfId="9458"/>
    <cellStyle name="메모 100 2 2" xfId="9459"/>
    <cellStyle name="메모 100 3" xfId="9460"/>
    <cellStyle name="메모 100 3 2" xfId="9461"/>
    <cellStyle name="메모 100 4" xfId="9462"/>
    <cellStyle name="메모 101" xfId="9463"/>
    <cellStyle name="메모 101 2" xfId="9464"/>
    <cellStyle name="메모 101 2 2" xfId="9465"/>
    <cellStyle name="메모 101 3" xfId="9466"/>
    <cellStyle name="메모 101 3 2" xfId="9467"/>
    <cellStyle name="메모 101 4" xfId="9468"/>
    <cellStyle name="메모 102" xfId="9469"/>
    <cellStyle name="메모 102 2" xfId="9470"/>
    <cellStyle name="메모 102 2 2" xfId="9471"/>
    <cellStyle name="메모 102 3" xfId="9472"/>
    <cellStyle name="메모 102 3 2" xfId="9473"/>
    <cellStyle name="메모 102 4" xfId="9474"/>
    <cellStyle name="메모 103" xfId="9475"/>
    <cellStyle name="메모 103 2" xfId="9476"/>
    <cellStyle name="메모 103 2 2" xfId="9477"/>
    <cellStyle name="메모 103 3" xfId="9478"/>
    <cellStyle name="메모 103 3 2" xfId="9479"/>
    <cellStyle name="메모 103 4" xfId="9480"/>
    <cellStyle name="메모 104" xfId="9481"/>
    <cellStyle name="메모 104 2" xfId="9482"/>
    <cellStyle name="메모 104 2 2" xfId="9483"/>
    <cellStyle name="메모 104 3" xfId="9484"/>
    <cellStyle name="메모 104 3 2" xfId="9485"/>
    <cellStyle name="메모 104 4" xfId="9486"/>
    <cellStyle name="메모 105" xfId="9487"/>
    <cellStyle name="메모 105 2" xfId="9488"/>
    <cellStyle name="메모 105 2 2" xfId="9489"/>
    <cellStyle name="메모 105 3" xfId="9490"/>
    <cellStyle name="메모 105 3 2" xfId="9491"/>
    <cellStyle name="메모 105 4" xfId="9492"/>
    <cellStyle name="메모 106" xfId="9493"/>
    <cellStyle name="메모 106 2" xfId="9494"/>
    <cellStyle name="메모 106 2 2" xfId="9495"/>
    <cellStyle name="메모 106 3" xfId="9496"/>
    <cellStyle name="메모 106 3 2" xfId="9497"/>
    <cellStyle name="메모 106 4" xfId="9498"/>
    <cellStyle name="메모 107" xfId="9499"/>
    <cellStyle name="메모 107 2" xfId="9500"/>
    <cellStyle name="메모 107 2 2" xfId="9501"/>
    <cellStyle name="메모 107 3" xfId="9502"/>
    <cellStyle name="메모 107 3 2" xfId="9503"/>
    <cellStyle name="메모 107 4" xfId="9504"/>
    <cellStyle name="메모 108" xfId="9505"/>
    <cellStyle name="메모 108 2" xfId="9506"/>
    <cellStyle name="메모 108 2 2" xfId="9507"/>
    <cellStyle name="메모 108 3" xfId="9508"/>
    <cellStyle name="메모 108 3 2" xfId="9509"/>
    <cellStyle name="메모 108 4" xfId="9510"/>
    <cellStyle name="메모 109" xfId="9511"/>
    <cellStyle name="메모 109 2" xfId="9512"/>
    <cellStyle name="메모 109 2 2" xfId="9513"/>
    <cellStyle name="메모 109 3" xfId="9514"/>
    <cellStyle name="메모 109 3 2" xfId="9515"/>
    <cellStyle name="메모 109 4" xfId="9516"/>
    <cellStyle name="메모 11" xfId="3553"/>
    <cellStyle name="메모 11 10" xfId="9517"/>
    <cellStyle name="메모 11 11" xfId="9518"/>
    <cellStyle name="메모 11 12" xfId="9519"/>
    <cellStyle name="메모 11 13" xfId="9520"/>
    <cellStyle name="메모 11 14" xfId="9521"/>
    <cellStyle name="메모 11 15" xfId="9522"/>
    <cellStyle name="메모 11 2" xfId="3554"/>
    <cellStyle name="메모 11 2 2" xfId="3555"/>
    <cellStyle name="메모 11 2 2 2" xfId="9523"/>
    <cellStyle name="메모 11 2 3" xfId="3556"/>
    <cellStyle name="메모 11 2 3 2" xfId="9524"/>
    <cellStyle name="메모 11 2 4" xfId="9525"/>
    <cellStyle name="메모 11 3" xfId="3557"/>
    <cellStyle name="메모 11 3 2" xfId="3558"/>
    <cellStyle name="메모 11 3 2 2" xfId="9526"/>
    <cellStyle name="메모 11 3 3" xfId="3559"/>
    <cellStyle name="메모 11 3 3 2" xfId="9527"/>
    <cellStyle name="메모 11 3 4" xfId="9528"/>
    <cellStyle name="메모 11 4" xfId="3560"/>
    <cellStyle name="메모 11 4 2" xfId="9529"/>
    <cellStyle name="메모 11 4 3" xfId="9530"/>
    <cellStyle name="메모 11 5" xfId="3561"/>
    <cellStyle name="메모 11 5 2" xfId="9531"/>
    <cellStyle name="메모 11 6" xfId="9532"/>
    <cellStyle name="메모 11 7" xfId="9533"/>
    <cellStyle name="메모 11 8" xfId="9534"/>
    <cellStyle name="메모 11 9" xfId="9535"/>
    <cellStyle name="메모 110" xfId="9536"/>
    <cellStyle name="메모 110 2" xfId="9537"/>
    <cellStyle name="메모 111" xfId="9538"/>
    <cellStyle name="메모 111 2" xfId="9539"/>
    <cellStyle name="메모 112" xfId="9540"/>
    <cellStyle name="메모 112 2" xfId="9541"/>
    <cellStyle name="메모 113" xfId="9542"/>
    <cellStyle name="메모 113 2" xfId="9543"/>
    <cellStyle name="메모 114" xfId="9544"/>
    <cellStyle name="메모 114 2" xfId="9545"/>
    <cellStyle name="메모 115" xfId="9546"/>
    <cellStyle name="메모 115 2" xfId="9547"/>
    <cellStyle name="메모 116" xfId="9548"/>
    <cellStyle name="메모 116 2" xfId="9549"/>
    <cellStyle name="메모 117" xfId="9550"/>
    <cellStyle name="메모 117 2" xfId="9551"/>
    <cellStyle name="메모 118" xfId="9552"/>
    <cellStyle name="메모 118 2" xfId="9553"/>
    <cellStyle name="메모 119" xfId="9554"/>
    <cellStyle name="메모 119 2" xfId="9555"/>
    <cellStyle name="메모 12" xfId="3562"/>
    <cellStyle name="메모 12 10" xfId="9556"/>
    <cellStyle name="메모 12 11" xfId="9557"/>
    <cellStyle name="메모 12 12" xfId="9558"/>
    <cellStyle name="메모 12 13" xfId="9559"/>
    <cellStyle name="메모 12 14" xfId="9560"/>
    <cellStyle name="메모 12 15" xfId="9561"/>
    <cellStyle name="메모 12 2" xfId="3563"/>
    <cellStyle name="메모 12 2 2" xfId="3564"/>
    <cellStyle name="메모 12 2 2 2" xfId="9562"/>
    <cellStyle name="메모 12 2 3" xfId="3565"/>
    <cellStyle name="메모 12 2 3 2" xfId="9563"/>
    <cellStyle name="메모 12 2 4" xfId="9564"/>
    <cellStyle name="메모 12 3" xfId="3566"/>
    <cellStyle name="메모 12 3 2" xfId="3567"/>
    <cellStyle name="메모 12 3 2 2" xfId="9565"/>
    <cellStyle name="메모 12 3 3" xfId="3568"/>
    <cellStyle name="메모 12 3 3 2" xfId="9566"/>
    <cellStyle name="메모 12 3 4" xfId="9567"/>
    <cellStyle name="메모 12 4" xfId="3569"/>
    <cellStyle name="메모 12 4 2" xfId="9568"/>
    <cellStyle name="메모 12 4 3" xfId="9569"/>
    <cellStyle name="메모 12 5" xfId="3570"/>
    <cellStyle name="메모 12 5 2" xfId="9570"/>
    <cellStyle name="메모 12 6" xfId="9571"/>
    <cellStyle name="메모 12 7" xfId="9572"/>
    <cellStyle name="메모 12 8" xfId="9573"/>
    <cellStyle name="메모 12 9" xfId="9574"/>
    <cellStyle name="메모 120" xfId="9575"/>
    <cellStyle name="메모 120 2" xfId="9576"/>
    <cellStyle name="메모 121" xfId="9577"/>
    <cellStyle name="메모 121 2" xfId="9578"/>
    <cellStyle name="메모 122" xfId="9579"/>
    <cellStyle name="메모 122 2" xfId="9580"/>
    <cellStyle name="메모 123" xfId="9581"/>
    <cellStyle name="메모 123 2" xfId="9582"/>
    <cellStyle name="메모 124" xfId="9583"/>
    <cellStyle name="메모 124 2" xfId="9584"/>
    <cellStyle name="메모 125" xfId="9585"/>
    <cellStyle name="메모 125 2" xfId="9586"/>
    <cellStyle name="메모 13" xfId="3571"/>
    <cellStyle name="메모 13 10" xfId="9587"/>
    <cellStyle name="메모 13 11" xfId="9588"/>
    <cellStyle name="메모 13 12" xfId="9589"/>
    <cellStyle name="메모 13 13" xfId="9590"/>
    <cellStyle name="메모 13 14" xfId="9591"/>
    <cellStyle name="메모 13 15" xfId="9592"/>
    <cellStyle name="메모 13 2" xfId="3572"/>
    <cellStyle name="메모 13 2 2" xfId="3573"/>
    <cellStyle name="메모 13 2 2 2" xfId="9593"/>
    <cellStyle name="메모 13 2 3" xfId="3574"/>
    <cellStyle name="메모 13 2 3 2" xfId="9594"/>
    <cellStyle name="메모 13 2 4" xfId="9595"/>
    <cellStyle name="메모 13 3" xfId="3575"/>
    <cellStyle name="메모 13 3 2" xfId="3576"/>
    <cellStyle name="메모 13 3 2 2" xfId="9596"/>
    <cellStyle name="메모 13 3 3" xfId="3577"/>
    <cellStyle name="메모 13 3 3 2" xfId="9597"/>
    <cellStyle name="메모 13 3 4" xfId="9598"/>
    <cellStyle name="메모 13 4" xfId="3578"/>
    <cellStyle name="메모 13 4 2" xfId="9599"/>
    <cellStyle name="메모 13 4 3" xfId="9600"/>
    <cellStyle name="메모 13 5" xfId="3579"/>
    <cellStyle name="메모 13 5 2" xfId="9601"/>
    <cellStyle name="메모 13 6" xfId="9602"/>
    <cellStyle name="메모 13 7" xfId="9603"/>
    <cellStyle name="메모 13 8" xfId="9604"/>
    <cellStyle name="메모 13 9" xfId="9605"/>
    <cellStyle name="메모 14" xfId="3580"/>
    <cellStyle name="메모 14 10" xfId="9606"/>
    <cellStyle name="메모 14 11" xfId="9607"/>
    <cellStyle name="메모 14 12" xfId="9608"/>
    <cellStyle name="메모 14 13" xfId="9609"/>
    <cellStyle name="메모 14 14" xfId="9610"/>
    <cellStyle name="메모 14 15" xfId="9611"/>
    <cellStyle name="메모 14 2" xfId="3581"/>
    <cellStyle name="메모 14 2 2" xfId="3582"/>
    <cellStyle name="메모 14 2 2 2" xfId="9612"/>
    <cellStyle name="메모 14 2 3" xfId="3583"/>
    <cellStyle name="메모 14 2 3 2" xfId="9613"/>
    <cellStyle name="메모 14 2 4" xfId="9614"/>
    <cellStyle name="메모 14 3" xfId="3584"/>
    <cellStyle name="메모 14 3 2" xfId="3585"/>
    <cellStyle name="메모 14 3 2 2" xfId="9615"/>
    <cellStyle name="메모 14 3 3" xfId="3586"/>
    <cellStyle name="메모 14 3 3 2" xfId="9616"/>
    <cellStyle name="메모 14 3 4" xfId="9617"/>
    <cellStyle name="메모 14 4" xfId="3587"/>
    <cellStyle name="메모 14 4 2" xfId="9618"/>
    <cellStyle name="메모 14 4 3" xfId="9619"/>
    <cellStyle name="메모 14 5" xfId="3588"/>
    <cellStyle name="메모 14 5 2" xfId="9620"/>
    <cellStyle name="메모 14 6" xfId="9621"/>
    <cellStyle name="메모 14 7" xfId="9622"/>
    <cellStyle name="메모 14 8" xfId="9623"/>
    <cellStyle name="메모 14 9" xfId="9624"/>
    <cellStyle name="메모 15" xfId="3589"/>
    <cellStyle name="메모 15 10" xfId="9625"/>
    <cellStyle name="메모 15 11" xfId="9626"/>
    <cellStyle name="메모 15 12" xfId="9627"/>
    <cellStyle name="메모 15 13" xfId="9628"/>
    <cellStyle name="메모 15 14" xfId="9629"/>
    <cellStyle name="메모 15 15" xfId="9630"/>
    <cellStyle name="메모 15 2" xfId="3590"/>
    <cellStyle name="메모 15 2 2" xfId="3591"/>
    <cellStyle name="메모 15 2 2 2" xfId="9631"/>
    <cellStyle name="메모 15 2 3" xfId="3592"/>
    <cellStyle name="메모 15 2 3 2" xfId="9632"/>
    <cellStyle name="메모 15 2 4" xfId="9633"/>
    <cellStyle name="메모 15 3" xfId="3593"/>
    <cellStyle name="메모 15 3 2" xfId="3594"/>
    <cellStyle name="메모 15 3 2 2" xfId="9634"/>
    <cellStyle name="메모 15 3 3" xfId="3595"/>
    <cellStyle name="메모 15 3 3 2" xfId="9635"/>
    <cellStyle name="메모 15 3 4" xfId="9636"/>
    <cellStyle name="메모 15 4" xfId="3596"/>
    <cellStyle name="메모 15 4 2" xfId="9637"/>
    <cellStyle name="메모 15 4 3" xfId="9638"/>
    <cellStyle name="메모 15 5" xfId="3597"/>
    <cellStyle name="메모 15 5 2" xfId="9639"/>
    <cellStyle name="메모 15 6" xfId="9640"/>
    <cellStyle name="메모 15 7" xfId="9641"/>
    <cellStyle name="메모 15 8" xfId="9642"/>
    <cellStyle name="메모 15 9" xfId="9643"/>
    <cellStyle name="메모 16" xfId="3598"/>
    <cellStyle name="메모 16 10" xfId="9644"/>
    <cellStyle name="메모 16 11" xfId="9645"/>
    <cellStyle name="메모 16 12" xfId="9646"/>
    <cellStyle name="메모 16 13" xfId="9647"/>
    <cellStyle name="메모 16 14" xfId="9648"/>
    <cellStyle name="메모 16 15" xfId="9649"/>
    <cellStyle name="메모 16 2" xfId="3599"/>
    <cellStyle name="메모 16 2 2" xfId="3600"/>
    <cellStyle name="메모 16 2 2 2" xfId="9650"/>
    <cellStyle name="메모 16 2 3" xfId="3601"/>
    <cellStyle name="메모 16 2 3 2" xfId="9651"/>
    <cellStyle name="메모 16 2 4" xfId="9652"/>
    <cellStyle name="메모 16 3" xfId="3602"/>
    <cellStyle name="메모 16 3 2" xfId="9653"/>
    <cellStyle name="메모 16 3 3" xfId="9654"/>
    <cellStyle name="메모 16 3 4" xfId="9655"/>
    <cellStyle name="메모 16 4" xfId="3603"/>
    <cellStyle name="메모 16 4 2" xfId="9656"/>
    <cellStyle name="메모 16 4 3" xfId="9657"/>
    <cellStyle name="메모 16 5" xfId="9658"/>
    <cellStyle name="메모 16 6" xfId="9659"/>
    <cellStyle name="메모 16 7" xfId="9660"/>
    <cellStyle name="메모 16 8" xfId="9661"/>
    <cellStyle name="메모 16 9" xfId="9662"/>
    <cellStyle name="메모 17" xfId="3604"/>
    <cellStyle name="메모 17 10" xfId="9663"/>
    <cellStyle name="메모 17 11" xfId="9664"/>
    <cellStyle name="메모 17 12" xfId="9665"/>
    <cellStyle name="메모 17 13" xfId="9666"/>
    <cellStyle name="메모 17 14" xfId="9667"/>
    <cellStyle name="메모 17 15" xfId="9668"/>
    <cellStyle name="메모 17 2" xfId="3605"/>
    <cellStyle name="메모 17 2 2" xfId="3606"/>
    <cellStyle name="메모 17 2 2 2" xfId="9669"/>
    <cellStyle name="메모 17 2 3" xfId="3607"/>
    <cellStyle name="메모 17 2 3 2" xfId="9670"/>
    <cellStyle name="메모 17 2 4" xfId="9671"/>
    <cellStyle name="메모 17 3" xfId="3608"/>
    <cellStyle name="메모 17 3 2" xfId="9672"/>
    <cellStyle name="메모 17 3 3" xfId="9673"/>
    <cellStyle name="메모 17 3 4" xfId="9674"/>
    <cellStyle name="메모 17 4" xfId="3609"/>
    <cellStyle name="메모 17 4 2" xfId="9675"/>
    <cellStyle name="메모 17 4 3" xfId="9676"/>
    <cellStyle name="메모 17 5" xfId="9677"/>
    <cellStyle name="메모 17 6" xfId="9678"/>
    <cellStyle name="메모 17 7" xfId="9679"/>
    <cellStyle name="메모 17 8" xfId="9680"/>
    <cellStyle name="메모 17 9" xfId="9681"/>
    <cellStyle name="메모 18" xfId="3610"/>
    <cellStyle name="메모 18 10" xfId="9682"/>
    <cellStyle name="메모 18 11" xfId="9683"/>
    <cellStyle name="메모 18 12" xfId="9684"/>
    <cellStyle name="메모 18 13" xfId="9685"/>
    <cellStyle name="메모 18 14" xfId="9686"/>
    <cellStyle name="메모 18 15" xfId="9687"/>
    <cellStyle name="메모 18 2" xfId="3611"/>
    <cellStyle name="메모 18 2 2" xfId="3612"/>
    <cellStyle name="메모 18 2 2 2" xfId="9688"/>
    <cellStyle name="메모 18 2 3" xfId="3613"/>
    <cellStyle name="메모 18 2 3 2" xfId="9689"/>
    <cellStyle name="메모 18 2 4" xfId="9690"/>
    <cellStyle name="메모 18 3" xfId="3614"/>
    <cellStyle name="메모 18 3 2" xfId="9691"/>
    <cellStyle name="메모 18 3 3" xfId="9692"/>
    <cellStyle name="메모 18 3 4" xfId="9693"/>
    <cellStyle name="메모 18 4" xfId="3615"/>
    <cellStyle name="메모 18 4 2" xfId="9694"/>
    <cellStyle name="메모 18 4 3" xfId="9695"/>
    <cellStyle name="메모 18 5" xfId="9696"/>
    <cellStyle name="메모 18 6" xfId="9697"/>
    <cellStyle name="메모 18 7" xfId="9698"/>
    <cellStyle name="메모 18 8" xfId="9699"/>
    <cellStyle name="메모 18 9" xfId="9700"/>
    <cellStyle name="메모 19" xfId="3616"/>
    <cellStyle name="메모 19 10" xfId="9701"/>
    <cellStyle name="메모 19 11" xfId="9702"/>
    <cellStyle name="메모 19 12" xfId="9703"/>
    <cellStyle name="메모 19 13" xfId="9704"/>
    <cellStyle name="메모 19 14" xfId="9705"/>
    <cellStyle name="메모 19 15" xfId="9706"/>
    <cellStyle name="메모 19 2" xfId="3617"/>
    <cellStyle name="메모 19 2 2" xfId="9707"/>
    <cellStyle name="메모 19 2 3" xfId="9708"/>
    <cellStyle name="메모 19 2 4" xfId="9709"/>
    <cellStyle name="메모 19 3" xfId="3618"/>
    <cellStyle name="메모 19 3 2" xfId="9710"/>
    <cellStyle name="메모 19 3 3" xfId="9711"/>
    <cellStyle name="메모 19 3 4" xfId="9712"/>
    <cellStyle name="메모 19 4" xfId="9713"/>
    <cellStyle name="메모 19 4 2" xfId="9714"/>
    <cellStyle name="메모 19 5" xfId="9715"/>
    <cellStyle name="메모 19 6" xfId="9716"/>
    <cellStyle name="메모 19 7" xfId="9717"/>
    <cellStyle name="메모 19 8" xfId="9718"/>
    <cellStyle name="메모 19 9" xfId="9719"/>
    <cellStyle name="메모 2" xfId="3619"/>
    <cellStyle name="메모 2 10" xfId="9720"/>
    <cellStyle name="메모 2 11" xfId="9721"/>
    <cellStyle name="메모 2 12" xfId="9722"/>
    <cellStyle name="메모 2 13" xfId="9723"/>
    <cellStyle name="메모 2 14" xfId="9724"/>
    <cellStyle name="메모 2 2" xfId="9725"/>
    <cellStyle name="메모 2 2 2" xfId="9726"/>
    <cellStyle name="메모 2 2 3" xfId="9727"/>
    <cellStyle name="메모 2 3" xfId="9728"/>
    <cellStyle name="메모 2 3 2" xfId="9729"/>
    <cellStyle name="메모 2 3 3" xfId="9730"/>
    <cellStyle name="메모 2 3 4" xfId="9731"/>
    <cellStyle name="메모 2 4" xfId="9732"/>
    <cellStyle name="메모 2 4 2" xfId="9733"/>
    <cellStyle name="메모 2 5" xfId="9734"/>
    <cellStyle name="메모 2 5 2" xfId="9735"/>
    <cellStyle name="메모 2 6" xfId="9736"/>
    <cellStyle name="메모 2 7" xfId="9737"/>
    <cellStyle name="메모 2 8" xfId="9738"/>
    <cellStyle name="메모 2 9" xfId="9739"/>
    <cellStyle name="메모 20" xfId="3620"/>
    <cellStyle name="메모 20 10" xfId="9740"/>
    <cellStyle name="메모 20 11" xfId="9741"/>
    <cellStyle name="메모 20 12" xfId="9742"/>
    <cellStyle name="메모 20 13" xfId="9743"/>
    <cellStyle name="메모 20 14" xfId="9744"/>
    <cellStyle name="메모 20 15" xfId="9745"/>
    <cellStyle name="메모 20 2" xfId="3621"/>
    <cellStyle name="메모 20 2 2" xfId="9746"/>
    <cellStyle name="메모 20 2 3" xfId="9747"/>
    <cellStyle name="메모 20 2 4" xfId="9748"/>
    <cellStyle name="메모 20 3" xfId="3622"/>
    <cellStyle name="메모 20 3 2" xfId="9749"/>
    <cellStyle name="메모 20 3 3" xfId="9750"/>
    <cellStyle name="메모 20 3 4" xfId="9751"/>
    <cellStyle name="메모 20 4" xfId="9752"/>
    <cellStyle name="메모 20 4 2" xfId="9753"/>
    <cellStyle name="메모 20 5" xfId="9754"/>
    <cellStyle name="메모 20 6" xfId="9755"/>
    <cellStyle name="메모 20 7" xfId="9756"/>
    <cellStyle name="메모 20 8" xfId="9757"/>
    <cellStyle name="메모 20 9" xfId="9758"/>
    <cellStyle name="메모 21" xfId="3623"/>
    <cellStyle name="메모 21 10" xfId="9759"/>
    <cellStyle name="메모 21 11" xfId="9760"/>
    <cellStyle name="메모 21 12" xfId="9761"/>
    <cellStyle name="메모 21 13" xfId="9762"/>
    <cellStyle name="메모 21 14" xfId="9763"/>
    <cellStyle name="메모 21 15" xfId="9764"/>
    <cellStyle name="메모 21 2" xfId="3624"/>
    <cellStyle name="메모 21 2 2" xfId="9765"/>
    <cellStyle name="메모 21 2 3" xfId="9766"/>
    <cellStyle name="메모 21 2 4" xfId="9767"/>
    <cellStyle name="메모 21 3" xfId="3625"/>
    <cellStyle name="메모 21 3 2" xfId="9768"/>
    <cellStyle name="메모 21 3 3" xfId="9769"/>
    <cellStyle name="메모 21 3 4" xfId="9770"/>
    <cellStyle name="메모 21 4" xfId="9771"/>
    <cellStyle name="메모 21 4 2" xfId="9772"/>
    <cellStyle name="메모 21 5" xfId="9773"/>
    <cellStyle name="메모 21 6" xfId="9774"/>
    <cellStyle name="메모 21 7" xfId="9775"/>
    <cellStyle name="메모 21 8" xfId="9776"/>
    <cellStyle name="메모 21 9" xfId="9777"/>
    <cellStyle name="메모 22" xfId="3626"/>
    <cellStyle name="메모 22 10" xfId="9778"/>
    <cellStyle name="메모 22 11" xfId="9779"/>
    <cellStyle name="메모 22 12" xfId="9780"/>
    <cellStyle name="메모 22 13" xfId="9781"/>
    <cellStyle name="메모 22 14" xfId="9782"/>
    <cellStyle name="메모 22 15" xfId="9783"/>
    <cellStyle name="메모 22 2" xfId="3627"/>
    <cellStyle name="메모 22 2 2" xfId="9784"/>
    <cellStyle name="메모 22 2 3" xfId="9785"/>
    <cellStyle name="메모 22 2 4" xfId="9786"/>
    <cellStyle name="메모 22 3" xfId="3628"/>
    <cellStyle name="메모 22 3 2" xfId="9787"/>
    <cellStyle name="메모 22 3 3" xfId="9788"/>
    <cellStyle name="메모 22 3 4" xfId="9789"/>
    <cellStyle name="메모 22 4" xfId="9790"/>
    <cellStyle name="메모 22 4 2" xfId="9791"/>
    <cellStyle name="메모 22 5" xfId="9792"/>
    <cellStyle name="메모 22 6" xfId="9793"/>
    <cellStyle name="메모 22 7" xfId="9794"/>
    <cellStyle name="메모 22 8" xfId="9795"/>
    <cellStyle name="메모 22 9" xfId="9796"/>
    <cellStyle name="메모 23" xfId="3629"/>
    <cellStyle name="메모 23 10" xfId="9797"/>
    <cellStyle name="메모 23 11" xfId="9798"/>
    <cellStyle name="메모 23 12" xfId="9799"/>
    <cellStyle name="메모 23 13" xfId="9800"/>
    <cellStyle name="메모 23 14" xfId="9801"/>
    <cellStyle name="메모 23 15" xfId="9802"/>
    <cellStyle name="메모 23 2" xfId="3630"/>
    <cellStyle name="메모 23 2 2" xfId="9803"/>
    <cellStyle name="메모 23 2 3" xfId="9804"/>
    <cellStyle name="메모 23 2 4" xfId="9805"/>
    <cellStyle name="메모 23 3" xfId="3631"/>
    <cellStyle name="메모 23 3 2" xfId="9806"/>
    <cellStyle name="메모 23 3 3" xfId="9807"/>
    <cellStyle name="메모 23 3 4" xfId="9808"/>
    <cellStyle name="메모 23 4" xfId="9809"/>
    <cellStyle name="메모 23 4 2" xfId="9810"/>
    <cellStyle name="메모 23 5" xfId="9811"/>
    <cellStyle name="메모 23 6" xfId="9812"/>
    <cellStyle name="메모 23 7" xfId="9813"/>
    <cellStyle name="메모 23 8" xfId="9814"/>
    <cellStyle name="메모 23 9" xfId="9815"/>
    <cellStyle name="메모 24" xfId="3632"/>
    <cellStyle name="메모 24 10" xfId="9816"/>
    <cellStyle name="메모 24 11" xfId="9817"/>
    <cellStyle name="메모 24 12" xfId="9818"/>
    <cellStyle name="메모 24 13" xfId="9819"/>
    <cellStyle name="메모 24 14" xfId="9820"/>
    <cellStyle name="메모 24 15" xfId="9821"/>
    <cellStyle name="메모 24 2" xfId="3633"/>
    <cellStyle name="메모 24 2 2" xfId="9822"/>
    <cellStyle name="메모 24 2 3" xfId="9823"/>
    <cellStyle name="메모 24 2 4" xfId="9824"/>
    <cellStyle name="메모 24 3" xfId="3634"/>
    <cellStyle name="메모 24 3 2" xfId="9825"/>
    <cellStyle name="메모 24 3 3" xfId="9826"/>
    <cellStyle name="메모 24 3 4" xfId="9827"/>
    <cellStyle name="메모 24 4" xfId="9828"/>
    <cellStyle name="메모 24 4 2" xfId="9829"/>
    <cellStyle name="메모 24 5" xfId="9830"/>
    <cellStyle name="메모 24 6" xfId="9831"/>
    <cellStyle name="메모 24 7" xfId="9832"/>
    <cellStyle name="메모 24 8" xfId="9833"/>
    <cellStyle name="메모 24 9" xfId="9834"/>
    <cellStyle name="메모 25" xfId="3635"/>
    <cellStyle name="메모 25 10" xfId="9835"/>
    <cellStyle name="메모 25 11" xfId="9836"/>
    <cellStyle name="메모 25 12" xfId="9837"/>
    <cellStyle name="메모 25 13" xfId="9838"/>
    <cellStyle name="메모 25 14" xfId="9839"/>
    <cellStyle name="메모 25 15" xfId="9840"/>
    <cellStyle name="메모 25 2" xfId="3636"/>
    <cellStyle name="메모 25 2 2" xfId="9841"/>
    <cellStyle name="메모 25 2 3" xfId="9842"/>
    <cellStyle name="메모 25 2 4" xfId="9843"/>
    <cellStyle name="메모 25 3" xfId="3637"/>
    <cellStyle name="메모 25 3 2" xfId="9844"/>
    <cellStyle name="메모 25 3 3" xfId="9845"/>
    <cellStyle name="메모 25 3 4" xfId="9846"/>
    <cellStyle name="메모 25 4" xfId="9847"/>
    <cellStyle name="메모 25 4 2" xfId="9848"/>
    <cellStyle name="메모 25 5" xfId="9849"/>
    <cellStyle name="메모 25 6" xfId="9850"/>
    <cellStyle name="메모 25 7" xfId="9851"/>
    <cellStyle name="메모 25 8" xfId="9852"/>
    <cellStyle name="메모 25 9" xfId="9853"/>
    <cellStyle name="메모 26" xfId="3638"/>
    <cellStyle name="메모 26 10" xfId="9854"/>
    <cellStyle name="메모 26 11" xfId="9855"/>
    <cellStyle name="메모 26 12" xfId="9856"/>
    <cellStyle name="메모 26 13" xfId="9857"/>
    <cellStyle name="메모 26 14" xfId="9858"/>
    <cellStyle name="메모 26 15" xfId="9859"/>
    <cellStyle name="메모 26 2" xfId="3639"/>
    <cellStyle name="메모 26 2 2" xfId="9860"/>
    <cellStyle name="메모 26 2 3" xfId="9861"/>
    <cellStyle name="메모 26 2 4" xfId="9862"/>
    <cellStyle name="메모 26 3" xfId="3640"/>
    <cellStyle name="메모 26 3 2" xfId="9863"/>
    <cellStyle name="메모 26 3 3" xfId="9864"/>
    <cellStyle name="메모 26 3 4" xfId="9865"/>
    <cellStyle name="메모 26 4" xfId="9866"/>
    <cellStyle name="메모 26 4 2" xfId="9867"/>
    <cellStyle name="메모 26 5" xfId="9868"/>
    <cellStyle name="메모 26 6" xfId="9869"/>
    <cellStyle name="메모 26 7" xfId="9870"/>
    <cellStyle name="메모 26 8" xfId="9871"/>
    <cellStyle name="메모 26 9" xfId="9872"/>
    <cellStyle name="메모 27" xfId="3641"/>
    <cellStyle name="메모 27 10" xfId="9873"/>
    <cellStyle name="메모 27 11" xfId="9874"/>
    <cellStyle name="메모 27 12" xfId="9875"/>
    <cellStyle name="메모 27 13" xfId="9876"/>
    <cellStyle name="메모 27 14" xfId="9877"/>
    <cellStyle name="메모 27 15" xfId="9878"/>
    <cellStyle name="메모 27 2" xfId="3642"/>
    <cellStyle name="메모 27 2 2" xfId="9879"/>
    <cellStyle name="메모 27 2 3" xfId="9880"/>
    <cellStyle name="메모 27 2 4" xfId="9881"/>
    <cellStyle name="메모 27 3" xfId="9882"/>
    <cellStyle name="메모 27 3 2" xfId="9883"/>
    <cellStyle name="메모 27 3 3" xfId="9884"/>
    <cellStyle name="메모 27 4" xfId="9885"/>
    <cellStyle name="메모 27 4 2" xfId="9886"/>
    <cellStyle name="메모 27 5" xfId="9887"/>
    <cellStyle name="메모 27 6" xfId="9888"/>
    <cellStyle name="메모 27 7" xfId="9889"/>
    <cellStyle name="메모 27 8" xfId="9890"/>
    <cellStyle name="메모 27 9" xfId="9891"/>
    <cellStyle name="메모 28" xfId="3643"/>
    <cellStyle name="메모 28 10" xfId="9892"/>
    <cellStyle name="메모 28 11" xfId="9893"/>
    <cellStyle name="메모 28 12" xfId="9894"/>
    <cellStyle name="메모 28 13" xfId="9895"/>
    <cellStyle name="메모 28 14" xfId="9896"/>
    <cellStyle name="메모 28 15" xfId="9897"/>
    <cellStyle name="메모 28 2" xfId="9898"/>
    <cellStyle name="메모 28 2 2" xfId="9899"/>
    <cellStyle name="메모 28 2 3" xfId="9900"/>
    <cellStyle name="메모 28 3" xfId="9901"/>
    <cellStyle name="메모 28 3 2" xfId="9902"/>
    <cellStyle name="메모 28 3 3" xfId="9903"/>
    <cellStyle name="메모 28 4" xfId="9904"/>
    <cellStyle name="메모 28 4 2" xfId="9905"/>
    <cellStyle name="메모 28 5" xfId="9906"/>
    <cellStyle name="메모 28 6" xfId="9907"/>
    <cellStyle name="메모 28 7" xfId="9908"/>
    <cellStyle name="메모 28 8" xfId="9909"/>
    <cellStyle name="메모 28 9" xfId="9910"/>
    <cellStyle name="메모 29" xfId="3644"/>
    <cellStyle name="메모 29 10" xfId="9911"/>
    <cellStyle name="메모 29 11" xfId="9912"/>
    <cellStyle name="메모 29 12" xfId="9913"/>
    <cellStyle name="메모 29 13" xfId="9914"/>
    <cellStyle name="메모 29 14" xfId="9915"/>
    <cellStyle name="메모 29 15" xfId="9916"/>
    <cellStyle name="메모 29 2" xfId="9917"/>
    <cellStyle name="메모 29 2 2" xfId="9918"/>
    <cellStyle name="메모 29 2 3" xfId="9919"/>
    <cellStyle name="메모 29 3" xfId="9920"/>
    <cellStyle name="메모 29 3 2" xfId="9921"/>
    <cellStyle name="메모 29 3 3" xfId="9922"/>
    <cellStyle name="메모 29 4" xfId="9923"/>
    <cellStyle name="메모 29 4 2" xfId="9924"/>
    <cellStyle name="메모 29 5" xfId="9925"/>
    <cellStyle name="메모 29 6" xfId="9926"/>
    <cellStyle name="메모 29 7" xfId="9927"/>
    <cellStyle name="메모 29 8" xfId="9928"/>
    <cellStyle name="메모 29 9" xfId="9929"/>
    <cellStyle name="메모 3" xfId="3645"/>
    <cellStyle name="메모 3 10" xfId="9930"/>
    <cellStyle name="메모 3 11" xfId="9931"/>
    <cellStyle name="메모 3 12" xfId="9932"/>
    <cellStyle name="메모 3 13" xfId="9933"/>
    <cellStyle name="메모 3 14" xfId="9934"/>
    <cellStyle name="메모 3 2" xfId="3646"/>
    <cellStyle name="메모 3 2 2" xfId="3647"/>
    <cellStyle name="메모 3 2 2 2" xfId="3648"/>
    <cellStyle name="메모 3 2 2 3" xfId="3649"/>
    <cellStyle name="메모 3 2 2 4" xfId="9935"/>
    <cellStyle name="메모 3 2 3" xfId="3650"/>
    <cellStyle name="메모 3 2 3 2" xfId="3651"/>
    <cellStyle name="메모 3 2 3 3" xfId="3652"/>
    <cellStyle name="메모 3 2 3 4" xfId="9936"/>
    <cellStyle name="메모 3 2 4" xfId="3653"/>
    <cellStyle name="메모 3 2 5" xfId="3654"/>
    <cellStyle name="메모 3 2 6" xfId="9937"/>
    <cellStyle name="메모 3 3" xfId="3655"/>
    <cellStyle name="메모 3 3 2" xfId="3656"/>
    <cellStyle name="메모 3 3 2 2" xfId="3657"/>
    <cellStyle name="메모 3 3 2 3" xfId="3658"/>
    <cellStyle name="메모 3 3 2 4" xfId="9938"/>
    <cellStyle name="메모 3 3 3" xfId="3659"/>
    <cellStyle name="메모 3 3 3 2" xfId="3660"/>
    <cellStyle name="메모 3 3 3 3" xfId="3661"/>
    <cellStyle name="메모 3 3 3 4" xfId="9939"/>
    <cellStyle name="메모 3 3 4" xfId="3662"/>
    <cellStyle name="메모 3 3 5" xfId="3663"/>
    <cellStyle name="메모 3 3 6" xfId="9940"/>
    <cellStyle name="메모 3 4" xfId="3664"/>
    <cellStyle name="메모 3 4 2" xfId="3665"/>
    <cellStyle name="메모 3 4 2 2" xfId="9941"/>
    <cellStyle name="메모 3 4 3" xfId="3666"/>
    <cellStyle name="메모 3 4 4" xfId="9942"/>
    <cellStyle name="메모 3 5" xfId="3667"/>
    <cellStyle name="메모 3 5 2" xfId="3668"/>
    <cellStyle name="메모 3 5 2 2" xfId="9943"/>
    <cellStyle name="메모 3 5 3" xfId="3669"/>
    <cellStyle name="메모 3 5 4" xfId="9944"/>
    <cellStyle name="메모 3 6" xfId="3670"/>
    <cellStyle name="메모 3 6 2" xfId="9945"/>
    <cellStyle name="메모 3 7" xfId="3671"/>
    <cellStyle name="메모 3 7 2" xfId="9946"/>
    <cellStyle name="메모 3 7 3" xfId="9947"/>
    <cellStyle name="메모 3 8" xfId="9948"/>
    <cellStyle name="메모 3 9" xfId="9949"/>
    <cellStyle name="메모 30" xfId="3672"/>
    <cellStyle name="메모 30 10" xfId="9950"/>
    <cellStyle name="메모 30 11" xfId="9951"/>
    <cellStyle name="메모 30 12" xfId="9952"/>
    <cellStyle name="메모 30 13" xfId="9953"/>
    <cellStyle name="메모 30 14" xfId="9954"/>
    <cellStyle name="메모 30 15" xfId="9955"/>
    <cellStyle name="메모 30 2" xfId="9956"/>
    <cellStyle name="메모 30 2 2" xfId="9957"/>
    <cellStyle name="메모 30 2 3" xfId="9958"/>
    <cellStyle name="메모 30 3" xfId="9959"/>
    <cellStyle name="메모 30 3 2" xfId="9960"/>
    <cellStyle name="메모 30 3 3" xfId="9961"/>
    <cellStyle name="메모 30 4" xfId="9962"/>
    <cellStyle name="메모 30 4 2" xfId="9963"/>
    <cellStyle name="메모 30 5" xfId="9964"/>
    <cellStyle name="메모 30 6" xfId="9965"/>
    <cellStyle name="메모 30 7" xfId="9966"/>
    <cellStyle name="메모 30 8" xfId="9967"/>
    <cellStyle name="메모 30 9" xfId="9968"/>
    <cellStyle name="메모 31" xfId="3673"/>
    <cellStyle name="메모 31 10" xfId="9969"/>
    <cellStyle name="메모 31 11" xfId="9970"/>
    <cellStyle name="메모 31 12" xfId="9971"/>
    <cellStyle name="메모 31 13" xfId="9972"/>
    <cellStyle name="메모 31 14" xfId="9973"/>
    <cellStyle name="메모 31 15" xfId="9974"/>
    <cellStyle name="메모 31 2" xfId="9975"/>
    <cellStyle name="메모 31 2 2" xfId="9976"/>
    <cellStyle name="메모 31 2 3" xfId="9977"/>
    <cellStyle name="메모 31 3" xfId="9978"/>
    <cellStyle name="메모 31 3 2" xfId="9979"/>
    <cellStyle name="메모 31 3 3" xfId="9980"/>
    <cellStyle name="메모 31 4" xfId="9981"/>
    <cellStyle name="메모 31 4 2" xfId="9982"/>
    <cellStyle name="메모 31 5" xfId="9983"/>
    <cellStyle name="메모 31 6" xfId="9984"/>
    <cellStyle name="메모 31 7" xfId="9985"/>
    <cellStyle name="메모 31 8" xfId="9986"/>
    <cellStyle name="메모 31 9" xfId="9987"/>
    <cellStyle name="메모 32" xfId="3674"/>
    <cellStyle name="메모 32 10" xfId="9988"/>
    <cellStyle name="메모 32 11" xfId="9989"/>
    <cellStyle name="메모 32 12" xfId="9990"/>
    <cellStyle name="메모 32 13" xfId="9991"/>
    <cellStyle name="메모 32 14" xfId="9992"/>
    <cellStyle name="메모 32 15" xfId="9993"/>
    <cellStyle name="메모 32 2" xfId="9994"/>
    <cellStyle name="메모 32 2 2" xfId="9995"/>
    <cellStyle name="메모 32 2 3" xfId="9996"/>
    <cellStyle name="메모 32 3" xfId="9997"/>
    <cellStyle name="메모 32 3 2" xfId="9998"/>
    <cellStyle name="메모 32 3 3" xfId="9999"/>
    <cellStyle name="메모 32 4" xfId="10000"/>
    <cellStyle name="메모 32 4 2" xfId="10001"/>
    <cellStyle name="메모 32 5" xfId="10002"/>
    <cellStyle name="메모 32 6" xfId="10003"/>
    <cellStyle name="메모 32 7" xfId="10004"/>
    <cellStyle name="메모 32 8" xfId="10005"/>
    <cellStyle name="메모 32 9" xfId="10006"/>
    <cellStyle name="메모 33" xfId="3675"/>
    <cellStyle name="메모 33 10" xfId="10007"/>
    <cellStyle name="메모 33 11" xfId="10008"/>
    <cellStyle name="메모 33 12" xfId="10009"/>
    <cellStyle name="메모 33 13" xfId="10010"/>
    <cellStyle name="메모 33 14" xfId="10011"/>
    <cellStyle name="메모 33 15" xfId="10012"/>
    <cellStyle name="메모 33 2" xfId="10013"/>
    <cellStyle name="메모 33 2 2" xfId="10014"/>
    <cellStyle name="메모 33 2 3" xfId="10015"/>
    <cellStyle name="메모 33 3" xfId="10016"/>
    <cellStyle name="메모 33 3 2" xfId="10017"/>
    <cellStyle name="메모 33 3 3" xfId="10018"/>
    <cellStyle name="메모 33 4" xfId="10019"/>
    <cellStyle name="메모 33 4 2" xfId="10020"/>
    <cellStyle name="메모 33 5" xfId="10021"/>
    <cellStyle name="메모 33 6" xfId="10022"/>
    <cellStyle name="메모 33 7" xfId="10023"/>
    <cellStyle name="메모 33 8" xfId="10024"/>
    <cellStyle name="메모 33 9" xfId="10025"/>
    <cellStyle name="메모 34" xfId="3676"/>
    <cellStyle name="메모 34 10" xfId="10026"/>
    <cellStyle name="메모 34 11" xfId="10027"/>
    <cellStyle name="메모 34 12" xfId="10028"/>
    <cellStyle name="메모 34 13" xfId="10029"/>
    <cellStyle name="메모 34 14" xfId="10030"/>
    <cellStyle name="메모 34 15" xfId="10031"/>
    <cellStyle name="메모 34 2" xfId="10032"/>
    <cellStyle name="메모 34 2 2" xfId="10033"/>
    <cellStyle name="메모 34 2 3" xfId="10034"/>
    <cellStyle name="메모 34 3" xfId="10035"/>
    <cellStyle name="메모 34 3 2" xfId="10036"/>
    <cellStyle name="메모 34 3 3" xfId="10037"/>
    <cellStyle name="메모 34 4" xfId="10038"/>
    <cellStyle name="메모 34 4 2" xfId="10039"/>
    <cellStyle name="메모 34 5" xfId="10040"/>
    <cellStyle name="메모 34 6" xfId="10041"/>
    <cellStyle name="메모 34 7" xfId="10042"/>
    <cellStyle name="메모 34 8" xfId="10043"/>
    <cellStyle name="메모 34 9" xfId="10044"/>
    <cellStyle name="메모 35" xfId="10045"/>
    <cellStyle name="메모 35 10" xfId="10046"/>
    <cellStyle name="메모 35 11" xfId="10047"/>
    <cellStyle name="메모 35 12" xfId="10048"/>
    <cellStyle name="메모 35 13" xfId="10049"/>
    <cellStyle name="메모 35 14" xfId="10050"/>
    <cellStyle name="메모 35 2" xfId="10051"/>
    <cellStyle name="메모 35 2 2" xfId="10052"/>
    <cellStyle name="메모 35 2 3" xfId="10053"/>
    <cellStyle name="메모 35 3" xfId="10054"/>
    <cellStyle name="메모 35 3 2" xfId="10055"/>
    <cellStyle name="메모 35 3 3" xfId="10056"/>
    <cellStyle name="메모 35 4" xfId="10057"/>
    <cellStyle name="메모 35 4 2" xfId="10058"/>
    <cellStyle name="메모 35 5" xfId="10059"/>
    <cellStyle name="메모 35 6" xfId="10060"/>
    <cellStyle name="메모 35 7" xfId="10061"/>
    <cellStyle name="메모 35 8" xfId="10062"/>
    <cellStyle name="메모 35 9" xfId="10063"/>
    <cellStyle name="메모 36" xfId="10064"/>
    <cellStyle name="메모 36 10" xfId="10065"/>
    <cellStyle name="메모 36 11" xfId="10066"/>
    <cellStyle name="메모 36 12" xfId="10067"/>
    <cellStyle name="메모 36 13" xfId="10068"/>
    <cellStyle name="메모 36 14" xfId="10069"/>
    <cellStyle name="메모 36 2" xfId="10070"/>
    <cellStyle name="메모 36 2 2" xfId="10071"/>
    <cellStyle name="메모 36 2 3" xfId="10072"/>
    <cellStyle name="메모 36 3" xfId="10073"/>
    <cellStyle name="메모 36 3 2" xfId="10074"/>
    <cellStyle name="메모 36 3 3" xfId="10075"/>
    <cellStyle name="메모 36 4" xfId="10076"/>
    <cellStyle name="메모 36 4 2" xfId="10077"/>
    <cellStyle name="메모 36 5" xfId="10078"/>
    <cellStyle name="메모 36 6" xfId="10079"/>
    <cellStyle name="메모 36 7" xfId="10080"/>
    <cellStyle name="메모 36 8" xfId="10081"/>
    <cellStyle name="메모 36 9" xfId="10082"/>
    <cellStyle name="메모 37" xfId="10083"/>
    <cellStyle name="메모 37 10" xfId="10084"/>
    <cellStyle name="메모 37 11" xfId="10085"/>
    <cellStyle name="메모 37 12" xfId="10086"/>
    <cellStyle name="메모 37 13" xfId="10087"/>
    <cellStyle name="메모 37 14" xfId="10088"/>
    <cellStyle name="메모 37 2" xfId="10089"/>
    <cellStyle name="메모 37 2 2" xfId="10090"/>
    <cellStyle name="메모 37 2 3" xfId="10091"/>
    <cellStyle name="메모 37 3" xfId="10092"/>
    <cellStyle name="메모 37 3 2" xfId="10093"/>
    <cellStyle name="메모 37 3 3" xfId="10094"/>
    <cellStyle name="메모 37 4" xfId="10095"/>
    <cellStyle name="메모 37 4 2" xfId="10096"/>
    <cellStyle name="메모 37 5" xfId="10097"/>
    <cellStyle name="메모 37 6" xfId="10098"/>
    <cellStyle name="메모 37 7" xfId="10099"/>
    <cellStyle name="메모 37 8" xfId="10100"/>
    <cellStyle name="메모 37 9" xfId="10101"/>
    <cellStyle name="메모 38" xfId="10102"/>
    <cellStyle name="메모 38 10" xfId="10103"/>
    <cellStyle name="메모 38 11" xfId="10104"/>
    <cellStyle name="메모 38 12" xfId="10105"/>
    <cellStyle name="메모 38 13" xfId="10106"/>
    <cellStyle name="메모 38 14" xfId="10107"/>
    <cellStyle name="메모 38 2" xfId="10108"/>
    <cellStyle name="메모 38 2 2" xfId="10109"/>
    <cellStyle name="메모 38 2 3" xfId="10110"/>
    <cellStyle name="메모 38 3" xfId="10111"/>
    <cellStyle name="메모 38 3 2" xfId="10112"/>
    <cellStyle name="메모 38 3 3" xfId="10113"/>
    <cellStyle name="메모 38 4" xfId="10114"/>
    <cellStyle name="메모 38 4 2" xfId="10115"/>
    <cellStyle name="메모 38 5" xfId="10116"/>
    <cellStyle name="메모 38 6" xfId="10117"/>
    <cellStyle name="메모 38 7" xfId="10118"/>
    <cellStyle name="메모 38 8" xfId="10119"/>
    <cellStyle name="메모 38 9" xfId="10120"/>
    <cellStyle name="메모 39" xfId="10121"/>
    <cellStyle name="메모 39 10" xfId="10122"/>
    <cellStyle name="메모 39 11" xfId="10123"/>
    <cellStyle name="메모 39 12" xfId="10124"/>
    <cellStyle name="메모 39 13" xfId="10125"/>
    <cellStyle name="메모 39 14" xfId="10126"/>
    <cellStyle name="메모 39 2" xfId="10127"/>
    <cellStyle name="메모 39 2 2" xfId="10128"/>
    <cellStyle name="메모 39 2 3" xfId="10129"/>
    <cellStyle name="메모 39 3" xfId="10130"/>
    <cellStyle name="메모 39 3 2" xfId="10131"/>
    <cellStyle name="메모 39 3 3" xfId="10132"/>
    <cellStyle name="메모 39 4" xfId="10133"/>
    <cellStyle name="메모 39 4 2" xfId="10134"/>
    <cellStyle name="메모 39 5" xfId="10135"/>
    <cellStyle name="메모 39 6" xfId="10136"/>
    <cellStyle name="메모 39 7" xfId="10137"/>
    <cellStyle name="메모 39 8" xfId="10138"/>
    <cellStyle name="메모 39 9" xfId="10139"/>
    <cellStyle name="메모 4" xfId="3677"/>
    <cellStyle name="메모 4 10" xfId="10140"/>
    <cellStyle name="메모 4 11" xfId="10141"/>
    <cellStyle name="메모 4 12" xfId="10142"/>
    <cellStyle name="메모 4 13" xfId="10143"/>
    <cellStyle name="메모 4 14" xfId="10144"/>
    <cellStyle name="메모 4 15" xfId="10145"/>
    <cellStyle name="메모 4 2" xfId="3678"/>
    <cellStyle name="메모 4 2 2" xfId="3679"/>
    <cellStyle name="메모 4 2 2 2" xfId="3680"/>
    <cellStyle name="메모 4 2 2 3" xfId="3681"/>
    <cellStyle name="메모 4 2 2 4" xfId="10146"/>
    <cellStyle name="메모 4 2 3" xfId="3682"/>
    <cellStyle name="메모 4 2 3 2" xfId="3683"/>
    <cellStyle name="메모 4 2 3 3" xfId="3684"/>
    <cellStyle name="메모 4 2 3 4" xfId="10147"/>
    <cellStyle name="메모 4 2 4" xfId="3685"/>
    <cellStyle name="메모 4 2 5" xfId="3686"/>
    <cellStyle name="메모 4 2 6" xfId="10148"/>
    <cellStyle name="메모 4 3" xfId="3687"/>
    <cellStyle name="메모 4 3 2" xfId="3688"/>
    <cellStyle name="메모 4 3 2 2" xfId="3689"/>
    <cellStyle name="메모 4 3 2 3" xfId="3690"/>
    <cellStyle name="메모 4 3 2 4" xfId="10149"/>
    <cellStyle name="메모 4 3 3" xfId="3691"/>
    <cellStyle name="메모 4 3 3 2" xfId="3692"/>
    <cellStyle name="메모 4 3 3 3" xfId="3693"/>
    <cellStyle name="메모 4 3 3 4" xfId="10150"/>
    <cellStyle name="메모 4 3 4" xfId="3694"/>
    <cellStyle name="메모 4 3 5" xfId="3695"/>
    <cellStyle name="메모 4 3 6" xfId="10151"/>
    <cellStyle name="메모 4 4" xfId="3696"/>
    <cellStyle name="메모 4 4 2" xfId="3697"/>
    <cellStyle name="메모 4 4 2 2" xfId="10152"/>
    <cellStyle name="메모 4 4 3" xfId="3698"/>
    <cellStyle name="메모 4 4 4" xfId="10153"/>
    <cellStyle name="메모 4 5" xfId="3699"/>
    <cellStyle name="메모 4 5 2" xfId="3700"/>
    <cellStyle name="메모 4 5 3" xfId="3701"/>
    <cellStyle name="메모 4 5 4" xfId="10154"/>
    <cellStyle name="메모 4 6" xfId="3702"/>
    <cellStyle name="메모 4 6 2" xfId="10155"/>
    <cellStyle name="메모 4 7" xfId="3703"/>
    <cellStyle name="메모 4 7 2" xfId="10156"/>
    <cellStyle name="메모 4 8" xfId="10157"/>
    <cellStyle name="메모 4 9" xfId="10158"/>
    <cellStyle name="메모 40" xfId="10159"/>
    <cellStyle name="메모 40 10" xfId="10160"/>
    <cellStyle name="메모 40 11" xfId="10161"/>
    <cellStyle name="메모 40 12" xfId="10162"/>
    <cellStyle name="메모 40 13" xfId="10163"/>
    <cellStyle name="메모 40 14" xfId="10164"/>
    <cellStyle name="메모 40 2" xfId="10165"/>
    <cellStyle name="메모 40 2 2" xfId="10166"/>
    <cellStyle name="메모 40 2 3" xfId="10167"/>
    <cellStyle name="메모 40 3" xfId="10168"/>
    <cellStyle name="메모 40 3 2" xfId="10169"/>
    <cellStyle name="메모 40 3 3" xfId="10170"/>
    <cellStyle name="메모 40 4" xfId="10171"/>
    <cellStyle name="메모 40 4 2" xfId="10172"/>
    <cellStyle name="메모 40 5" xfId="10173"/>
    <cellStyle name="메모 40 6" xfId="10174"/>
    <cellStyle name="메모 40 7" xfId="10175"/>
    <cellStyle name="메모 40 8" xfId="10176"/>
    <cellStyle name="메모 40 9" xfId="10177"/>
    <cellStyle name="메모 41" xfId="10178"/>
    <cellStyle name="메모 41 10" xfId="10179"/>
    <cellStyle name="메모 41 11" xfId="10180"/>
    <cellStyle name="메모 41 12" xfId="10181"/>
    <cellStyle name="메모 41 13" xfId="10182"/>
    <cellStyle name="메모 41 14" xfId="10183"/>
    <cellStyle name="메모 41 2" xfId="10184"/>
    <cellStyle name="메모 41 2 2" xfId="10185"/>
    <cellStyle name="메모 41 2 3" xfId="10186"/>
    <cellStyle name="메모 41 3" xfId="10187"/>
    <cellStyle name="메모 41 3 2" xfId="10188"/>
    <cellStyle name="메모 41 3 3" xfId="10189"/>
    <cellStyle name="메모 41 4" xfId="10190"/>
    <cellStyle name="메모 41 4 2" xfId="10191"/>
    <cellStyle name="메모 41 5" xfId="10192"/>
    <cellStyle name="메모 41 6" xfId="10193"/>
    <cellStyle name="메모 41 7" xfId="10194"/>
    <cellStyle name="메모 41 8" xfId="10195"/>
    <cellStyle name="메모 41 9" xfId="10196"/>
    <cellStyle name="메모 42" xfId="10197"/>
    <cellStyle name="메모 42 10" xfId="10198"/>
    <cellStyle name="메모 42 11" xfId="10199"/>
    <cellStyle name="메모 42 12" xfId="10200"/>
    <cellStyle name="메모 42 13" xfId="10201"/>
    <cellStyle name="메모 42 14" xfId="10202"/>
    <cellStyle name="메모 42 2" xfId="10203"/>
    <cellStyle name="메모 42 2 2" xfId="10204"/>
    <cellStyle name="메모 42 2 3" xfId="10205"/>
    <cellStyle name="메모 42 3" xfId="10206"/>
    <cellStyle name="메모 42 3 2" xfId="10207"/>
    <cellStyle name="메모 42 3 3" xfId="10208"/>
    <cellStyle name="메모 42 4" xfId="10209"/>
    <cellStyle name="메모 42 4 2" xfId="10210"/>
    <cellStyle name="메모 42 5" xfId="10211"/>
    <cellStyle name="메모 42 6" xfId="10212"/>
    <cellStyle name="메모 42 7" xfId="10213"/>
    <cellStyle name="메모 42 8" xfId="10214"/>
    <cellStyle name="메모 42 9" xfId="10215"/>
    <cellStyle name="메모 43" xfId="10216"/>
    <cellStyle name="메모 43 10" xfId="10217"/>
    <cellStyle name="메모 43 11" xfId="10218"/>
    <cellStyle name="메모 43 12" xfId="10219"/>
    <cellStyle name="메모 43 13" xfId="10220"/>
    <cellStyle name="메모 43 14" xfId="10221"/>
    <cellStyle name="메모 43 2" xfId="10222"/>
    <cellStyle name="메모 43 2 2" xfId="10223"/>
    <cellStyle name="메모 43 2 3" xfId="10224"/>
    <cellStyle name="메모 43 3" xfId="10225"/>
    <cellStyle name="메모 43 3 2" xfId="10226"/>
    <cellStyle name="메모 43 3 3" xfId="10227"/>
    <cellStyle name="메모 43 4" xfId="10228"/>
    <cellStyle name="메모 43 4 2" xfId="10229"/>
    <cellStyle name="메모 43 5" xfId="10230"/>
    <cellStyle name="메모 43 6" xfId="10231"/>
    <cellStyle name="메모 43 7" xfId="10232"/>
    <cellStyle name="메모 43 8" xfId="10233"/>
    <cellStyle name="메모 43 9" xfId="10234"/>
    <cellStyle name="메모 44" xfId="10235"/>
    <cellStyle name="메모 44 10" xfId="10236"/>
    <cellStyle name="메모 44 11" xfId="10237"/>
    <cellStyle name="메모 44 12" xfId="10238"/>
    <cellStyle name="메모 44 13" xfId="10239"/>
    <cellStyle name="메모 44 14" xfId="10240"/>
    <cellStyle name="메모 44 2" xfId="10241"/>
    <cellStyle name="메모 44 2 2" xfId="10242"/>
    <cellStyle name="메모 44 2 3" xfId="10243"/>
    <cellStyle name="메모 44 3" xfId="10244"/>
    <cellStyle name="메모 44 3 2" xfId="10245"/>
    <cellStyle name="메모 44 3 3" xfId="10246"/>
    <cellStyle name="메모 44 4" xfId="10247"/>
    <cellStyle name="메모 44 4 2" xfId="10248"/>
    <cellStyle name="메모 44 5" xfId="10249"/>
    <cellStyle name="메모 44 6" xfId="10250"/>
    <cellStyle name="메모 44 7" xfId="10251"/>
    <cellStyle name="메모 44 8" xfId="10252"/>
    <cellStyle name="메모 44 9" xfId="10253"/>
    <cellStyle name="메모 45" xfId="10254"/>
    <cellStyle name="메모 45 10" xfId="10255"/>
    <cellStyle name="메모 45 11" xfId="10256"/>
    <cellStyle name="메모 45 12" xfId="10257"/>
    <cellStyle name="메모 45 13" xfId="10258"/>
    <cellStyle name="메모 45 14" xfId="10259"/>
    <cellStyle name="메모 45 2" xfId="10260"/>
    <cellStyle name="메모 45 2 2" xfId="10261"/>
    <cellStyle name="메모 45 2 3" xfId="10262"/>
    <cellStyle name="메모 45 3" xfId="10263"/>
    <cellStyle name="메모 45 3 2" xfId="10264"/>
    <cellStyle name="메모 45 3 3" xfId="10265"/>
    <cellStyle name="메모 45 4" xfId="10266"/>
    <cellStyle name="메모 45 4 2" xfId="10267"/>
    <cellStyle name="메모 45 5" xfId="10268"/>
    <cellStyle name="메모 45 6" xfId="10269"/>
    <cellStyle name="메모 45 7" xfId="10270"/>
    <cellStyle name="메모 45 8" xfId="10271"/>
    <cellStyle name="메모 45 9" xfId="10272"/>
    <cellStyle name="메모 46" xfId="10273"/>
    <cellStyle name="메모 46 10" xfId="10274"/>
    <cellStyle name="메모 46 11" xfId="10275"/>
    <cellStyle name="메모 46 12" xfId="10276"/>
    <cellStyle name="메모 46 13" xfId="10277"/>
    <cellStyle name="메모 46 14" xfId="10278"/>
    <cellStyle name="메모 46 2" xfId="10279"/>
    <cellStyle name="메모 46 2 2" xfId="10280"/>
    <cellStyle name="메모 46 2 3" xfId="10281"/>
    <cellStyle name="메모 46 3" xfId="10282"/>
    <cellStyle name="메모 46 3 2" xfId="10283"/>
    <cellStyle name="메모 46 3 3" xfId="10284"/>
    <cellStyle name="메모 46 4" xfId="10285"/>
    <cellStyle name="메모 46 4 2" xfId="10286"/>
    <cellStyle name="메모 46 5" xfId="10287"/>
    <cellStyle name="메모 46 6" xfId="10288"/>
    <cellStyle name="메모 46 7" xfId="10289"/>
    <cellStyle name="메모 46 8" xfId="10290"/>
    <cellStyle name="메모 46 9" xfId="10291"/>
    <cellStyle name="메모 47" xfId="10292"/>
    <cellStyle name="메모 47 10" xfId="10293"/>
    <cellStyle name="메모 47 11" xfId="10294"/>
    <cellStyle name="메모 47 12" xfId="10295"/>
    <cellStyle name="메모 47 13" xfId="10296"/>
    <cellStyle name="메모 47 14" xfId="10297"/>
    <cellStyle name="메모 47 2" xfId="10298"/>
    <cellStyle name="메모 47 2 2" xfId="10299"/>
    <cellStyle name="메모 47 2 3" xfId="10300"/>
    <cellStyle name="메모 47 3" xfId="10301"/>
    <cellStyle name="메모 47 3 2" xfId="10302"/>
    <cellStyle name="메모 47 3 3" xfId="10303"/>
    <cellStyle name="메모 47 4" xfId="10304"/>
    <cellStyle name="메모 47 4 2" xfId="10305"/>
    <cellStyle name="메모 47 5" xfId="10306"/>
    <cellStyle name="메모 47 6" xfId="10307"/>
    <cellStyle name="메모 47 7" xfId="10308"/>
    <cellStyle name="메모 47 8" xfId="10309"/>
    <cellStyle name="메모 47 9" xfId="10310"/>
    <cellStyle name="메모 48" xfId="10311"/>
    <cellStyle name="메모 48 10" xfId="10312"/>
    <cellStyle name="메모 48 11" xfId="10313"/>
    <cellStyle name="메모 48 12" xfId="10314"/>
    <cellStyle name="메모 48 13" xfId="10315"/>
    <cellStyle name="메모 48 14" xfId="10316"/>
    <cellStyle name="메모 48 2" xfId="10317"/>
    <cellStyle name="메모 48 2 2" xfId="10318"/>
    <cellStyle name="메모 48 2 3" xfId="10319"/>
    <cellStyle name="메모 48 3" xfId="10320"/>
    <cellStyle name="메모 48 3 2" xfId="10321"/>
    <cellStyle name="메모 48 3 3" xfId="10322"/>
    <cellStyle name="메모 48 4" xfId="10323"/>
    <cellStyle name="메모 48 4 2" xfId="10324"/>
    <cellStyle name="메모 48 5" xfId="10325"/>
    <cellStyle name="메모 48 6" xfId="10326"/>
    <cellStyle name="메모 48 7" xfId="10327"/>
    <cellStyle name="메모 48 8" xfId="10328"/>
    <cellStyle name="메모 48 9" xfId="10329"/>
    <cellStyle name="메모 49" xfId="10330"/>
    <cellStyle name="메모 49 10" xfId="10331"/>
    <cellStyle name="메모 49 11" xfId="10332"/>
    <cellStyle name="메모 49 12" xfId="10333"/>
    <cellStyle name="메모 49 13" xfId="10334"/>
    <cellStyle name="메모 49 14" xfId="10335"/>
    <cellStyle name="메모 49 2" xfId="10336"/>
    <cellStyle name="메모 49 2 2" xfId="10337"/>
    <cellStyle name="메모 49 2 3" xfId="10338"/>
    <cellStyle name="메모 49 3" xfId="10339"/>
    <cellStyle name="메모 49 3 2" xfId="10340"/>
    <cellStyle name="메모 49 3 3" xfId="10341"/>
    <cellStyle name="메모 49 4" xfId="10342"/>
    <cellStyle name="메모 49 4 2" xfId="10343"/>
    <cellStyle name="메모 49 5" xfId="10344"/>
    <cellStyle name="메모 49 6" xfId="10345"/>
    <cellStyle name="메모 49 7" xfId="10346"/>
    <cellStyle name="메모 49 8" xfId="10347"/>
    <cellStyle name="메모 49 9" xfId="10348"/>
    <cellStyle name="메모 5" xfId="3704"/>
    <cellStyle name="메모 5 10" xfId="10349"/>
    <cellStyle name="메모 5 11" xfId="10350"/>
    <cellStyle name="메모 5 12" xfId="10351"/>
    <cellStyle name="메모 5 13" xfId="10352"/>
    <cellStyle name="메모 5 14" xfId="10353"/>
    <cellStyle name="메모 5 15" xfId="10354"/>
    <cellStyle name="메모 5 2" xfId="3705"/>
    <cellStyle name="메모 5 2 2" xfId="3706"/>
    <cellStyle name="메모 5 2 2 2" xfId="3707"/>
    <cellStyle name="메모 5 2 2 3" xfId="3708"/>
    <cellStyle name="메모 5 2 2 4" xfId="10355"/>
    <cellStyle name="메모 5 2 3" xfId="3709"/>
    <cellStyle name="메모 5 2 3 2" xfId="3710"/>
    <cellStyle name="메모 5 2 3 3" xfId="3711"/>
    <cellStyle name="메모 5 2 3 4" xfId="10356"/>
    <cellStyle name="메모 5 2 4" xfId="3712"/>
    <cellStyle name="메모 5 2 5" xfId="3713"/>
    <cellStyle name="메모 5 2 6" xfId="10357"/>
    <cellStyle name="메모 5 3" xfId="3714"/>
    <cellStyle name="메모 5 3 2" xfId="3715"/>
    <cellStyle name="메모 5 3 2 2" xfId="3716"/>
    <cellStyle name="메모 5 3 2 3" xfId="3717"/>
    <cellStyle name="메모 5 3 2 4" xfId="10358"/>
    <cellStyle name="메모 5 3 3" xfId="3718"/>
    <cellStyle name="메모 5 3 3 2" xfId="3719"/>
    <cellStyle name="메모 5 3 3 3" xfId="3720"/>
    <cellStyle name="메모 5 3 3 4" xfId="10359"/>
    <cellStyle name="메모 5 3 4" xfId="3721"/>
    <cellStyle name="메모 5 3 5" xfId="3722"/>
    <cellStyle name="메모 5 3 6" xfId="10360"/>
    <cellStyle name="메모 5 4" xfId="3723"/>
    <cellStyle name="메모 5 4 2" xfId="3724"/>
    <cellStyle name="메모 5 4 2 2" xfId="10361"/>
    <cellStyle name="메모 5 4 3" xfId="3725"/>
    <cellStyle name="메모 5 4 4" xfId="10362"/>
    <cellStyle name="메모 5 5" xfId="3726"/>
    <cellStyle name="메모 5 5 2" xfId="3727"/>
    <cellStyle name="메모 5 5 3" xfId="3728"/>
    <cellStyle name="메모 5 5 4" xfId="10363"/>
    <cellStyle name="메모 5 6" xfId="3729"/>
    <cellStyle name="메모 5 6 2" xfId="10364"/>
    <cellStyle name="메모 5 7" xfId="3730"/>
    <cellStyle name="메모 5 7 2" xfId="10365"/>
    <cellStyle name="메모 5 8" xfId="10366"/>
    <cellStyle name="메모 5 9" xfId="10367"/>
    <cellStyle name="메모 50" xfId="10368"/>
    <cellStyle name="메모 50 10" xfId="10369"/>
    <cellStyle name="메모 50 11" xfId="10370"/>
    <cellStyle name="메모 50 12" xfId="10371"/>
    <cellStyle name="메모 50 13" xfId="10372"/>
    <cellStyle name="메모 50 14" xfId="10373"/>
    <cellStyle name="메모 50 2" xfId="10374"/>
    <cellStyle name="메모 50 2 2" xfId="10375"/>
    <cellStyle name="메모 50 2 3" xfId="10376"/>
    <cellStyle name="메모 50 3" xfId="10377"/>
    <cellStyle name="메모 50 3 2" xfId="10378"/>
    <cellStyle name="메모 50 3 3" xfId="10379"/>
    <cellStyle name="메모 50 4" xfId="10380"/>
    <cellStyle name="메모 50 4 2" xfId="10381"/>
    <cellStyle name="메모 50 5" xfId="10382"/>
    <cellStyle name="메모 50 6" xfId="10383"/>
    <cellStyle name="메모 50 7" xfId="10384"/>
    <cellStyle name="메모 50 8" xfId="10385"/>
    <cellStyle name="메모 50 9" xfId="10386"/>
    <cellStyle name="메모 51" xfId="10387"/>
    <cellStyle name="메모 51 10" xfId="10388"/>
    <cellStyle name="메모 51 11" xfId="10389"/>
    <cellStyle name="메모 51 12" xfId="10390"/>
    <cellStyle name="메모 51 13" xfId="10391"/>
    <cellStyle name="메모 51 14" xfId="10392"/>
    <cellStyle name="메모 51 2" xfId="10393"/>
    <cellStyle name="메모 51 2 2" xfId="10394"/>
    <cellStyle name="메모 51 2 3" xfId="10395"/>
    <cellStyle name="메모 51 3" xfId="10396"/>
    <cellStyle name="메모 51 3 2" xfId="10397"/>
    <cellStyle name="메모 51 3 3" xfId="10398"/>
    <cellStyle name="메모 51 4" xfId="10399"/>
    <cellStyle name="메모 51 4 2" xfId="10400"/>
    <cellStyle name="메모 51 5" xfId="10401"/>
    <cellStyle name="메모 51 6" xfId="10402"/>
    <cellStyle name="메모 51 7" xfId="10403"/>
    <cellStyle name="메모 51 8" xfId="10404"/>
    <cellStyle name="메모 51 9" xfId="10405"/>
    <cellStyle name="메모 52" xfId="10406"/>
    <cellStyle name="메모 52 10" xfId="10407"/>
    <cellStyle name="메모 52 11" xfId="10408"/>
    <cellStyle name="메모 52 12" xfId="10409"/>
    <cellStyle name="메모 52 13" xfId="10410"/>
    <cellStyle name="메모 52 14" xfId="10411"/>
    <cellStyle name="메모 52 2" xfId="10412"/>
    <cellStyle name="메모 52 2 2" xfId="10413"/>
    <cellStyle name="메모 52 2 3" xfId="10414"/>
    <cellStyle name="메모 52 3" xfId="10415"/>
    <cellStyle name="메모 52 3 2" xfId="10416"/>
    <cellStyle name="메모 52 3 3" xfId="10417"/>
    <cellStyle name="메모 52 4" xfId="10418"/>
    <cellStyle name="메모 52 4 2" xfId="10419"/>
    <cellStyle name="메모 52 5" xfId="10420"/>
    <cellStyle name="메모 52 6" xfId="10421"/>
    <cellStyle name="메모 52 7" xfId="10422"/>
    <cellStyle name="메모 52 8" xfId="10423"/>
    <cellStyle name="메모 52 9" xfId="10424"/>
    <cellStyle name="메모 53" xfId="10425"/>
    <cellStyle name="메모 53 10" xfId="10426"/>
    <cellStyle name="메모 53 11" xfId="10427"/>
    <cellStyle name="메모 53 12" xfId="10428"/>
    <cellStyle name="메모 53 13" xfId="10429"/>
    <cellStyle name="메모 53 14" xfId="10430"/>
    <cellStyle name="메모 53 2" xfId="10431"/>
    <cellStyle name="메모 53 2 2" xfId="10432"/>
    <cellStyle name="메모 53 2 3" xfId="10433"/>
    <cellStyle name="메모 53 3" xfId="10434"/>
    <cellStyle name="메모 53 3 2" xfId="10435"/>
    <cellStyle name="메모 53 3 3" xfId="10436"/>
    <cellStyle name="메모 53 4" xfId="10437"/>
    <cellStyle name="메모 53 4 2" xfId="10438"/>
    <cellStyle name="메모 53 5" xfId="10439"/>
    <cellStyle name="메모 53 6" xfId="10440"/>
    <cellStyle name="메모 53 7" xfId="10441"/>
    <cellStyle name="메모 53 8" xfId="10442"/>
    <cellStyle name="메모 53 9" xfId="10443"/>
    <cellStyle name="메모 54" xfId="10444"/>
    <cellStyle name="메모 54 10" xfId="10445"/>
    <cellStyle name="메모 54 11" xfId="10446"/>
    <cellStyle name="메모 54 12" xfId="10447"/>
    <cellStyle name="메모 54 13" xfId="10448"/>
    <cellStyle name="메모 54 14" xfId="10449"/>
    <cellStyle name="메모 54 2" xfId="10450"/>
    <cellStyle name="메모 54 2 2" xfId="10451"/>
    <cellStyle name="메모 54 2 3" xfId="10452"/>
    <cellStyle name="메모 54 3" xfId="10453"/>
    <cellStyle name="메모 54 3 2" xfId="10454"/>
    <cellStyle name="메모 54 3 3" xfId="10455"/>
    <cellStyle name="메모 54 4" xfId="10456"/>
    <cellStyle name="메모 54 4 2" xfId="10457"/>
    <cellStyle name="메모 54 5" xfId="10458"/>
    <cellStyle name="메모 54 6" xfId="10459"/>
    <cellStyle name="메모 54 7" xfId="10460"/>
    <cellStyle name="메모 54 8" xfId="10461"/>
    <cellStyle name="메모 54 9" xfId="10462"/>
    <cellStyle name="메모 55" xfId="10463"/>
    <cellStyle name="메모 55 10" xfId="10464"/>
    <cellStyle name="메모 55 11" xfId="10465"/>
    <cellStyle name="메모 55 12" xfId="10466"/>
    <cellStyle name="메모 55 13" xfId="10467"/>
    <cellStyle name="메모 55 14" xfId="10468"/>
    <cellStyle name="메모 55 2" xfId="10469"/>
    <cellStyle name="메모 55 2 2" xfId="10470"/>
    <cellStyle name="메모 55 2 3" xfId="10471"/>
    <cellStyle name="메모 55 3" xfId="10472"/>
    <cellStyle name="메모 55 3 2" xfId="10473"/>
    <cellStyle name="메모 55 3 3" xfId="10474"/>
    <cellStyle name="메모 55 4" xfId="10475"/>
    <cellStyle name="메모 55 4 2" xfId="10476"/>
    <cellStyle name="메모 55 5" xfId="10477"/>
    <cellStyle name="메모 55 6" xfId="10478"/>
    <cellStyle name="메모 55 7" xfId="10479"/>
    <cellStyle name="메모 55 8" xfId="10480"/>
    <cellStyle name="메모 55 9" xfId="10481"/>
    <cellStyle name="메모 56" xfId="10482"/>
    <cellStyle name="메모 56 10" xfId="10483"/>
    <cellStyle name="메모 56 11" xfId="10484"/>
    <cellStyle name="메모 56 12" xfId="10485"/>
    <cellStyle name="메모 56 13" xfId="10486"/>
    <cellStyle name="메모 56 14" xfId="10487"/>
    <cellStyle name="메모 56 2" xfId="10488"/>
    <cellStyle name="메모 56 2 2" xfId="10489"/>
    <cellStyle name="메모 56 2 3" xfId="10490"/>
    <cellStyle name="메모 56 3" xfId="10491"/>
    <cellStyle name="메모 56 3 2" xfId="10492"/>
    <cellStyle name="메모 56 3 3" xfId="10493"/>
    <cellStyle name="메모 56 4" xfId="10494"/>
    <cellStyle name="메모 56 4 2" xfId="10495"/>
    <cellStyle name="메모 56 5" xfId="10496"/>
    <cellStyle name="메모 56 6" xfId="10497"/>
    <cellStyle name="메모 56 7" xfId="10498"/>
    <cellStyle name="메모 56 8" xfId="10499"/>
    <cellStyle name="메모 56 9" xfId="10500"/>
    <cellStyle name="메모 57" xfId="10501"/>
    <cellStyle name="메모 57 10" xfId="10502"/>
    <cellStyle name="메모 57 11" xfId="10503"/>
    <cellStyle name="메모 57 12" xfId="10504"/>
    <cellStyle name="메모 57 13" xfId="10505"/>
    <cellStyle name="메모 57 14" xfId="10506"/>
    <cellStyle name="메모 57 2" xfId="10507"/>
    <cellStyle name="메모 57 2 2" xfId="10508"/>
    <cellStyle name="메모 57 2 3" xfId="10509"/>
    <cellStyle name="메모 57 3" xfId="10510"/>
    <cellStyle name="메모 57 3 2" xfId="10511"/>
    <cellStyle name="메모 57 3 3" xfId="10512"/>
    <cellStyle name="메모 57 4" xfId="10513"/>
    <cellStyle name="메모 57 4 2" xfId="10514"/>
    <cellStyle name="메모 57 5" xfId="10515"/>
    <cellStyle name="메모 57 6" xfId="10516"/>
    <cellStyle name="메모 57 7" xfId="10517"/>
    <cellStyle name="메모 57 8" xfId="10518"/>
    <cellStyle name="메모 57 9" xfId="10519"/>
    <cellStyle name="메모 58" xfId="10520"/>
    <cellStyle name="메모 58 10" xfId="10521"/>
    <cellStyle name="메모 58 11" xfId="10522"/>
    <cellStyle name="메모 58 12" xfId="10523"/>
    <cellStyle name="메모 58 13" xfId="10524"/>
    <cellStyle name="메모 58 14" xfId="10525"/>
    <cellStyle name="메모 58 2" xfId="10526"/>
    <cellStyle name="메모 58 2 2" xfId="10527"/>
    <cellStyle name="메모 58 2 3" xfId="10528"/>
    <cellStyle name="메모 58 3" xfId="10529"/>
    <cellStyle name="메모 58 3 2" xfId="10530"/>
    <cellStyle name="메모 58 3 3" xfId="10531"/>
    <cellStyle name="메모 58 4" xfId="10532"/>
    <cellStyle name="메모 58 4 2" xfId="10533"/>
    <cellStyle name="메모 58 5" xfId="10534"/>
    <cellStyle name="메모 58 6" xfId="10535"/>
    <cellStyle name="메모 58 7" xfId="10536"/>
    <cellStyle name="메모 58 8" xfId="10537"/>
    <cellStyle name="메모 58 9" xfId="10538"/>
    <cellStyle name="메모 59" xfId="10539"/>
    <cellStyle name="메모 59 10" xfId="10540"/>
    <cellStyle name="메모 59 11" xfId="10541"/>
    <cellStyle name="메모 59 12" xfId="10542"/>
    <cellStyle name="메모 59 13" xfId="10543"/>
    <cellStyle name="메모 59 14" xfId="10544"/>
    <cellStyle name="메모 59 2" xfId="10545"/>
    <cellStyle name="메모 59 2 2" xfId="10546"/>
    <cellStyle name="메모 59 2 3" xfId="10547"/>
    <cellStyle name="메모 59 3" xfId="10548"/>
    <cellStyle name="메모 59 3 2" xfId="10549"/>
    <cellStyle name="메모 59 3 3" xfId="10550"/>
    <cellStyle name="메모 59 4" xfId="10551"/>
    <cellStyle name="메모 59 4 2" xfId="10552"/>
    <cellStyle name="메모 59 5" xfId="10553"/>
    <cellStyle name="메모 59 6" xfId="10554"/>
    <cellStyle name="메모 59 7" xfId="10555"/>
    <cellStyle name="메모 59 8" xfId="10556"/>
    <cellStyle name="메모 59 9" xfId="10557"/>
    <cellStyle name="메모 6" xfId="3731"/>
    <cellStyle name="메모 6 10" xfId="10558"/>
    <cellStyle name="메모 6 11" xfId="10559"/>
    <cellStyle name="메모 6 12" xfId="10560"/>
    <cellStyle name="메모 6 13" xfId="10561"/>
    <cellStyle name="메모 6 14" xfId="10562"/>
    <cellStyle name="메모 6 15" xfId="10563"/>
    <cellStyle name="메모 6 2" xfId="3732"/>
    <cellStyle name="메모 6 2 2" xfId="3733"/>
    <cellStyle name="메모 6 2 2 2" xfId="3734"/>
    <cellStyle name="메모 6 2 2 3" xfId="3735"/>
    <cellStyle name="메모 6 2 2 4" xfId="10564"/>
    <cellStyle name="메모 6 2 3" xfId="3736"/>
    <cellStyle name="메모 6 2 3 2" xfId="3737"/>
    <cellStyle name="메모 6 2 3 3" xfId="3738"/>
    <cellStyle name="메모 6 2 3 4" xfId="10565"/>
    <cellStyle name="메모 6 2 4" xfId="3739"/>
    <cellStyle name="메모 6 2 5" xfId="3740"/>
    <cellStyle name="메모 6 2 6" xfId="10566"/>
    <cellStyle name="메모 6 3" xfId="3741"/>
    <cellStyle name="메모 6 3 2" xfId="3742"/>
    <cellStyle name="메모 6 3 2 2" xfId="3743"/>
    <cellStyle name="메모 6 3 2 3" xfId="3744"/>
    <cellStyle name="메모 6 3 2 4" xfId="10567"/>
    <cellStyle name="메모 6 3 3" xfId="3745"/>
    <cellStyle name="메모 6 3 3 2" xfId="3746"/>
    <cellStyle name="메모 6 3 3 3" xfId="3747"/>
    <cellStyle name="메모 6 3 3 4" xfId="10568"/>
    <cellStyle name="메모 6 3 4" xfId="3748"/>
    <cellStyle name="메모 6 3 5" xfId="3749"/>
    <cellStyle name="메모 6 3 6" xfId="10569"/>
    <cellStyle name="메모 6 4" xfId="3750"/>
    <cellStyle name="메모 6 4 2" xfId="3751"/>
    <cellStyle name="메모 6 4 2 2" xfId="10570"/>
    <cellStyle name="메모 6 4 3" xfId="3752"/>
    <cellStyle name="메모 6 4 4" xfId="10571"/>
    <cellStyle name="메모 6 5" xfId="3753"/>
    <cellStyle name="메모 6 5 2" xfId="3754"/>
    <cellStyle name="메모 6 5 3" xfId="3755"/>
    <cellStyle name="메모 6 5 4" xfId="10572"/>
    <cellStyle name="메모 6 6" xfId="3756"/>
    <cellStyle name="메모 6 6 2" xfId="10573"/>
    <cellStyle name="메모 6 7" xfId="3757"/>
    <cellStyle name="메모 6 7 2" xfId="10574"/>
    <cellStyle name="메모 6 8" xfId="10575"/>
    <cellStyle name="메모 6 9" xfId="10576"/>
    <cellStyle name="메모 60" xfId="10577"/>
    <cellStyle name="메모 60 10" xfId="10578"/>
    <cellStyle name="메모 60 11" xfId="10579"/>
    <cellStyle name="메모 60 12" xfId="10580"/>
    <cellStyle name="메모 60 13" xfId="10581"/>
    <cellStyle name="메모 60 14" xfId="10582"/>
    <cellStyle name="메모 60 2" xfId="10583"/>
    <cellStyle name="메모 60 2 2" xfId="10584"/>
    <cellStyle name="메모 60 2 3" xfId="10585"/>
    <cellStyle name="메모 60 3" xfId="10586"/>
    <cellStyle name="메모 60 3 2" xfId="10587"/>
    <cellStyle name="메모 60 3 3" xfId="10588"/>
    <cellStyle name="메모 60 4" xfId="10589"/>
    <cellStyle name="메모 60 4 2" xfId="10590"/>
    <cellStyle name="메모 60 5" xfId="10591"/>
    <cellStyle name="메모 60 6" xfId="10592"/>
    <cellStyle name="메모 60 7" xfId="10593"/>
    <cellStyle name="메모 60 8" xfId="10594"/>
    <cellStyle name="메모 60 9" xfId="10595"/>
    <cellStyle name="메모 61" xfId="10596"/>
    <cellStyle name="메모 61 10" xfId="10597"/>
    <cellStyle name="메모 61 11" xfId="10598"/>
    <cellStyle name="메모 61 12" xfId="10599"/>
    <cellStyle name="메모 61 13" xfId="10600"/>
    <cellStyle name="메모 61 14" xfId="10601"/>
    <cellStyle name="메모 61 2" xfId="10602"/>
    <cellStyle name="메모 61 2 2" xfId="10603"/>
    <cellStyle name="메모 61 2 3" xfId="10604"/>
    <cellStyle name="메모 61 3" xfId="10605"/>
    <cellStyle name="메모 61 3 2" xfId="10606"/>
    <cellStyle name="메모 61 3 3" xfId="10607"/>
    <cellStyle name="메모 61 4" xfId="10608"/>
    <cellStyle name="메모 61 4 2" xfId="10609"/>
    <cellStyle name="메모 61 5" xfId="10610"/>
    <cellStyle name="메모 61 6" xfId="10611"/>
    <cellStyle name="메모 61 7" xfId="10612"/>
    <cellStyle name="메모 61 8" xfId="10613"/>
    <cellStyle name="메모 61 9" xfId="10614"/>
    <cellStyle name="메모 62" xfId="10615"/>
    <cellStyle name="메모 62 10" xfId="10616"/>
    <cellStyle name="메모 62 11" xfId="10617"/>
    <cellStyle name="메모 62 12" xfId="10618"/>
    <cellStyle name="메모 62 13" xfId="10619"/>
    <cellStyle name="메모 62 14" xfId="10620"/>
    <cellStyle name="메모 62 2" xfId="10621"/>
    <cellStyle name="메모 62 2 2" xfId="10622"/>
    <cellStyle name="메모 62 2 3" xfId="10623"/>
    <cellStyle name="메모 62 3" xfId="10624"/>
    <cellStyle name="메모 62 3 2" xfId="10625"/>
    <cellStyle name="메모 62 3 3" xfId="10626"/>
    <cellStyle name="메모 62 4" xfId="10627"/>
    <cellStyle name="메모 62 4 2" xfId="10628"/>
    <cellStyle name="메모 62 5" xfId="10629"/>
    <cellStyle name="메모 62 6" xfId="10630"/>
    <cellStyle name="메모 62 7" xfId="10631"/>
    <cellStyle name="메모 62 8" xfId="10632"/>
    <cellStyle name="메모 62 9" xfId="10633"/>
    <cellStyle name="메모 63" xfId="10634"/>
    <cellStyle name="메모 63 10" xfId="10635"/>
    <cellStyle name="메모 63 11" xfId="10636"/>
    <cellStyle name="메모 63 12" xfId="10637"/>
    <cellStyle name="메모 63 13" xfId="10638"/>
    <cellStyle name="메모 63 14" xfId="10639"/>
    <cellStyle name="메모 63 2" xfId="10640"/>
    <cellStyle name="메모 63 2 2" xfId="10641"/>
    <cellStyle name="메모 63 2 3" xfId="10642"/>
    <cellStyle name="메모 63 3" xfId="10643"/>
    <cellStyle name="메모 63 3 2" xfId="10644"/>
    <cellStyle name="메모 63 3 3" xfId="10645"/>
    <cellStyle name="메모 63 4" xfId="10646"/>
    <cellStyle name="메모 63 4 2" xfId="10647"/>
    <cellStyle name="메모 63 5" xfId="10648"/>
    <cellStyle name="메모 63 6" xfId="10649"/>
    <cellStyle name="메모 63 7" xfId="10650"/>
    <cellStyle name="메모 63 8" xfId="10651"/>
    <cellStyle name="메모 63 9" xfId="10652"/>
    <cellStyle name="메모 64" xfId="10653"/>
    <cellStyle name="메모 64 10" xfId="10654"/>
    <cellStyle name="메모 64 11" xfId="10655"/>
    <cellStyle name="메모 64 12" xfId="10656"/>
    <cellStyle name="메모 64 13" xfId="10657"/>
    <cellStyle name="메모 64 14" xfId="10658"/>
    <cellStyle name="메모 64 2" xfId="10659"/>
    <cellStyle name="메모 64 2 2" xfId="10660"/>
    <cellStyle name="메모 64 2 3" xfId="10661"/>
    <cellStyle name="메모 64 3" xfId="10662"/>
    <cellStyle name="메모 64 3 2" xfId="10663"/>
    <cellStyle name="메모 64 3 3" xfId="10664"/>
    <cellStyle name="메모 64 4" xfId="10665"/>
    <cellStyle name="메모 64 4 2" xfId="10666"/>
    <cellStyle name="메모 64 5" xfId="10667"/>
    <cellStyle name="메모 64 6" xfId="10668"/>
    <cellStyle name="메모 64 7" xfId="10669"/>
    <cellStyle name="메모 64 8" xfId="10670"/>
    <cellStyle name="메모 64 9" xfId="10671"/>
    <cellStyle name="메모 65" xfId="10672"/>
    <cellStyle name="메모 65 10" xfId="10673"/>
    <cellStyle name="메모 65 11" xfId="10674"/>
    <cellStyle name="메모 65 12" xfId="10675"/>
    <cellStyle name="메모 65 13" xfId="10676"/>
    <cellStyle name="메모 65 14" xfId="10677"/>
    <cellStyle name="메모 65 2" xfId="10678"/>
    <cellStyle name="메모 65 2 2" xfId="10679"/>
    <cellStyle name="메모 65 2 3" xfId="10680"/>
    <cellStyle name="메모 65 3" xfId="10681"/>
    <cellStyle name="메모 65 3 2" xfId="10682"/>
    <cellStyle name="메모 65 3 3" xfId="10683"/>
    <cellStyle name="메모 65 4" xfId="10684"/>
    <cellStyle name="메모 65 4 2" xfId="10685"/>
    <cellStyle name="메모 65 5" xfId="10686"/>
    <cellStyle name="메모 65 6" xfId="10687"/>
    <cellStyle name="메모 65 7" xfId="10688"/>
    <cellStyle name="메모 65 8" xfId="10689"/>
    <cellStyle name="메모 65 9" xfId="10690"/>
    <cellStyle name="메모 66" xfId="10691"/>
    <cellStyle name="메모 66 10" xfId="10692"/>
    <cellStyle name="메모 66 11" xfId="10693"/>
    <cellStyle name="메모 66 12" xfId="10694"/>
    <cellStyle name="메모 66 13" xfId="10695"/>
    <cellStyle name="메모 66 14" xfId="10696"/>
    <cellStyle name="메모 66 2" xfId="10697"/>
    <cellStyle name="메모 66 2 2" xfId="10698"/>
    <cellStyle name="메모 66 2 3" xfId="10699"/>
    <cellStyle name="메모 66 3" xfId="10700"/>
    <cellStyle name="메모 66 3 2" xfId="10701"/>
    <cellStyle name="메모 66 3 3" xfId="10702"/>
    <cellStyle name="메모 66 4" xfId="10703"/>
    <cellStyle name="메모 66 4 2" xfId="10704"/>
    <cellStyle name="메모 66 5" xfId="10705"/>
    <cellStyle name="메모 66 6" xfId="10706"/>
    <cellStyle name="메모 66 7" xfId="10707"/>
    <cellStyle name="메모 66 8" xfId="10708"/>
    <cellStyle name="메모 66 9" xfId="10709"/>
    <cellStyle name="메모 67" xfId="10710"/>
    <cellStyle name="메모 67 10" xfId="10711"/>
    <cellStyle name="메모 67 11" xfId="10712"/>
    <cellStyle name="메모 67 12" xfId="10713"/>
    <cellStyle name="메모 67 13" xfId="10714"/>
    <cellStyle name="메모 67 14" xfId="10715"/>
    <cellStyle name="메모 67 2" xfId="10716"/>
    <cellStyle name="메모 67 2 2" xfId="10717"/>
    <cellStyle name="메모 67 2 3" xfId="10718"/>
    <cellStyle name="메모 67 3" xfId="10719"/>
    <cellStyle name="메모 67 3 2" xfId="10720"/>
    <cellStyle name="메모 67 3 3" xfId="10721"/>
    <cellStyle name="메모 67 4" xfId="10722"/>
    <cellStyle name="메모 67 4 2" xfId="10723"/>
    <cellStyle name="메모 67 5" xfId="10724"/>
    <cellStyle name="메모 67 6" xfId="10725"/>
    <cellStyle name="메모 67 7" xfId="10726"/>
    <cellStyle name="메모 67 8" xfId="10727"/>
    <cellStyle name="메모 67 9" xfId="10728"/>
    <cellStyle name="메모 68" xfId="10729"/>
    <cellStyle name="메모 68 10" xfId="10730"/>
    <cellStyle name="메모 68 11" xfId="10731"/>
    <cellStyle name="메모 68 12" xfId="10732"/>
    <cellStyle name="메모 68 13" xfId="10733"/>
    <cellStyle name="메모 68 14" xfId="10734"/>
    <cellStyle name="메모 68 2" xfId="10735"/>
    <cellStyle name="메모 68 2 2" xfId="10736"/>
    <cellStyle name="메모 68 2 3" xfId="10737"/>
    <cellStyle name="메모 68 3" xfId="10738"/>
    <cellStyle name="메모 68 3 2" xfId="10739"/>
    <cellStyle name="메모 68 3 3" xfId="10740"/>
    <cellStyle name="메모 68 4" xfId="10741"/>
    <cellStyle name="메모 68 4 2" xfId="10742"/>
    <cellStyle name="메모 68 5" xfId="10743"/>
    <cellStyle name="메모 68 6" xfId="10744"/>
    <cellStyle name="메모 68 7" xfId="10745"/>
    <cellStyle name="메모 68 8" xfId="10746"/>
    <cellStyle name="메모 68 9" xfId="10747"/>
    <cellStyle name="메모 69" xfId="10748"/>
    <cellStyle name="메모 69 10" xfId="10749"/>
    <cellStyle name="메모 69 11" xfId="10750"/>
    <cellStyle name="메모 69 12" xfId="10751"/>
    <cellStyle name="메모 69 13" xfId="10752"/>
    <cellStyle name="메모 69 14" xfId="10753"/>
    <cellStyle name="메모 69 2" xfId="10754"/>
    <cellStyle name="메모 69 2 2" xfId="10755"/>
    <cellStyle name="메모 69 2 3" xfId="10756"/>
    <cellStyle name="메모 69 3" xfId="10757"/>
    <cellStyle name="메모 69 3 2" xfId="10758"/>
    <cellStyle name="메모 69 3 3" xfId="10759"/>
    <cellStyle name="메모 69 4" xfId="10760"/>
    <cellStyle name="메모 69 4 2" xfId="10761"/>
    <cellStyle name="메모 69 5" xfId="10762"/>
    <cellStyle name="메모 69 6" xfId="10763"/>
    <cellStyle name="메모 69 7" xfId="10764"/>
    <cellStyle name="메모 69 8" xfId="10765"/>
    <cellStyle name="메모 69 9" xfId="10766"/>
    <cellStyle name="메모 7" xfId="3758"/>
    <cellStyle name="메모 7 10" xfId="10767"/>
    <cellStyle name="메모 7 11" xfId="10768"/>
    <cellStyle name="메모 7 12" xfId="10769"/>
    <cellStyle name="메모 7 13" xfId="10770"/>
    <cellStyle name="메모 7 14" xfId="10771"/>
    <cellStyle name="메모 7 15" xfId="10772"/>
    <cellStyle name="메모 7 2" xfId="3759"/>
    <cellStyle name="메모 7 2 2" xfId="3760"/>
    <cellStyle name="메모 7 2 2 2" xfId="3761"/>
    <cellStyle name="메모 7 2 2 3" xfId="3762"/>
    <cellStyle name="메모 7 2 2 4" xfId="10773"/>
    <cellStyle name="메모 7 2 3" xfId="3763"/>
    <cellStyle name="메모 7 2 3 2" xfId="3764"/>
    <cellStyle name="메모 7 2 3 3" xfId="3765"/>
    <cellStyle name="메모 7 2 3 4" xfId="10774"/>
    <cellStyle name="메모 7 2 4" xfId="3766"/>
    <cellStyle name="메모 7 2 5" xfId="3767"/>
    <cellStyle name="메모 7 2 6" xfId="10775"/>
    <cellStyle name="메모 7 3" xfId="3768"/>
    <cellStyle name="메모 7 3 2" xfId="3769"/>
    <cellStyle name="메모 7 3 2 2" xfId="3770"/>
    <cellStyle name="메모 7 3 2 3" xfId="3771"/>
    <cellStyle name="메모 7 3 2 4" xfId="10776"/>
    <cellStyle name="메모 7 3 3" xfId="3772"/>
    <cellStyle name="메모 7 3 3 2" xfId="3773"/>
    <cellStyle name="메모 7 3 3 3" xfId="3774"/>
    <cellStyle name="메모 7 3 3 4" xfId="10777"/>
    <cellStyle name="메모 7 3 4" xfId="3775"/>
    <cellStyle name="메모 7 3 5" xfId="3776"/>
    <cellStyle name="메모 7 3 6" xfId="10778"/>
    <cellStyle name="메모 7 4" xfId="3777"/>
    <cellStyle name="메모 7 4 2" xfId="3778"/>
    <cellStyle name="메모 7 4 2 2" xfId="10779"/>
    <cellStyle name="메모 7 4 3" xfId="3779"/>
    <cellStyle name="메모 7 4 4" xfId="10780"/>
    <cellStyle name="메모 7 5" xfId="3780"/>
    <cellStyle name="메모 7 5 2" xfId="3781"/>
    <cellStyle name="메모 7 5 3" xfId="3782"/>
    <cellStyle name="메모 7 5 4" xfId="10781"/>
    <cellStyle name="메모 7 6" xfId="3783"/>
    <cellStyle name="메모 7 6 2" xfId="10782"/>
    <cellStyle name="메모 7 7" xfId="3784"/>
    <cellStyle name="메모 7 7 2" xfId="10783"/>
    <cellStyle name="메모 7 8" xfId="10784"/>
    <cellStyle name="메모 7 9" xfId="10785"/>
    <cellStyle name="메모 70" xfId="10786"/>
    <cellStyle name="메모 70 10" xfId="10787"/>
    <cellStyle name="메모 70 11" xfId="10788"/>
    <cellStyle name="메모 70 12" xfId="10789"/>
    <cellStyle name="메모 70 13" xfId="10790"/>
    <cellStyle name="메모 70 14" xfId="10791"/>
    <cellStyle name="메모 70 2" xfId="10792"/>
    <cellStyle name="메모 70 2 2" xfId="10793"/>
    <cellStyle name="메모 70 2 3" xfId="10794"/>
    <cellStyle name="메모 70 3" xfId="10795"/>
    <cellStyle name="메모 70 3 2" xfId="10796"/>
    <cellStyle name="메모 70 3 3" xfId="10797"/>
    <cellStyle name="메모 70 4" xfId="10798"/>
    <cellStyle name="메모 70 4 2" xfId="10799"/>
    <cellStyle name="메모 70 5" xfId="10800"/>
    <cellStyle name="메모 70 6" xfId="10801"/>
    <cellStyle name="메모 70 7" xfId="10802"/>
    <cellStyle name="메모 70 8" xfId="10803"/>
    <cellStyle name="메모 70 9" xfId="10804"/>
    <cellStyle name="메모 71" xfId="10805"/>
    <cellStyle name="메모 71 10" xfId="10806"/>
    <cellStyle name="메모 71 11" xfId="10807"/>
    <cellStyle name="메모 71 12" xfId="10808"/>
    <cellStyle name="메모 71 13" xfId="10809"/>
    <cellStyle name="메모 71 14" xfId="10810"/>
    <cellStyle name="메모 71 2" xfId="10811"/>
    <cellStyle name="메모 71 2 2" xfId="10812"/>
    <cellStyle name="메모 71 2 3" xfId="10813"/>
    <cellStyle name="메모 71 3" xfId="10814"/>
    <cellStyle name="메모 71 3 2" xfId="10815"/>
    <cellStyle name="메모 71 3 3" xfId="10816"/>
    <cellStyle name="메모 71 4" xfId="10817"/>
    <cellStyle name="메모 71 4 2" xfId="10818"/>
    <cellStyle name="메모 71 5" xfId="10819"/>
    <cellStyle name="메모 71 6" xfId="10820"/>
    <cellStyle name="메모 71 7" xfId="10821"/>
    <cellStyle name="메모 71 8" xfId="10822"/>
    <cellStyle name="메모 71 9" xfId="10823"/>
    <cellStyle name="메모 72" xfId="10824"/>
    <cellStyle name="메모 72 10" xfId="10825"/>
    <cellStyle name="메모 72 11" xfId="10826"/>
    <cellStyle name="메모 72 12" xfId="10827"/>
    <cellStyle name="메모 72 13" xfId="10828"/>
    <cellStyle name="메모 72 14" xfId="10829"/>
    <cellStyle name="메모 72 2" xfId="10830"/>
    <cellStyle name="메모 72 2 2" xfId="10831"/>
    <cellStyle name="메모 72 2 3" xfId="10832"/>
    <cellStyle name="메모 72 3" xfId="10833"/>
    <cellStyle name="메모 72 3 2" xfId="10834"/>
    <cellStyle name="메모 72 3 3" xfId="10835"/>
    <cellStyle name="메모 72 4" xfId="10836"/>
    <cellStyle name="메모 72 4 2" xfId="10837"/>
    <cellStyle name="메모 72 5" xfId="10838"/>
    <cellStyle name="메모 72 6" xfId="10839"/>
    <cellStyle name="메모 72 7" xfId="10840"/>
    <cellStyle name="메모 72 8" xfId="10841"/>
    <cellStyle name="메모 72 9" xfId="10842"/>
    <cellStyle name="메모 73" xfId="10843"/>
    <cellStyle name="메모 73 10" xfId="10844"/>
    <cellStyle name="메모 73 11" xfId="10845"/>
    <cellStyle name="메모 73 12" xfId="10846"/>
    <cellStyle name="메모 73 13" xfId="10847"/>
    <cellStyle name="메모 73 14" xfId="10848"/>
    <cellStyle name="메모 73 2" xfId="10849"/>
    <cellStyle name="메모 73 2 2" xfId="10850"/>
    <cellStyle name="메모 73 2 3" xfId="10851"/>
    <cellStyle name="메모 73 3" xfId="10852"/>
    <cellStyle name="메모 73 3 2" xfId="10853"/>
    <cellStyle name="메모 73 3 3" xfId="10854"/>
    <cellStyle name="메모 73 4" xfId="10855"/>
    <cellStyle name="메모 73 4 2" xfId="10856"/>
    <cellStyle name="메모 73 5" xfId="10857"/>
    <cellStyle name="메모 73 6" xfId="10858"/>
    <cellStyle name="메모 73 7" xfId="10859"/>
    <cellStyle name="메모 73 8" xfId="10860"/>
    <cellStyle name="메모 73 9" xfId="10861"/>
    <cellStyle name="메모 74" xfId="10862"/>
    <cellStyle name="메모 74 10" xfId="10863"/>
    <cellStyle name="메모 74 11" xfId="10864"/>
    <cellStyle name="메모 74 12" xfId="10865"/>
    <cellStyle name="메모 74 13" xfId="10866"/>
    <cellStyle name="메모 74 14" xfId="10867"/>
    <cellStyle name="메모 74 2" xfId="10868"/>
    <cellStyle name="메모 74 2 2" xfId="10869"/>
    <cellStyle name="메모 74 2 3" xfId="10870"/>
    <cellStyle name="메모 74 3" xfId="10871"/>
    <cellStyle name="메모 74 3 2" xfId="10872"/>
    <cellStyle name="메모 74 3 3" xfId="10873"/>
    <cellStyle name="메모 74 4" xfId="10874"/>
    <cellStyle name="메모 74 4 2" xfId="10875"/>
    <cellStyle name="메모 74 5" xfId="10876"/>
    <cellStyle name="메모 74 6" xfId="10877"/>
    <cellStyle name="메모 74 7" xfId="10878"/>
    <cellStyle name="메모 74 8" xfId="10879"/>
    <cellStyle name="메모 74 9" xfId="10880"/>
    <cellStyle name="메모 75" xfId="10881"/>
    <cellStyle name="메모 75 10" xfId="10882"/>
    <cellStyle name="메모 75 11" xfId="10883"/>
    <cellStyle name="메모 75 12" xfId="10884"/>
    <cellStyle name="메모 75 13" xfId="10885"/>
    <cellStyle name="메모 75 14" xfId="10886"/>
    <cellStyle name="메모 75 2" xfId="10887"/>
    <cellStyle name="메모 75 2 2" xfId="10888"/>
    <cellStyle name="메모 75 2 3" xfId="10889"/>
    <cellStyle name="메모 75 3" xfId="10890"/>
    <cellStyle name="메모 75 3 2" xfId="10891"/>
    <cellStyle name="메모 75 3 3" xfId="10892"/>
    <cellStyle name="메모 75 4" xfId="10893"/>
    <cellStyle name="메모 75 4 2" xfId="10894"/>
    <cellStyle name="메모 75 5" xfId="10895"/>
    <cellStyle name="메모 75 6" xfId="10896"/>
    <cellStyle name="메모 75 7" xfId="10897"/>
    <cellStyle name="메모 75 8" xfId="10898"/>
    <cellStyle name="메모 75 9" xfId="10899"/>
    <cellStyle name="메모 76" xfId="10900"/>
    <cellStyle name="메모 76 10" xfId="10901"/>
    <cellStyle name="메모 76 11" xfId="10902"/>
    <cellStyle name="메모 76 12" xfId="10903"/>
    <cellStyle name="메모 76 13" xfId="10904"/>
    <cellStyle name="메모 76 14" xfId="10905"/>
    <cellStyle name="메모 76 2" xfId="10906"/>
    <cellStyle name="메모 76 2 2" xfId="10907"/>
    <cellStyle name="메모 76 2 3" xfId="10908"/>
    <cellStyle name="메모 76 3" xfId="10909"/>
    <cellStyle name="메모 76 3 2" xfId="10910"/>
    <cellStyle name="메모 76 3 3" xfId="10911"/>
    <cellStyle name="메모 76 4" xfId="10912"/>
    <cellStyle name="메모 76 4 2" xfId="10913"/>
    <cellStyle name="메모 76 5" xfId="10914"/>
    <cellStyle name="메모 76 6" xfId="10915"/>
    <cellStyle name="메모 76 7" xfId="10916"/>
    <cellStyle name="메모 76 8" xfId="10917"/>
    <cellStyle name="메모 76 9" xfId="10918"/>
    <cellStyle name="메모 77" xfId="10919"/>
    <cellStyle name="메모 77 10" xfId="10920"/>
    <cellStyle name="메모 77 11" xfId="10921"/>
    <cellStyle name="메모 77 12" xfId="10922"/>
    <cellStyle name="메모 77 13" xfId="10923"/>
    <cellStyle name="메모 77 14" xfId="10924"/>
    <cellStyle name="메모 77 2" xfId="10925"/>
    <cellStyle name="메모 77 2 2" xfId="10926"/>
    <cellStyle name="메모 77 2 3" xfId="10927"/>
    <cellStyle name="메모 77 3" xfId="10928"/>
    <cellStyle name="메모 77 3 2" xfId="10929"/>
    <cellStyle name="메모 77 3 3" xfId="10930"/>
    <cellStyle name="메모 77 4" xfId="10931"/>
    <cellStyle name="메모 77 4 2" xfId="10932"/>
    <cellStyle name="메모 77 5" xfId="10933"/>
    <cellStyle name="메모 77 6" xfId="10934"/>
    <cellStyle name="메모 77 7" xfId="10935"/>
    <cellStyle name="메모 77 8" xfId="10936"/>
    <cellStyle name="메모 77 9" xfId="10937"/>
    <cellStyle name="메모 78" xfId="10938"/>
    <cellStyle name="메모 78 10" xfId="10939"/>
    <cellStyle name="메모 78 11" xfId="10940"/>
    <cellStyle name="메모 78 12" xfId="10941"/>
    <cellStyle name="메모 78 13" xfId="10942"/>
    <cellStyle name="메모 78 14" xfId="10943"/>
    <cellStyle name="메모 78 2" xfId="10944"/>
    <cellStyle name="메모 78 2 2" xfId="10945"/>
    <cellStyle name="메모 78 2 3" xfId="10946"/>
    <cellStyle name="메모 78 3" xfId="10947"/>
    <cellStyle name="메모 78 3 2" xfId="10948"/>
    <cellStyle name="메모 78 3 3" xfId="10949"/>
    <cellStyle name="메모 78 4" xfId="10950"/>
    <cellStyle name="메모 78 4 2" xfId="10951"/>
    <cellStyle name="메모 78 5" xfId="10952"/>
    <cellStyle name="메모 78 6" xfId="10953"/>
    <cellStyle name="메모 78 7" xfId="10954"/>
    <cellStyle name="메모 78 8" xfId="10955"/>
    <cellStyle name="메모 78 9" xfId="10956"/>
    <cellStyle name="메모 79" xfId="10957"/>
    <cellStyle name="메모 79 10" xfId="10958"/>
    <cellStyle name="메모 79 11" xfId="10959"/>
    <cellStyle name="메모 79 12" xfId="10960"/>
    <cellStyle name="메모 79 13" xfId="10961"/>
    <cellStyle name="메모 79 14" xfId="10962"/>
    <cellStyle name="메모 79 2" xfId="10963"/>
    <cellStyle name="메모 79 2 2" xfId="10964"/>
    <cellStyle name="메모 79 2 3" xfId="10965"/>
    <cellStyle name="메모 79 3" xfId="10966"/>
    <cellStyle name="메모 79 3 2" xfId="10967"/>
    <cellStyle name="메모 79 3 3" xfId="10968"/>
    <cellStyle name="메모 79 4" xfId="10969"/>
    <cellStyle name="메모 79 4 2" xfId="10970"/>
    <cellStyle name="메모 79 5" xfId="10971"/>
    <cellStyle name="메모 79 6" xfId="10972"/>
    <cellStyle name="메모 79 7" xfId="10973"/>
    <cellStyle name="메모 79 8" xfId="10974"/>
    <cellStyle name="메모 79 9" xfId="10975"/>
    <cellStyle name="메모 8" xfId="3785"/>
    <cellStyle name="메모 8 10" xfId="10976"/>
    <cellStyle name="메모 8 11" xfId="10977"/>
    <cellStyle name="메모 8 12" xfId="10978"/>
    <cellStyle name="메모 8 13" xfId="10979"/>
    <cellStyle name="메모 8 14" xfId="10980"/>
    <cellStyle name="메모 8 15" xfId="10981"/>
    <cellStyle name="메모 8 2" xfId="3786"/>
    <cellStyle name="메모 8 2 2" xfId="3787"/>
    <cellStyle name="메모 8 2 2 2" xfId="3788"/>
    <cellStyle name="메모 8 2 2 3" xfId="3789"/>
    <cellStyle name="메모 8 2 2 4" xfId="10982"/>
    <cellStyle name="메모 8 2 3" xfId="3790"/>
    <cellStyle name="메모 8 2 3 2" xfId="3791"/>
    <cellStyle name="메모 8 2 3 3" xfId="3792"/>
    <cellStyle name="메모 8 2 3 4" xfId="10983"/>
    <cellStyle name="메모 8 2 4" xfId="3793"/>
    <cellStyle name="메모 8 2 5" xfId="3794"/>
    <cellStyle name="메모 8 2 6" xfId="10984"/>
    <cellStyle name="메모 8 3" xfId="3795"/>
    <cellStyle name="메모 8 3 2" xfId="3796"/>
    <cellStyle name="메모 8 3 2 2" xfId="3797"/>
    <cellStyle name="메모 8 3 2 3" xfId="3798"/>
    <cellStyle name="메모 8 3 2 4" xfId="10985"/>
    <cellStyle name="메모 8 3 3" xfId="3799"/>
    <cellStyle name="메모 8 3 3 2" xfId="3800"/>
    <cellStyle name="메모 8 3 3 3" xfId="3801"/>
    <cellStyle name="메모 8 3 3 4" xfId="10986"/>
    <cellStyle name="메모 8 3 4" xfId="3802"/>
    <cellStyle name="메모 8 3 5" xfId="3803"/>
    <cellStyle name="메모 8 3 6" xfId="10987"/>
    <cellStyle name="메모 8 4" xfId="3804"/>
    <cellStyle name="메모 8 4 2" xfId="3805"/>
    <cellStyle name="메모 8 4 2 2" xfId="10988"/>
    <cellStyle name="메모 8 4 3" xfId="3806"/>
    <cellStyle name="메모 8 4 4" xfId="10989"/>
    <cellStyle name="메모 8 5" xfId="3807"/>
    <cellStyle name="메모 8 5 2" xfId="3808"/>
    <cellStyle name="메모 8 5 3" xfId="3809"/>
    <cellStyle name="메모 8 5 4" xfId="10990"/>
    <cellStyle name="메모 8 6" xfId="3810"/>
    <cellStyle name="메모 8 6 2" xfId="10991"/>
    <cellStyle name="메모 8 7" xfId="3811"/>
    <cellStyle name="메모 8 7 2" xfId="10992"/>
    <cellStyle name="메모 8 8" xfId="10993"/>
    <cellStyle name="메모 8 9" xfId="10994"/>
    <cellStyle name="메모 80" xfId="10995"/>
    <cellStyle name="메모 80 10" xfId="10996"/>
    <cellStyle name="메모 80 11" xfId="10997"/>
    <cellStyle name="메모 80 12" xfId="10998"/>
    <cellStyle name="메모 80 13" xfId="10999"/>
    <cellStyle name="메모 80 14" xfId="11000"/>
    <cellStyle name="메모 80 2" xfId="11001"/>
    <cellStyle name="메모 80 2 2" xfId="11002"/>
    <cellStyle name="메모 80 2 3" xfId="11003"/>
    <cellStyle name="메모 80 3" xfId="11004"/>
    <cellStyle name="메모 80 3 2" xfId="11005"/>
    <cellStyle name="메모 80 3 3" xfId="11006"/>
    <cellStyle name="메모 80 4" xfId="11007"/>
    <cellStyle name="메모 80 4 2" xfId="11008"/>
    <cellStyle name="메모 80 5" xfId="11009"/>
    <cellStyle name="메모 80 6" xfId="11010"/>
    <cellStyle name="메모 80 7" xfId="11011"/>
    <cellStyle name="메모 80 8" xfId="11012"/>
    <cellStyle name="메모 80 9" xfId="11013"/>
    <cellStyle name="메모 81" xfId="11014"/>
    <cellStyle name="메모 81 10" xfId="11015"/>
    <cellStyle name="메모 81 11" xfId="11016"/>
    <cellStyle name="메모 81 12" xfId="11017"/>
    <cellStyle name="메모 81 13" xfId="11018"/>
    <cellStyle name="메모 81 14" xfId="11019"/>
    <cellStyle name="메모 81 2" xfId="11020"/>
    <cellStyle name="메모 81 2 2" xfId="11021"/>
    <cellStyle name="메모 81 2 3" xfId="11022"/>
    <cellStyle name="메모 81 3" xfId="11023"/>
    <cellStyle name="메모 81 3 2" xfId="11024"/>
    <cellStyle name="메모 81 3 3" xfId="11025"/>
    <cellStyle name="메모 81 4" xfId="11026"/>
    <cellStyle name="메모 81 4 2" xfId="11027"/>
    <cellStyle name="메모 81 5" xfId="11028"/>
    <cellStyle name="메모 81 6" xfId="11029"/>
    <cellStyle name="메모 81 7" xfId="11030"/>
    <cellStyle name="메모 81 8" xfId="11031"/>
    <cellStyle name="메모 81 9" xfId="11032"/>
    <cellStyle name="메모 82" xfId="11033"/>
    <cellStyle name="메모 82 10" xfId="11034"/>
    <cellStyle name="메모 82 11" xfId="11035"/>
    <cellStyle name="메모 82 12" xfId="11036"/>
    <cellStyle name="메모 82 13" xfId="11037"/>
    <cellStyle name="메모 82 14" xfId="11038"/>
    <cellStyle name="메모 82 2" xfId="11039"/>
    <cellStyle name="메모 82 2 2" xfId="11040"/>
    <cellStyle name="메모 82 2 3" xfId="11041"/>
    <cellStyle name="메모 82 3" xfId="11042"/>
    <cellStyle name="메모 82 3 2" xfId="11043"/>
    <cellStyle name="메모 82 3 3" xfId="11044"/>
    <cellStyle name="메모 82 4" xfId="11045"/>
    <cellStyle name="메모 82 4 2" xfId="11046"/>
    <cellStyle name="메모 82 5" xfId="11047"/>
    <cellStyle name="메모 82 6" xfId="11048"/>
    <cellStyle name="메모 82 7" xfId="11049"/>
    <cellStyle name="메모 82 8" xfId="11050"/>
    <cellStyle name="메모 82 9" xfId="11051"/>
    <cellStyle name="메모 83" xfId="11052"/>
    <cellStyle name="메모 83 2" xfId="11053"/>
    <cellStyle name="메모 83 2 2" xfId="11054"/>
    <cellStyle name="메모 83 3" xfId="11055"/>
    <cellStyle name="메모 83 3 2" xfId="11056"/>
    <cellStyle name="메모 83 4" xfId="11057"/>
    <cellStyle name="메모 83 5" xfId="11058"/>
    <cellStyle name="메모 84" xfId="11059"/>
    <cellStyle name="메모 84 2" xfId="11060"/>
    <cellStyle name="메모 84 2 2" xfId="11061"/>
    <cellStyle name="메모 84 3" xfId="11062"/>
    <cellStyle name="메모 84 3 2" xfId="11063"/>
    <cellStyle name="메모 84 4" xfId="11064"/>
    <cellStyle name="메모 84 5" xfId="11065"/>
    <cellStyle name="메모 85" xfId="11066"/>
    <cellStyle name="메모 85 2" xfId="11067"/>
    <cellStyle name="메모 85 2 2" xfId="11068"/>
    <cellStyle name="메모 85 3" xfId="11069"/>
    <cellStyle name="메모 85 3 2" xfId="11070"/>
    <cellStyle name="메모 85 4" xfId="11071"/>
    <cellStyle name="메모 85 5" xfId="11072"/>
    <cellStyle name="메모 86" xfId="11073"/>
    <cellStyle name="메모 86 2" xfId="11074"/>
    <cellStyle name="메모 86 2 2" xfId="11075"/>
    <cellStyle name="메모 86 3" xfId="11076"/>
    <cellStyle name="메모 86 3 2" xfId="11077"/>
    <cellStyle name="메모 86 4" xfId="11078"/>
    <cellStyle name="메모 86 5" xfId="11079"/>
    <cellStyle name="메모 87" xfId="11080"/>
    <cellStyle name="메모 87 2" xfId="11081"/>
    <cellStyle name="메모 87 2 2" xfId="11082"/>
    <cellStyle name="메모 87 3" xfId="11083"/>
    <cellStyle name="메모 87 3 2" xfId="11084"/>
    <cellStyle name="메모 87 4" xfId="11085"/>
    <cellStyle name="메모 87 5" xfId="11086"/>
    <cellStyle name="메모 88" xfId="11087"/>
    <cellStyle name="메모 88 2" xfId="11088"/>
    <cellStyle name="메모 88 2 2" xfId="11089"/>
    <cellStyle name="메모 88 3" xfId="11090"/>
    <cellStyle name="메모 88 3 2" xfId="11091"/>
    <cellStyle name="메모 88 4" xfId="11092"/>
    <cellStyle name="메모 88 5" xfId="11093"/>
    <cellStyle name="메모 89" xfId="11094"/>
    <cellStyle name="메모 89 2" xfId="11095"/>
    <cellStyle name="메모 89 2 2" xfId="11096"/>
    <cellStyle name="메모 89 3" xfId="11097"/>
    <cellStyle name="메모 89 3 2" xfId="11098"/>
    <cellStyle name="메모 89 4" xfId="11099"/>
    <cellStyle name="메모 89 5" xfId="11100"/>
    <cellStyle name="메모 9" xfId="3812"/>
    <cellStyle name="메모 9 10" xfId="11101"/>
    <cellStyle name="메모 9 11" xfId="11102"/>
    <cellStyle name="메모 9 12" xfId="11103"/>
    <cellStyle name="메모 9 13" xfId="11104"/>
    <cellStyle name="메모 9 14" xfId="11105"/>
    <cellStyle name="메모 9 15" xfId="11106"/>
    <cellStyle name="메모 9 2" xfId="3813"/>
    <cellStyle name="메모 9 2 2" xfId="3814"/>
    <cellStyle name="메모 9 2 2 2" xfId="3815"/>
    <cellStyle name="메모 9 2 2 3" xfId="3816"/>
    <cellStyle name="메모 9 2 2 4" xfId="11107"/>
    <cellStyle name="메모 9 2 3" xfId="3817"/>
    <cellStyle name="메모 9 2 3 2" xfId="3818"/>
    <cellStyle name="메모 9 2 3 3" xfId="3819"/>
    <cellStyle name="메모 9 2 3 4" xfId="11108"/>
    <cellStyle name="메모 9 2 4" xfId="3820"/>
    <cellStyle name="메모 9 2 5" xfId="3821"/>
    <cellStyle name="메모 9 2 6" xfId="11109"/>
    <cellStyle name="메모 9 3" xfId="3822"/>
    <cellStyle name="메모 9 3 2" xfId="3823"/>
    <cellStyle name="메모 9 3 2 2" xfId="3824"/>
    <cellStyle name="메모 9 3 2 3" xfId="3825"/>
    <cellStyle name="메모 9 3 2 4" xfId="11110"/>
    <cellStyle name="메모 9 3 3" xfId="3826"/>
    <cellStyle name="메모 9 3 3 2" xfId="3827"/>
    <cellStyle name="메모 9 3 3 3" xfId="3828"/>
    <cellStyle name="메모 9 3 3 4" xfId="11111"/>
    <cellStyle name="메모 9 3 4" xfId="3829"/>
    <cellStyle name="메모 9 3 5" xfId="3830"/>
    <cellStyle name="메모 9 3 6" xfId="11112"/>
    <cellStyle name="메모 9 4" xfId="3831"/>
    <cellStyle name="메모 9 4 2" xfId="3832"/>
    <cellStyle name="메모 9 4 2 2" xfId="11113"/>
    <cellStyle name="메모 9 4 3" xfId="3833"/>
    <cellStyle name="메모 9 4 4" xfId="11114"/>
    <cellStyle name="메모 9 5" xfId="3834"/>
    <cellStyle name="메모 9 5 2" xfId="3835"/>
    <cellStyle name="메모 9 5 3" xfId="3836"/>
    <cellStyle name="메모 9 5 4" xfId="11115"/>
    <cellStyle name="메모 9 6" xfId="3837"/>
    <cellStyle name="메모 9 6 2" xfId="11116"/>
    <cellStyle name="메모 9 7" xfId="3838"/>
    <cellStyle name="메모 9 7 2" xfId="11117"/>
    <cellStyle name="메모 9 8" xfId="11118"/>
    <cellStyle name="메모 9 9" xfId="11119"/>
    <cellStyle name="메모 90" xfId="11120"/>
    <cellStyle name="메모 90 2" xfId="11121"/>
    <cellStyle name="메모 90 2 2" xfId="11122"/>
    <cellStyle name="메모 90 3" xfId="11123"/>
    <cellStyle name="메모 90 3 2" xfId="11124"/>
    <cellStyle name="메모 90 4" xfId="11125"/>
    <cellStyle name="메모 90 5" xfId="11126"/>
    <cellStyle name="메모 91" xfId="11127"/>
    <cellStyle name="메모 91 2" xfId="11128"/>
    <cellStyle name="메모 91 2 2" xfId="11129"/>
    <cellStyle name="메모 91 3" xfId="11130"/>
    <cellStyle name="메모 91 3 2" xfId="11131"/>
    <cellStyle name="메모 91 4" xfId="11132"/>
    <cellStyle name="메모 91 5" xfId="11133"/>
    <cellStyle name="메모 92" xfId="11134"/>
    <cellStyle name="메모 92 2" xfId="11135"/>
    <cellStyle name="메모 92 2 2" xfId="11136"/>
    <cellStyle name="메모 92 3" xfId="11137"/>
    <cellStyle name="메모 92 3 2" xfId="11138"/>
    <cellStyle name="메모 92 4" xfId="11139"/>
    <cellStyle name="메모 92 5" xfId="11140"/>
    <cellStyle name="메모 93" xfId="11141"/>
    <cellStyle name="메모 93 2" xfId="11142"/>
    <cellStyle name="메모 93 2 2" xfId="11143"/>
    <cellStyle name="메모 93 3" xfId="11144"/>
    <cellStyle name="메모 93 3 2" xfId="11145"/>
    <cellStyle name="메모 93 4" xfId="11146"/>
    <cellStyle name="메모 93 5" xfId="11147"/>
    <cellStyle name="메모 94" xfId="11148"/>
    <cellStyle name="메모 94 2" xfId="11149"/>
    <cellStyle name="메모 94 2 2" xfId="11150"/>
    <cellStyle name="메모 94 3" xfId="11151"/>
    <cellStyle name="메모 94 3 2" xfId="11152"/>
    <cellStyle name="메모 94 4" xfId="11153"/>
    <cellStyle name="메모 94 5" xfId="11154"/>
    <cellStyle name="메모 95" xfId="11155"/>
    <cellStyle name="메모 95 2" xfId="11156"/>
    <cellStyle name="메모 95 2 2" xfId="11157"/>
    <cellStyle name="메모 95 3" xfId="11158"/>
    <cellStyle name="메모 95 3 2" xfId="11159"/>
    <cellStyle name="메모 95 4" xfId="11160"/>
    <cellStyle name="메모 95 5" xfId="11161"/>
    <cellStyle name="메모 96" xfId="11162"/>
    <cellStyle name="메모 96 2" xfId="11163"/>
    <cellStyle name="메모 96 2 2" xfId="11164"/>
    <cellStyle name="메모 96 3" xfId="11165"/>
    <cellStyle name="메모 96 3 2" xfId="11166"/>
    <cellStyle name="메모 96 4" xfId="11167"/>
    <cellStyle name="메모 97" xfId="11168"/>
    <cellStyle name="메모 97 2" xfId="11169"/>
    <cellStyle name="메모 97 2 2" xfId="11170"/>
    <cellStyle name="메모 97 3" xfId="11171"/>
    <cellStyle name="메모 97 3 2" xfId="11172"/>
    <cellStyle name="메모 97 4" xfId="11173"/>
    <cellStyle name="메모 98" xfId="11174"/>
    <cellStyle name="메모 98 2" xfId="11175"/>
    <cellStyle name="메모 98 2 2" xfId="11176"/>
    <cellStyle name="메모 98 3" xfId="11177"/>
    <cellStyle name="메모 98 3 2" xfId="11178"/>
    <cellStyle name="메모 98 4" xfId="11179"/>
    <cellStyle name="메모 99" xfId="11180"/>
    <cellStyle name="메모 99 2" xfId="11181"/>
    <cellStyle name="메모 99 2 2" xfId="11182"/>
    <cellStyle name="메모 99 3" xfId="11183"/>
    <cellStyle name="메모 99 3 2" xfId="11184"/>
    <cellStyle name="메모 99 4" xfId="11185"/>
    <cellStyle name="백분율" xfId="2" builtinId="5"/>
    <cellStyle name="백분율 10" xfId="11186"/>
    <cellStyle name="백분율 10 2" xfId="11187"/>
    <cellStyle name="백분율 10 3" xfId="11188"/>
    <cellStyle name="백분율 10 4" xfId="11189"/>
    <cellStyle name="백분율 11" xfId="11190"/>
    <cellStyle name="백분율 11 2" xfId="11191"/>
    <cellStyle name="백분율 12" xfId="11192"/>
    <cellStyle name="백분율 12 2" xfId="11193"/>
    <cellStyle name="백분율 13" xfId="11194"/>
    <cellStyle name="백분율 14" xfId="11195"/>
    <cellStyle name="백분율 15" xfId="11196"/>
    <cellStyle name="백분율 16" xfId="11197"/>
    <cellStyle name="백분율 2" xfId="3839"/>
    <cellStyle name="백분율 2 10" xfId="11198"/>
    <cellStyle name="백분율 2 11" xfId="11199"/>
    <cellStyle name="백분율 2 2" xfId="3840"/>
    <cellStyle name="백분율 2 2 2" xfId="11200"/>
    <cellStyle name="백분율 2 2 2 2" xfId="11201"/>
    <cellStyle name="백분율 2 2 3" xfId="11202"/>
    <cellStyle name="백분율 2 2 4" xfId="11203"/>
    <cellStyle name="백분율 2 2 5" xfId="11204"/>
    <cellStyle name="백분율 2 2 6" xfId="11205"/>
    <cellStyle name="백분율 2 2 7" xfId="11206"/>
    <cellStyle name="백분율 2 3" xfId="11207"/>
    <cellStyle name="백분율 2 3 2" xfId="11208"/>
    <cellStyle name="백분율 2 3 2 2" xfId="11209"/>
    <cellStyle name="백분율 2 3 2 2 2" xfId="11210"/>
    <cellStyle name="백분율 2 3 2 3" xfId="11211"/>
    <cellStyle name="백분율 2 3 2 4" xfId="11212"/>
    <cellStyle name="백분율 2 3 3" xfId="11213"/>
    <cellStyle name="백분율 2 3 3 2" xfId="11214"/>
    <cellStyle name="백분율 2 3 4" xfId="11215"/>
    <cellStyle name="백분율 2 3 5" xfId="11216"/>
    <cellStyle name="백분율 2 3 6" xfId="11217"/>
    <cellStyle name="백분율 2 4" xfId="11218"/>
    <cellStyle name="백분율 2 4 2" xfId="11219"/>
    <cellStyle name="백분율 2 4 2 2" xfId="11220"/>
    <cellStyle name="백분율 2 4 3" xfId="11221"/>
    <cellStyle name="백분율 2 4 4" xfId="11222"/>
    <cellStyle name="백분율 2 4 5" xfId="11223"/>
    <cellStyle name="백분율 2 5" xfId="11224"/>
    <cellStyle name="백분율 2 5 2" xfId="11225"/>
    <cellStyle name="백분율 2 5 2 2" xfId="11226"/>
    <cellStyle name="백분율 2 5 3" xfId="11227"/>
    <cellStyle name="백분율 2 6" xfId="11228"/>
    <cellStyle name="백분율 2 7" xfId="11229"/>
    <cellStyle name="백분율 2 8" xfId="11230"/>
    <cellStyle name="백분율 2 9" xfId="11231"/>
    <cellStyle name="백분율 3" xfId="3841"/>
    <cellStyle name="백분율 3 2" xfId="11232"/>
    <cellStyle name="백분율 3 2 2" xfId="11233"/>
    <cellStyle name="백분율 3 2 3" xfId="11234"/>
    <cellStyle name="백분율 3 2 4" xfId="11235"/>
    <cellStyle name="백분율 3 3" xfId="11236"/>
    <cellStyle name="백분율 3 3 2" xfId="11237"/>
    <cellStyle name="백분율 3 4" xfId="11238"/>
    <cellStyle name="백분율 3 5" xfId="11239"/>
    <cellStyle name="백분율 3 6" xfId="11240"/>
    <cellStyle name="백분율 3 7" xfId="11241"/>
    <cellStyle name="백분율 3 8" xfId="11242"/>
    <cellStyle name="백분율 3 9" xfId="42790"/>
    <cellStyle name="백분율 4" xfId="3842"/>
    <cellStyle name="백분율 4 10" xfId="11243"/>
    <cellStyle name="백분율 4 11" xfId="11244"/>
    <cellStyle name="백분율 4 12" xfId="11245"/>
    <cellStyle name="백분율 4 13" xfId="11246"/>
    <cellStyle name="백분율 4 14" xfId="11247"/>
    <cellStyle name="백분율 4 15" xfId="11248"/>
    <cellStyle name="백분율 4 2" xfId="3843"/>
    <cellStyle name="백분율 4 2 10" xfId="11249"/>
    <cellStyle name="백분율 4 2 11" xfId="11250"/>
    <cellStyle name="백분율 4 2 2" xfId="3844"/>
    <cellStyle name="백분율 4 2 2 2" xfId="11251"/>
    <cellStyle name="백분율 4 2 2 2 2" xfId="11252"/>
    <cellStyle name="백분율 4 2 2 2 2 2" xfId="11253"/>
    <cellStyle name="백분율 4 2 2 2 2 2 2" xfId="11254"/>
    <cellStyle name="백분율 4 2 2 2 2 3" xfId="11255"/>
    <cellStyle name="백분율 4 2 2 2 2 4" xfId="11256"/>
    <cellStyle name="백분율 4 2 2 2 3" xfId="11257"/>
    <cellStyle name="백분율 4 2 2 2 3 2" xfId="11258"/>
    <cellStyle name="백분율 4 2 2 2 4" xfId="11259"/>
    <cellStyle name="백분율 4 2 2 2 5" xfId="11260"/>
    <cellStyle name="백분율 4 2 2 3" xfId="11261"/>
    <cellStyle name="백분율 4 2 2 3 2" xfId="11262"/>
    <cellStyle name="백분율 4 2 2 3 2 2" xfId="11263"/>
    <cellStyle name="백분율 4 2 2 3 2 2 2" xfId="11264"/>
    <cellStyle name="백분율 4 2 2 3 2 3" xfId="11265"/>
    <cellStyle name="백분율 4 2 2 3 2 4" xfId="11266"/>
    <cellStyle name="백분율 4 2 2 3 3" xfId="11267"/>
    <cellStyle name="백분율 4 2 2 3 3 2" xfId="11268"/>
    <cellStyle name="백분율 4 2 2 3 4" xfId="11269"/>
    <cellStyle name="백분율 4 2 2 3 5" xfId="11270"/>
    <cellStyle name="백분율 4 2 2 4" xfId="11271"/>
    <cellStyle name="백분율 4 2 2 4 2" xfId="11272"/>
    <cellStyle name="백분율 4 2 2 4 2 2" xfId="11273"/>
    <cellStyle name="백분율 4 2 2 4 3" xfId="11274"/>
    <cellStyle name="백분율 4 2 2 4 4" xfId="11275"/>
    <cellStyle name="백분율 4 2 2 5" xfId="11276"/>
    <cellStyle name="백분율 4 2 2 5 2" xfId="11277"/>
    <cellStyle name="백분율 4 2 2 6" xfId="11278"/>
    <cellStyle name="백분율 4 2 2 7" xfId="11279"/>
    <cellStyle name="백분율 4 2 3" xfId="3845"/>
    <cellStyle name="백분율 4 2 3 2" xfId="11280"/>
    <cellStyle name="백분율 4 2 3 2 2" xfId="11281"/>
    <cellStyle name="백분율 4 2 3 2 2 2" xfId="11282"/>
    <cellStyle name="백분율 4 2 3 2 2 2 2" xfId="11283"/>
    <cellStyle name="백분율 4 2 3 2 2 3" xfId="11284"/>
    <cellStyle name="백분율 4 2 3 2 2 4" xfId="11285"/>
    <cellStyle name="백분율 4 2 3 2 3" xfId="11286"/>
    <cellStyle name="백분율 4 2 3 2 3 2" xfId="11287"/>
    <cellStyle name="백분율 4 2 3 2 4" xfId="11288"/>
    <cellStyle name="백분율 4 2 3 2 5" xfId="11289"/>
    <cellStyle name="백분율 4 2 3 3" xfId="11290"/>
    <cellStyle name="백분율 4 2 3 3 2" xfId="11291"/>
    <cellStyle name="백분율 4 2 3 3 2 2" xfId="11292"/>
    <cellStyle name="백분율 4 2 3 3 2 2 2" xfId="11293"/>
    <cellStyle name="백분율 4 2 3 3 2 3" xfId="11294"/>
    <cellStyle name="백분율 4 2 3 3 2 4" xfId="11295"/>
    <cellStyle name="백분율 4 2 3 3 3" xfId="11296"/>
    <cellStyle name="백분율 4 2 3 3 3 2" xfId="11297"/>
    <cellStyle name="백분율 4 2 3 3 4" xfId="11298"/>
    <cellStyle name="백분율 4 2 3 3 5" xfId="11299"/>
    <cellStyle name="백분율 4 2 3 4" xfId="11300"/>
    <cellStyle name="백분율 4 2 3 4 2" xfId="11301"/>
    <cellStyle name="백분율 4 2 3 4 2 2" xfId="11302"/>
    <cellStyle name="백분율 4 2 3 4 3" xfId="11303"/>
    <cellStyle name="백분율 4 2 3 4 4" xfId="11304"/>
    <cellStyle name="백분율 4 2 3 5" xfId="11305"/>
    <cellStyle name="백분율 4 2 3 5 2" xfId="11306"/>
    <cellStyle name="백분율 4 2 3 6" xfId="11307"/>
    <cellStyle name="백분율 4 2 3 7" xfId="11308"/>
    <cellStyle name="백분율 4 2 4" xfId="11309"/>
    <cellStyle name="백분율 4 2 4 2" xfId="11310"/>
    <cellStyle name="백분율 4 2 4 2 2" xfId="11311"/>
    <cellStyle name="백분율 4 2 4 2 2 2" xfId="11312"/>
    <cellStyle name="백분율 4 2 4 2 3" xfId="11313"/>
    <cellStyle name="백분율 4 2 4 2 4" xfId="11314"/>
    <cellStyle name="백분율 4 2 4 3" xfId="11315"/>
    <cellStyle name="백분율 4 2 4 3 2" xfId="11316"/>
    <cellStyle name="백분율 4 2 4 4" xfId="11317"/>
    <cellStyle name="백분율 4 2 4 5" xfId="11318"/>
    <cellStyle name="백분율 4 2 5" xfId="11319"/>
    <cellStyle name="백분율 4 2 5 2" xfId="11320"/>
    <cellStyle name="백분율 4 2 5 2 2" xfId="11321"/>
    <cellStyle name="백분율 4 2 5 2 2 2" xfId="11322"/>
    <cellStyle name="백분율 4 2 5 2 3" xfId="11323"/>
    <cellStyle name="백분율 4 2 5 2 4" xfId="11324"/>
    <cellStyle name="백분율 4 2 5 3" xfId="11325"/>
    <cellStyle name="백분율 4 2 5 3 2" xfId="11326"/>
    <cellStyle name="백분율 4 2 5 4" xfId="11327"/>
    <cellStyle name="백분율 4 2 5 5" xfId="11328"/>
    <cellStyle name="백분율 4 2 6" xfId="11329"/>
    <cellStyle name="백분율 4 2 6 2" xfId="11330"/>
    <cellStyle name="백분율 4 2 6 2 2" xfId="11331"/>
    <cellStyle name="백분율 4 2 6 3" xfId="11332"/>
    <cellStyle name="백분율 4 2 6 4" xfId="11333"/>
    <cellStyle name="백분율 4 2 7" xfId="11334"/>
    <cellStyle name="백분율 4 2 7 2" xfId="11335"/>
    <cellStyle name="백분율 4 2 8" xfId="11336"/>
    <cellStyle name="백분율 4 2 9" xfId="11337"/>
    <cellStyle name="백분율 4 3" xfId="3846"/>
    <cellStyle name="백분율 4 3 2" xfId="11338"/>
    <cellStyle name="백분율 4 3 2 2" xfId="11339"/>
    <cellStyle name="백분율 4 3 2 2 2" xfId="11340"/>
    <cellStyle name="백분율 4 3 2 2 2 2" xfId="11341"/>
    <cellStyle name="백분율 4 3 2 2 3" xfId="11342"/>
    <cellStyle name="백분율 4 3 2 2 4" xfId="11343"/>
    <cellStyle name="백분율 4 3 2 3" xfId="11344"/>
    <cellStyle name="백분율 4 3 2 3 2" xfId="11345"/>
    <cellStyle name="백분율 4 3 2 4" xfId="11346"/>
    <cellStyle name="백분율 4 3 2 5" xfId="11347"/>
    <cellStyle name="백분율 4 3 3" xfId="11348"/>
    <cellStyle name="백분율 4 3 3 2" xfId="11349"/>
    <cellStyle name="백분율 4 3 3 2 2" xfId="11350"/>
    <cellStyle name="백분율 4 3 3 2 2 2" xfId="11351"/>
    <cellStyle name="백분율 4 3 3 2 3" xfId="11352"/>
    <cellStyle name="백분율 4 3 3 2 4" xfId="11353"/>
    <cellStyle name="백분율 4 3 3 3" xfId="11354"/>
    <cellStyle name="백분율 4 3 3 3 2" xfId="11355"/>
    <cellStyle name="백분율 4 3 3 4" xfId="11356"/>
    <cellStyle name="백분율 4 3 3 5" xfId="11357"/>
    <cellStyle name="백분율 4 3 4" xfId="11358"/>
    <cellStyle name="백분율 4 3 4 2" xfId="11359"/>
    <cellStyle name="백분율 4 3 4 2 2" xfId="11360"/>
    <cellStyle name="백분율 4 3 4 3" xfId="11361"/>
    <cellStyle name="백분율 4 3 4 4" xfId="11362"/>
    <cellStyle name="백분율 4 3 5" xfId="11363"/>
    <cellStyle name="백분율 4 3 5 2" xfId="11364"/>
    <cellStyle name="백분율 4 3 6" xfId="11365"/>
    <cellStyle name="백분율 4 3 7" xfId="11366"/>
    <cellStyle name="백분율 4 3 8" xfId="11367"/>
    <cellStyle name="백분율 4 4" xfId="3847"/>
    <cellStyle name="백분율 4 4 2" xfId="11368"/>
    <cellStyle name="백분율 4 4 2 2" xfId="11369"/>
    <cellStyle name="백분율 4 4 2 2 2" xfId="11370"/>
    <cellStyle name="백분율 4 4 2 2 2 2" xfId="11371"/>
    <cellStyle name="백분율 4 4 2 2 3" xfId="11372"/>
    <cellStyle name="백분율 4 4 2 2 4" xfId="11373"/>
    <cellStyle name="백분율 4 4 2 3" xfId="11374"/>
    <cellStyle name="백분율 4 4 2 3 2" xfId="11375"/>
    <cellStyle name="백분율 4 4 2 4" xfId="11376"/>
    <cellStyle name="백분율 4 4 2 5" xfId="11377"/>
    <cellStyle name="백분율 4 4 3" xfId="11378"/>
    <cellStyle name="백분율 4 4 3 2" xfId="11379"/>
    <cellStyle name="백분율 4 4 3 2 2" xfId="11380"/>
    <cellStyle name="백분율 4 4 3 2 2 2" xfId="11381"/>
    <cellStyle name="백분율 4 4 3 2 3" xfId="11382"/>
    <cellStyle name="백분율 4 4 3 2 4" xfId="11383"/>
    <cellStyle name="백분율 4 4 3 3" xfId="11384"/>
    <cellStyle name="백분율 4 4 3 3 2" xfId="11385"/>
    <cellStyle name="백분율 4 4 3 4" xfId="11386"/>
    <cellStyle name="백분율 4 4 3 5" xfId="11387"/>
    <cellStyle name="백분율 4 4 4" xfId="11388"/>
    <cellStyle name="백분율 4 4 4 2" xfId="11389"/>
    <cellStyle name="백분율 4 4 4 2 2" xfId="11390"/>
    <cellStyle name="백분율 4 4 4 3" xfId="11391"/>
    <cellStyle name="백분율 4 4 4 4" xfId="11392"/>
    <cellStyle name="백분율 4 4 5" xfId="11393"/>
    <cellStyle name="백분율 4 4 5 2" xfId="11394"/>
    <cellStyle name="백분율 4 4 6" xfId="11395"/>
    <cellStyle name="백분율 4 4 7" xfId="11396"/>
    <cellStyle name="백분율 4 5" xfId="11397"/>
    <cellStyle name="백분율 4 5 2" xfId="11398"/>
    <cellStyle name="백분율 4 5 2 2" xfId="11399"/>
    <cellStyle name="백분율 4 5 2 2 2" xfId="11400"/>
    <cellStyle name="백분율 4 5 2 3" xfId="11401"/>
    <cellStyle name="백분율 4 5 2 4" xfId="11402"/>
    <cellStyle name="백분율 4 5 3" xfId="11403"/>
    <cellStyle name="백분율 4 5 3 2" xfId="11404"/>
    <cellStyle name="백분율 4 5 4" xfId="11405"/>
    <cellStyle name="백분율 4 5 5" xfId="11406"/>
    <cellStyle name="백분율 4 6" xfId="11407"/>
    <cellStyle name="백분율 4 6 2" xfId="11408"/>
    <cellStyle name="백분율 4 6 2 2" xfId="11409"/>
    <cellStyle name="백분율 4 6 2 2 2" xfId="11410"/>
    <cellStyle name="백분율 4 6 2 3" xfId="11411"/>
    <cellStyle name="백분율 4 6 2 4" xfId="11412"/>
    <cellStyle name="백분율 4 6 3" xfId="11413"/>
    <cellStyle name="백분율 4 6 3 2" xfId="11414"/>
    <cellStyle name="백분율 4 6 4" xfId="11415"/>
    <cellStyle name="백분율 4 6 5" xfId="11416"/>
    <cellStyle name="백분율 4 7" xfId="11417"/>
    <cellStyle name="백분율 4 7 2" xfId="11418"/>
    <cellStyle name="백분율 4 7 2 2" xfId="11419"/>
    <cellStyle name="백분율 4 7 3" xfId="11420"/>
    <cellStyle name="백분율 4 7 4" xfId="11421"/>
    <cellStyle name="백분율 4 8" xfId="11422"/>
    <cellStyle name="백분율 4 8 2" xfId="11423"/>
    <cellStyle name="백분율 4 9" xfId="11424"/>
    <cellStyle name="백분율 5" xfId="3848"/>
    <cellStyle name="백분율 5 2" xfId="3849"/>
    <cellStyle name="백분율 5 2 2" xfId="3850"/>
    <cellStyle name="백분율 5 2 2 2" xfId="11425"/>
    <cellStyle name="백분율 5 2 2 3" xfId="11426"/>
    <cellStyle name="백분율 5 2 3" xfId="3851"/>
    <cellStyle name="백분율 5 2 3 2" xfId="11427"/>
    <cellStyle name="백분율 5 2 4" xfId="11428"/>
    <cellStyle name="백분율 5 2 5" xfId="11429"/>
    <cellStyle name="백분율 5 3" xfId="3852"/>
    <cellStyle name="백분율 5 3 2" xfId="11430"/>
    <cellStyle name="백분율 5 3 3" xfId="11431"/>
    <cellStyle name="백분율 5 3 4" xfId="11432"/>
    <cellStyle name="백분율 5 4" xfId="3853"/>
    <cellStyle name="백분율 5 4 2" xfId="11433"/>
    <cellStyle name="백분율 5 5" xfId="11434"/>
    <cellStyle name="백분율 6" xfId="3854"/>
    <cellStyle name="백분율 6 2" xfId="11435"/>
    <cellStyle name="백분율 6 2 2" xfId="11436"/>
    <cellStyle name="백분율 6 3" xfId="11437"/>
    <cellStyle name="백분율 6 4" xfId="11438"/>
    <cellStyle name="백분율 6 5" xfId="11439"/>
    <cellStyle name="백분율 6 6" xfId="11440"/>
    <cellStyle name="백분율 6 7" xfId="11441"/>
    <cellStyle name="백분율 6 8" xfId="11442"/>
    <cellStyle name="백분율 7" xfId="4337"/>
    <cellStyle name="백분율 7 2" xfId="11443"/>
    <cellStyle name="백분율 7 3" xfId="11444"/>
    <cellStyle name="백분율 7 4" xfId="11445"/>
    <cellStyle name="백분율 7 5" xfId="11446"/>
    <cellStyle name="백분율 7 6" xfId="11447"/>
    <cellStyle name="백분율 8" xfId="11448"/>
    <cellStyle name="백분율 8 2" xfId="11449"/>
    <cellStyle name="백분율 8 3" xfId="11450"/>
    <cellStyle name="백분율 8 4" xfId="11451"/>
    <cellStyle name="백분율 8 5" xfId="11452"/>
    <cellStyle name="백분율 9" xfId="11453"/>
    <cellStyle name="백분율 9 2" xfId="11454"/>
    <cellStyle name="백분율 9 3" xfId="11455"/>
    <cellStyle name="백분율 9 4" xfId="11456"/>
    <cellStyle name="보통" xfId="4304" builtinId="28" customBuiltin="1"/>
    <cellStyle name="보통 10" xfId="11457"/>
    <cellStyle name="보통 10 2" xfId="11458"/>
    <cellStyle name="보통 11" xfId="11459"/>
    <cellStyle name="보통 11 2" xfId="11460"/>
    <cellStyle name="보통 12" xfId="11461"/>
    <cellStyle name="보통 12 2" xfId="11462"/>
    <cellStyle name="보통 13" xfId="11463"/>
    <cellStyle name="보통 13 2" xfId="11464"/>
    <cellStyle name="보통 14" xfId="11465"/>
    <cellStyle name="보통 14 2" xfId="11466"/>
    <cellStyle name="보통 15" xfId="11467"/>
    <cellStyle name="보통 15 2" xfId="11468"/>
    <cellStyle name="보통 16" xfId="11469"/>
    <cellStyle name="보통 16 2" xfId="11470"/>
    <cellStyle name="보통 2" xfId="3855"/>
    <cellStyle name="보통 2 2" xfId="11471"/>
    <cellStyle name="보통 2 2 2" xfId="11472"/>
    <cellStyle name="보통 2 3" xfId="11473"/>
    <cellStyle name="보통 2 3 2" xfId="11474"/>
    <cellStyle name="보통 2 4" xfId="11475"/>
    <cellStyle name="보통 2 5" xfId="11476"/>
    <cellStyle name="보통 2 6" xfId="11477"/>
    <cellStyle name="보통 3" xfId="11478"/>
    <cellStyle name="보통 3 2" xfId="11479"/>
    <cellStyle name="보통 4" xfId="11480"/>
    <cellStyle name="보통 4 2" xfId="11481"/>
    <cellStyle name="보통 5" xfId="11482"/>
    <cellStyle name="보통 5 2" xfId="11483"/>
    <cellStyle name="보통 6" xfId="11484"/>
    <cellStyle name="보통 6 2" xfId="11485"/>
    <cellStyle name="보통 7" xfId="11486"/>
    <cellStyle name="보통 7 2" xfId="11487"/>
    <cellStyle name="보통 8" xfId="11488"/>
    <cellStyle name="보통 8 2" xfId="11489"/>
    <cellStyle name="보통 9" xfId="11490"/>
    <cellStyle name="보통 9 2" xfId="11491"/>
    <cellStyle name="뷭?_BOOKSHIP" xfId="11492"/>
    <cellStyle name="설명 텍스트" xfId="4311" builtinId="53" customBuiltin="1"/>
    <cellStyle name="설명 텍스트 10" xfId="11493"/>
    <cellStyle name="설명 텍스트 10 2" xfId="11494"/>
    <cellStyle name="설명 텍스트 11" xfId="11495"/>
    <cellStyle name="설명 텍스트 11 2" xfId="11496"/>
    <cellStyle name="설명 텍스트 12" xfId="11497"/>
    <cellStyle name="설명 텍스트 12 2" xfId="11498"/>
    <cellStyle name="설명 텍스트 13" xfId="11499"/>
    <cellStyle name="설명 텍스트 13 2" xfId="11500"/>
    <cellStyle name="설명 텍스트 14" xfId="11501"/>
    <cellStyle name="설명 텍스트 14 2" xfId="11502"/>
    <cellStyle name="설명 텍스트 15" xfId="11503"/>
    <cellStyle name="설명 텍스트 15 2" xfId="11504"/>
    <cellStyle name="설명 텍스트 16" xfId="11505"/>
    <cellStyle name="설명 텍스트 16 2" xfId="11506"/>
    <cellStyle name="설명 텍스트 2" xfId="3856"/>
    <cellStyle name="설명 텍스트 2 2" xfId="11507"/>
    <cellStyle name="설명 텍스트 2 2 2" xfId="11508"/>
    <cellStyle name="설명 텍스트 2 3" xfId="11509"/>
    <cellStyle name="설명 텍스트 2 3 2" xfId="11510"/>
    <cellStyle name="설명 텍스트 2 4" xfId="11511"/>
    <cellStyle name="설명 텍스트 2 5" xfId="11512"/>
    <cellStyle name="설명 텍스트 3" xfId="11513"/>
    <cellStyle name="설명 텍스트 3 2" xfId="11514"/>
    <cellStyle name="설명 텍스트 4" xfId="11515"/>
    <cellStyle name="설명 텍스트 4 2" xfId="11516"/>
    <cellStyle name="설명 텍스트 5" xfId="11517"/>
    <cellStyle name="설명 텍스트 5 2" xfId="11518"/>
    <cellStyle name="설명 텍스트 6" xfId="11519"/>
    <cellStyle name="설명 텍스트 6 2" xfId="11520"/>
    <cellStyle name="설명 텍스트 7" xfId="11521"/>
    <cellStyle name="설명 텍스트 7 2" xfId="11522"/>
    <cellStyle name="설명 텍스트 8" xfId="11523"/>
    <cellStyle name="설명 텍스트 8 2" xfId="11524"/>
    <cellStyle name="설명 텍스트 9" xfId="11525"/>
    <cellStyle name="설명 텍스트 9 2" xfId="11526"/>
    <cellStyle name="셀 확인" xfId="4309" builtinId="23" customBuiltin="1"/>
    <cellStyle name="셀 확인 10" xfId="11527"/>
    <cellStyle name="셀 확인 10 2" xfId="11528"/>
    <cellStyle name="셀 확인 11" xfId="11529"/>
    <cellStyle name="셀 확인 11 2" xfId="11530"/>
    <cellStyle name="셀 확인 12" xfId="11531"/>
    <cellStyle name="셀 확인 12 2" xfId="11532"/>
    <cellStyle name="셀 확인 13" xfId="11533"/>
    <cellStyle name="셀 확인 13 2" xfId="11534"/>
    <cellStyle name="셀 확인 14" xfId="11535"/>
    <cellStyle name="셀 확인 14 2" xfId="11536"/>
    <cellStyle name="셀 확인 15" xfId="11537"/>
    <cellStyle name="셀 확인 15 2" xfId="11538"/>
    <cellStyle name="셀 확인 16" xfId="11539"/>
    <cellStyle name="셀 확인 16 2" xfId="11540"/>
    <cellStyle name="셀 확인 2" xfId="3857"/>
    <cellStyle name="셀 확인 2 2" xfId="11541"/>
    <cellStyle name="셀 확인 2 2 2" xfId="11542"/>
    <cellStyle name="셀 확인 2 3" xfId="11543"/>
    <cellStyle name="셀 확인 2 3 2" xfId="11544"/>
    <cellStyle name="셀 확인 2 4" xfId="11545"/>
    <cellStyle name="셀 확인 2 5" xfId="11546"/>
    <cellStyle name="셀 확인 3" xfId="11547"/>
    <cellStyle name="셀 확인 3 2" xfId="11548"/>
    <cellStyle name="셀 확인 4" xfId="11549"/>
    <cellStyle name="셀 확인 4 2" xfId="11550"/>
    <cellStyle name="셀 확인 5" xfId="11551"/>
    <cellStyle name="셀 확인 5 2" xfId="11552"/>
    <cellStyle name="셀 확인 6" xfId="11553"/>
    <cellStyle name="셀 확인 6 2" xfId="11554"/>
    <cellStyle name="셀 확인 7" xfId="11555"/>
    <cellStyle name="셀 확인 7 2" xfId="11556"/>
    <cellStyle name="셀 확인 8" xfId="11557"/>
    <cellStyle name="셀 확인 8 2" xfId="11558"/>
    <cellStyle name="셀 확인 9" xfId="11559"/>
    <cellStyle name="셀 확인 9 2" xfId="11560"/>
    <cellStyle name="쉼표 [0]" xfId="1" builtinId="6"/>
    <cellStyle name="쉼표 [0] 10" xfId="11561"/>
    <cellStyle name="쉼표 [0] 10 2" xfId="11562"/>
    <cellStyle name="쉼표 [0] 10 2 2" xfId="11563"/>
    <cellStyle name="쉼표 [0] 10 3" xfId="11564"/>
    <cellStyle name="쉼표 [0] 10 4" xfId="11565"/>
    <cellStyle name="쉼표 [0] 11" xfId="11566"/>
    <cellStyle name="쉼표 [0] 11 2" xfId="11567"/>
    <cellStyle name="쉼표 [0] 11 2 2" xfId="11568"/>
    <cellStyle name="쉼표 [0] 11 3" xfId="11569"/>
    <cellStyle name="쉼표 [0] 12" xfId="11570"/>
    <cellStyle name="쉼표 [0] 12 2" xfId="11571"/>
    <cellStyle name="쉼표 [0] 12 2 2" xfId="11572"/>
    <cellStyle name="쉼표 [0] 12 3" xfId="11573"/>
    <cellStyle name="쉼표 [0] 13" xfId="11574"/>
    <cellStyle name="쉼표 [0] 13 2" xfId="11575"/>
    <cellStyle name="쉼표 [0] 13 2 2" xfId="11576"/>
    <cellStyle name="쉼표 [0] 13 3" xfId="11577"/>
    <cellStyle name="쉼표 [0] 13 4" xfId="11578"/>
    <cellStyle name="쉼표 [0] 14" xfId="11579"/>
    <cellStyle name="쉼표 [0] 14 2" xfId="11580"/>
    <cellStyle name="쉼표 [0] 14 3" xfId="11581"/>
    <cellStyle name="쉼표 [0] 15" xfId="11582"/>
    <cellStyle name="쉼표 [0] 15 2" xfId="11583"/>
    <cellStyle name="쉼표 [0] 15 2 2" xfId="11584"/>
    <cellStyle name="쉼표 [0] 15 3" xfId="11585"/>
    <cellStyle name="쉼표 [0] 15 4" xfId="11586"/>
    <cellStyle name="쉼표 [0] 16" xfId="11587"/>
    <cellStyle name="쉼표 [0] 16 2" xfId="11588"/>
    <cellStyle name="쉼표 [0] 16 3" xfId="11589"/>
    <cellStyle name="쉼표 [0] 17" xfId="11590"/>
    <cellStyle name="쉼표 [0] 18" xfId="11591"/>
    <cellStyle name="쉼표 [0] 19" xfId="11592"/>
    <cellStyle name="쉼표 [0] 2" xfId="3858"/>
    <cellStyle name="쉼표 [0] 2 10" xfId="11593"/>
    <cellStyle name="쉼표 [0] 2 11" xfId="42791"/>
    <cellStyle name="쉼표 [0] 2 2" xfId="3859"/>
    <cellStyle name="쉼표 [0] 2 2 2" xfId="11594"/>
    <cellStyle name="쉼표 [0] 2 2 2 2" xfId="11595"/>
    <cellStyle name="쉼표 [0] 2 2 2 3" xfId="11596"/>
    <cellStyle name="쉼표 [0] 2 2 3" xfId="11597"/>
    <cellStyle name="쉼표 [0] 2 2 3 2" xfId="11598"/>
    <cellStyle name="쉼표 [0] 2 2 4" xfId="11599"/>
    <cellStyle name="쉼표 [0] 2 2 5" xfId="11600"/>
    <cellStyle name="쉼표 [0] 2 2 6" xfId="11601"/>
    <cellStyle name="쉼표 [0] 2 2 7" xfId="11602"/>
    <cellStyle name="쉼표 [0] 2 2 8" xfId="42792"/>
    <cellStyle name="쉼표 [0] 2 3" xfId="11603"/>
    <cellStyle name="쉼표 [0] 2 3 2" xfId="11604"/>
    <cellStyle name="쉼표 [0] 2 3 2 2" xfId="11605"/>
    <cellStyle name="쉼표 [0] 2 3 2 2 2" xfId="11606"/>
    <cellStyle name="쉼표 [0] 2 3 2 3" xfId="11607"/>
    <cellStyle name="쉼표 [0] 2 3 2 4" xfId="11608"/>
    <cellStyle name="쉼표 [0] 2 3 3" xfId="11609"/>
    <cellStyle name="쉼표 [0] 2 3 3 2" xfId="11610"/>
    <cellStyle name="쉼표 [0] 2 3 4" xfId="11611"/>
    <cellStyle name="쉼표 [0] 2 3 4 2" xfId="11612"/>
    <cellStyle name="쉼표 [0] 2 3 5" xfId="11613"/>
    <cellStyle name="쉼표 [0] 2 3 6" xfId="11614"/>
    <cellStyle name="쉼표 [0] 2 3 7" xfId="42800"/>
    <cellStyle name="쉼표 [0] 2 4" xfId="11615"/>
    <cellStyle name="쉼표 [0] 2 4 2" xfId="11616"/>
    <cellStyle name="쉼표 [0] 2 4 2 2" xfId="11617"/>
    <cellStyle name="쉼표 [0] 2 4 2 3" xfId="11618"/>
    <cellStyle name="쉼표 [0] 2 4 3" xfId="11619"/>
    <cellStyle name="쉼표 [0] 2 4 3 2" xfId="11620"/>
    <cellStyle name="쉼표 [0] 2 4 4" xfId="11621"/>
    <cellStyle name="쉼표 [0] 2 4 5" xfId="11622"/>
    <cellStyle name="쉼표 [0] 2 5" xfId="11623"/>
    <cellStyle name="쉼표 [0] 2 5 2" xfId="11624"/>
    <cellStyle name="쉼표 [0] 2 5 2 2" xfId="11625"/>
    <cellStyle name="쉼표 [0] 2 5 3" xfId="11626"/>
    <cellStyle name="쉼표 [0] 2 5 3 2" xfId="11627"/>
    <cellStyle name="쉼표 [0] 2 5 4" xfId="11628"/>
    <cellStyle name="쉼표 [0] 2 5 5" xfId="11629"/>
    <cellStyle name="쉼표 [0] 2 6" xfId="11630"/>
    <cellStyle name="쉼표 [0] 2 6 2" xfId="11631"/>
    <cellStyle name="쉼표 [0] 2 6 3" xfId="11632"/>
    <cellStyle name="쉼표 [0] 2 7" xfId="11633"/>
    <cellStyle name="쉼표 [0] 2 7 2" xfId="11634"/>
    <cellStyle name="쉼표 [0] 2 7 3" xfId="11635"/>
    <cellStyle name="쉼표 [0] 2 8" xfId="11636"/>
    <cellStyle name="쉼표 [0] 2 8 2" xfId="11637"/>
    <cellStyle name="쉼표 [0] 2 9" xfId="11638"/>
    <cellStyle name="쉼표 [0] 20" xfId="11639"/>
    <cellStyle name="쉼표 [0] 21" xfId="42787"/>
    <cellStyle name="쉼표 [0] 22" xfId="42789"/>
    <cellStyle name="쉼표 [0] 3" xfId="3860"/>
    <cellStyle name="쉼표 [0] 3 2" xfId="11640"/>
    <cellStyle name="쉼표 [0] 3 2 2" xfId="11641"/>
    <cellStyle name="쉼표 [0] 3 2 3" xfId="11642"/>
    <cellStyle name="쉼표 [0] 3 2 4" xfId="42801"/>
    <cellStyle name="쉼표 [0] 3 3" xfId="11643"/>
    <cellStyle name="쉼표 [0] 3 4" xfId="11644"/>
    <cellStyle name="쉼표 [0] 3 4 2" xfId="11645"/>
    <cellStyle name="쉼표 [0] 3 5" xfId="11646"/>
    <cellStyle name="쉼표 [0] 3 6" xfId="11647"/>
    <cellStyle name="쉼표 [0] 3 7" xfId="11648"/>
    <cellStyle name="쉼표 [0] 3 8" xfId="11649"/>
    <cellStyle name="쉼표 [0] 3 9" xfId="42798"/>
    <cellStyle name="쉼표 [0] 4" xfId="3861"/>
    <cellStyle name="쉼표 [0] 4 10" xfId="11650"/>
    <cellStyle name="쉼표 [0] 4 11" xfId="11651"/>
    <cellStyle name="쉼표 [0] 4 12" xfId="11652"/>
    <cellStyle name="쉼표 [0] 4 13" xfId="11653"/>
    <cellStyle name="쉼표 [0] 4 14" xfId="11654"/>
    <cellStyle name="쉼표 [0] 4 15" xfId="11655"/>
    <cellStyle name="쉼표 [0] 4 16" xfId="11656"/>
    <cellStyle name="쉼표 [0] 4 17" xfId="42793"/>
    <cellStyle name="쉼표 [0] 4 2" xfId="3862"/>
    <cellStyle name="쉼표 [0] 4 2 10" xfId="11657"/>
    <cellStyle name="쉼표 [0] 4 2 11" xfId="42802"/>
    <cellStyle name="쉼표 [0] 4 2 2" xfId="3863"/>
    <cellStyle name="쉼표 [0] 4 2 2 2" xfId="11658"/>
    <cellStyle name="쉼표 [0] 4 2 2 2 2" xfId="11659"/>
    <cellStyle name="쉼표 [0] 4 2 2 2 2 2" xfId="11660"/>
    <cellStyle name="쉼표 [0] 4 2 2 2 2 2 2" xfId="11661"/>
    <cellStyle name="쉼표 [0] 4 2 2 2 2 3" xfId="11662"/>
    <cellStyle name="쉼표 [0] 4 2 2 2 2 4" xfId="11663"/>
    <cellStyle name="쉼표 [0] 4 2 2 2 3" xfId="11664"/>
    <cellStyle name="쉼표 [0] 4 2 2 2 3 2" xfId="11665"/>
    <cellStyle name="쉼표 [0] 4 2 2 2 4" xfId="11666"/>
    <cellStyle name="쉼표 [0] 4 2 2 2 5" xfId="11667"/>
    <cellStyle name="쉼표 [0] 4 2 2 3" xfId="11668"/>
    <cellStyle name="쉼표 [0] 4 2 2 3 2" xfId="11669"/>
    <cellStyle name="쉼표 [0] 4 2 2 3 2 2" xfId="11670"/>
    <cellStyle name="쉼표 [0] 4 2 2 3 2 2 2" xfId="11671"/>
    <cellStyle name="쉼표 [0] 4 2 2 3 2 3" xfId="11672"/>
    <cellStyle name="쉼표 [0] 4 2 2 3 2 4" xfId="11673"/>
    <cellStyle name="쉼표 [0] 4 2 2 3 3" xfId="11674"/>
    <cellStyle name="쉼표 [0] 4 2 2 3 3 2" xfId="11675"/>
    <cellStyle name="쉼표 [0] 4 2 2 3 4" xfId="11676"/>
    <cellStyle name="쉼표 [0] 4 2 2 3 5" xfId="11677"/>
    <cellStyle name="쉼표 [0] 4 2 2 4" xfId="11678"/>
    <cellStyle name="쉼표 [0] 4 2 2 4 2" xfId="11679"/>
    <cellStyle name="쉼표 [0] 4 2 2 4 2 2" xfId="11680"/>
    <cellStyle name="쉼표 [0] 4 2 2 4 3" xfId="11681"/>
    <cellStyle name="쉼표 [0] 4 2 2 4 4" xfId="11682"/>
    <cellStyle name="쉼표 [0] 4 2 2 5" xfId="11683"/>
    <cellStyle name="쉼표 [0] 4 2 2 5 2" xfId="11684"/>
    <cellStyle name="쉼표 [0] 4 2 2 6" xfId="11685"/>
    <cellStyle name="쉼표 [0] 4 2 2 7" xfId="11686"/>
    <cellStyle name="쉼표 [0] 4 2 2 8" xfId="11687"/>
    <cellStyle name="쉼표 [0] 4 2 3" xfId="3864"/>
    <cellStyle name="쉼표 [0] 4 2 3 2" xfId="11688"/>
    <cellStyle name="쉼표 [0] 4 2 3 2 2" xfId="11689"/>
    <cellStyle name="쉼표 [0] 4 2 3 2 2 2" xfId="11690"/>
    <cellStyle name="쉼표 [0] 4 2 3 2 2 2 2" xfId="11691"/>
    <cellStyle name="쉼표 [0] 4 2 3 2 2 3" xfId="11692"/>
    <cellStyle name="쉼표 [0] 4 2 3 2 2 4" xfId="11693"/>
    <cellStyle name="쉼표 [0] 4 2 3 2 3" xfId="11694"/>
    <cellStyle name="쉼표 [0] 4 2 3 2 3 2" xfId="11695"/>
    <cellStyle name="쉼표 [0] 4 2 3 2 4" xfId="11696"/>
    <cellStyle name="쉼표 [0] 4 2 3 2 5" xfId="11697"/>
    <cellStyle name="쉼표 [0] 4 2 3 3" xfId="11698"/>
    <cellStyle name="쉼표 [0] 4 2 3 3 2" xfId="11699"/>
    <cellStyle name="쉼표 [0] 4 2 3 3 2 2" xfId="11700"/>
    <cellStyle name="쉼표 [0] 4 2 3 3 2 2 2" xfId="11701"/>
    <cellStyle name="쉼표 [0] 4 2 3 3 2 3" xfId="11702"/>
    <cellStyle name="쉼표 [0] 4 2 3 3 2 4" xfId="11703"/>
    <cellStyle name="쉼표 [0] 4 2 3 3 3" xfId="11704"/>
    <cellStyle name="쉼표 [0] 4 2 3 3 3 2" xfId="11705"/>
    <cellStyle name="쉼표 [0] 4 2 3 3 4" xfId="11706"/>
    <cellStyle name="쉼표 [0] 4 2 3 3 5" xfId="11707"/>
    <cellStyle name="쉼표 [0] 4 2 3 4" xfId="11708"/>
    <cellStyle name="쉼표 [0] 4 2 3 4 2" xfId="11709"/>
    <cellStyle name="쉼표 [0] 4 2 3 4 2 2" xfId="11710"/>
    <cellStyle name="쉼표 [0] 4 2 3 4 3" xfId="11711"/>
    <cellStyle name="쉼표 [0] 4 2 3 4 4" xfId="11712"/>
    <cellStyle name="쉼표 [0] 4 2 3 5" xfId="11713"/>
    <cellStyle name="쉼표 [0] 4 2 3 5 2" xfId="11714"/>
    <cellStyle name="쉼표 [0] 4 2 3 6" xfId="11715"/>
    <cellStyle name="쉼표 [0] 4 2 3 7" xfId="11716"/>
    <cellStyle name="쉼표 [0] 4 2 3 8" xfId="11717"/>
    <cellStyle name="쉼표 [0] 4 2 4" xfId="11718"/>
    <cellStyle name="쉼표 [0] 4 2 4 2" xfId="11719"/>
    <cellStyle name="쉼표 [0] 4 2 4 2 2" xfId="11720"/>
    <cellStyle name="쉼표 [0] 4 2 4 2 2 2" xfId="11721"/>
    <cellStyle name="쉼표 [0] 4 2 4 2 3" xfId="11722"/>
    <cellStyle name="쉼표 [0] 4 2 4 2 4" xfId="11723"/>
    <cellStyle name="쉼표 [0] 4 2 4 3" xfId="11724"/>
    <cellStyle name="쉼표 [0] 4 2 4 3 2" xfId="11725"/>
    <cellStyle name="쉼표 [0] 4 2 4 4" xfId="11726"/>
    <cellStyle name="쉼표 [0] 4 2 4 5" xfId="11727"/>
    <cellStyle name="쉼표 [0] 4 2 5" xfId="11728"/>
    <cellStyle name="쉼표 [0] 4 2 5 2" xfId="11729"/>
    <cellStyle name="쉼표 [0] 4 2 5 2 2" xfId="11730"/>
    <cellStyle name="쉼표 [0] 4 2 5 2 2 2" xfId="11731"/>
    <cellStyle name="쉼표 [0] 4 2 5 2 3" xfId="11732"/>
    <cellStyle name="쉼표 [0] 4 2 5 2 4" xfId="11733"/>
    <cellStyle name="쉼표 [0] 4 2 5 3" xfId="11734"/>
    <cellStyle name="쉼표 [0] 4 2 5 3 2" xfId="11735"/>
    <cellStyle name="쉼표 [0] 4 2 5 4" xfId="11736"/>
    <cellStyle name="쉼표 [0] 4 2 5 5" xfId="11737"/>
    <cellStyle name="쉼표 [0] 4 2 6" xfId="11738"/>
    <cellStyle name="쉼표 [0] 4 2 6 2" xfId="11739"/>
    <cellStyle name="쉼표 [0] 4 2 6 2 2" xfId="11740"/>
    <cellStyle name="쉼표 [0] 4 2 6 3" xfId="11741"/>
    <cellStyle name="쉼표 [0] 4 2 6 4" xfId="11742"/>
    <cellStyle name="쉼표 [0] 4 2 7" xfId="11743"/>
    <cellStyle name="쉼표 [0] 4 2 7 2" xfId="11744"/>
    <cellStyle name="쉼표 [0] 4 2 8" xfId="11745"/>
    <cellStyle name="쉼표 [0] 4 2 9" xfId="11746"/>
    <cellStyle name="쉼표 [0] 4 3" xfId="3865"/>
    <cellStyle name="쉼표 [0] 4 3 2" xfId="11747"/>
    <cellStyle name="쉼표 [0] 4 3 2 2" xfId="11748"/>
    <cellStyle name="쉼표 [0] 4 3 2 2 2" xfId="11749"/>
    <cellStyle name="쉼표 [0] 4 3 2 2 2 2" xfId="11750"/>
    <cellStyle name="쉼표 [0] 4 3 2 2 3" xfId="11751"/>
    <cellStyle name="쉼표 [0] 4 3 2 2 4" xfId="11752"/>
    <cellStyle name="쉼표 [0] 4 3 2 3" xfId="11753"/>
    <cellStyle name="쉼표 [0] 4 3 2 3 2" xfId="11754"/>
    <cellStyle name="쉼표 [0] 4 3 2 4" xfId="11755"/>
    <cellStyle name="쉼표 [0] 4 3 2 5" xfId="11756"/>
    <cellStyle name="쉼표 [0] 4 3 3" xfId="11757"/>
    <cellStyle name="쉼표 [0] 4 3 3 2" xfId="11758"/>
    <cellStyle name="쉼표 [0] 4 3 3 2 2" xfId="11759"/>
    <cellStyle name="쉼표 [0] 4 3 3 2 2 2" xfId="11760"/>
    <cellStyle name="쉼표 [0] 4 3 3 2 3" xfId="11761"/>
    <cellStyle name="쉼표 [0] 4 3 3 2 4" xfId="11762"/>
    <cellStyle name="쉼표 [0] 4 3 3 3" xfId="11763"/>
    <cellStyle name="쉼표 [0] 4 3 3 3 2" xfId="11764"/>
    <cellStyle name="쉼표 [0] 4 3 3 4" xfId="11765"/>
    <cellStyle name="쉼표 [0] 4 3 3 5" xfId="11766"/>
    <cellStyle name="쉼표 [0] 4 3 4" xfId="11767"/>
    <cellStyle name="쉼표 [0] 4 3 4 2" xfId="11768"/>
    <cellStyle name="쉼표 [0] 4 3 4 2 2" xfId="11769"/>
    <cellStyle name="쉼표 [0] 4 3 4 3" xfId="11770"/>
    <cellStyle name="쉼표 [0] 4 3 4 4" xfId="11771"/>
    <cellStyle name="쉼표 [0] 4 3 5" xfId="11772"/>
    <cellStyle name="쉼표 [0] 4 3 5 2" xfId="11773"/>
    <cellStyle name="쉼표 [0] 4 3 6" xfId="11774"/>
    <cellStyle name="쉼표 [0] 4 3 7" xfId="11775"/>
    <cellStyle name="쉼표 [0] 4 3 8" xfId="11776"/>
    <cellStyle name="쉼표 [0] 4 4" xfId="3866"/>
    <cellStyle name="쉼표 [0] 4 4 2" xfId="11777"/>
    <cellStyle name="쉼표 [0] 4 4 2 2" xfId="11778"/>
    <cellStyle name="쉼표 [0] 4 4 2 2 2" xfId="11779"/>
    <cellStyle name="쉼표 [0] 4 4 2 2 2 2" xfId="11780"/>
    <cellStyle name="쉼표 [0] 4 4 2 2 3" xfId="11781"/>
    <cellStyle name="쉼표 [0] 4 4 2 2 4" xfId="11782"/>
    <cellStyle name="쉼표 [0] 4 4 2 3" xfId="11783"/>
    <cellStyle name="쉼표 [0] 4 4 2 3 2" xfId="11784"/>
    <cellStyle name="쉼표 [0] 4 4 2 4" xfId="11785"/>
    <cellStyle name="쉼표 [0] 4 4 2 5" xfId="11786"/>
    <cellStyle name="쉼표 [0] 4 4 3" xfId="11787"/>
    <cellStyle name="쉼표 [0] 4 4 3 2" xfId="11788"/>
    <cellStyle name="쉼표 [0] 4 4 3 2 2" xfId="11789"/>
    <cellStyle name="쉼표 [0] 4 4 3 2 2 2" xfId="11790"/>
    <cellStyle name="쉼표 [0] 4 4 3 2 3" xfId="11791"/>
    <cellStyle name="쉼표 [0] 4 4 3 2 4" xfId="11792"/>
    <cellStyle name="쉼표 [0] 4 4 3 3" xfId="11793"/>
    <cellStyle name="쉼표 [0] 4 4 3 3 2" xfId="11794"/>
    <cellStyle name="쉼표 [0] 4 4 3 4" xfId="11795"/>
    <cellStyle name="쉼표 [0] 4 4 3 5" xfId="11796"/>
    <cellStyle name="쉼표 [0] 4 4 4" xfId="11797"/>
    <cellStyle name="쉼표 [0] 4 4 4 2" xfId="11798"/>
    <cellStyle name="쉼표 [0] 4 4 4 2 2" xfId="11799"/>
    <cellStyle name="쉼표 [0] 4 4 4 3" xfId="11800"/>
    <cellStyle name="쉼표 [0] 4 4 4 4" xfId="11801"/>
    <cellStyle name="쉼표 [0] 4 4 5" xfId="11802"/>
    <cellStyle name="쉼표 [0] 4 4 5 2" xfId="11803"/>
    <cellStyle name="쉼표 [0] 4 4 6" xfId="11804"/>
    <cellStyle name="쉼표 [0] 4 4 7" xfId="11805"/>
    <cellStyle name="쉼표 [0] 4 4 8" xfId="11806"/>
    <cellStyle name="쉼표 [0] 4 5" xfId="11807"/>
    <cellStyle name="쉼표 [0] 4 5 2" xfId="11808"/>
    <cellStyle name="쉼표 [0] 4 5 2 2" xfId="11809"/>
    <cellStyle name="쉼표 [0] 4 5 2 2 2" xfId="11810"/>
    <cellStyle name="쉼표 [0] 4 5 2 3" xfId="11811"/>
    <cellStyle name="쉼표 [0] 4 5 2 4" xfId="11812"/>
    <cellStyle name="쉼표 [0] 4 5 3" xfId="11813"/>
    <cellStyle name="쉼표 [0] 4 5 3 2" xfId="11814"/>
    <cellStyle name="쉼표 [0] 4 5 4" xfId="11815"/>
    <cellStyle name="쉼표 [0] 4 5 5" xfId="11816"/>
    <cellStyle name="쉼표 [0] 4 6" xfId="11817"/>
    <cellStyle name="쉼표 [0] 4 6 2" xfId="11818"/>
    <cellStyle name="쉼표 [0] 4 6 2 2" xfId="11819"/>
    <cellStyle name="쉼표 [0] 4 6 2 2 2" xfId="11820"/>
    <cellStyle name="쉼표 [0] 4 6 2 3" xfId="11821"/>
    <cellStyle name="쉼표 [0] 4 6 2 4" xfId="11822"/>
    <cellStyle name="쉼표 [0] 4 6 3" xfId="11823"/>
    <cellStyle name="쉼표 [0] 4 6 3 2" xfId="11824"/>
    <cellStyle name="쉼표 [0] 4 6 4" xfId="11825"/>
    <cellStyle name="쉼표 [0] 4 6 5" xfId="11826"/>
    <cellStyle name="쉼표 [0] 4 7" xfId="11827"/>
    <cellStyle name="쉼표 [0] 4 7 2" xfId="11828"/>
    <cellStyle name="쉼표 [0] 4 7 2 2" xfId="11829"/>
    <cellStyle name="쉼표 [0] 4 7 3" xfId="11830"/>
    <cellStyle name="쉼표 [0] 4 7 4" xfId="11831"/>
    <cellStyle name="쉼표 [0] 4 8" xfId="11832"/>
    <cellStyle name="쉼표 [0] 4 8 2" xfId="11833"/>
    <cellStyle name="쉼표 [0] 4 9" xfId="11834"/>
    <cellStyle name="쉼표 [0] 5" xfId="3867"/>
    <cellStyle name="쉼표 [0] 5 10" xfId="11835"/>
    <cellStyle name="쉼표 [0] 5 11" xfId="11836"/>
    <cellStyle name="쉼표 [0] 5 12" xfId="11837"/>
    <cellStyle name="쉼표 [0] 5 13" xfId="11838"/>
    <cellStyle name="쉼표 [0] 5 14" xfId="11839"/>
    <cellStyle name="쉼표 [0] 5 15" xfId="11840"/>
    <cellStyle name="쉼표 [0] 5 2" xfId="11841"/>
    <cellStyle name="쉼표 [0] 5 2 10" xfId="11842"/>
    <cellStyle name="쉼표 [0] 5 2 11" xfId="11843"/>
    <cellStyle name="쉼표 [0] 5 2 2" xfId="11844"/>
    <cellStyle name="쉼표 [0] 5 2 2 2" xfId="11845"/>
    <cellStyle name="쉼표 [0] 5 2 2 2 2" xfId="11846"/>
    <cellStyle name="쉼표 [0] 5 2 2 2 2 2" xfId="11847"/>
    <cellStyle name="쉼표 [0] 5 2 2 2 2 2 2" xfId="11848"/>
    <cellStyle name="쉼표 [0] 5 2 2 2 2 3" xfId="11849"/>
    <cellStyle name="쉼표 [0] 5 2 2 2 2 4" xfId="11850"/>
    <cellStyle name="쉼표 [0] 5 2 2 2 3" xfId="11851"/>
    <cellStyle name="쉼표 [0] 5 2 2 2 3 2" xfId="11852"/>
    <cellStyle name="쉼표 [0] 5 2 2 2 4" xfId="11853"/>
    <cellStyle name="쉼표 [0] 5 2 2 2 5" xfId="11854"/>
    <cellStyle name="쉼표 [0] 5 2 2 3" xfId="11855"/>
    <cellStyle name="쉼표 [0] 5 2 2 3 2" xfId="11856"/>
    <cellStyle name="쉼표 [0] 5 2 2 3 2 2" xfId="11857"/>
    <cellStyle name="쉼표 [0] 5 2 2 3 2 2 2" xfId="11858"/>
    <cellStyle name="쉼표 [0] 5 2 2 3 2 3" xfId="11859"/>
    <cellStyle name="쉼표 [0] 5 2 2 3 2 4" xfId="11860"/>
    <cellStyle name="쉼표 [0] 5 2 2 3 3" xfId="11861"/>
    <cellStyle name="쉼표 [0] 5 2 2 3 3 2" xfId="11862"/>
    <cellStyle name="쉼표 [0] 5 2 2 3 4" xfId="11863"/>
    <cellStyle name="쉼표 [0] 5 2 2 3 5" xfId="11864"/>
    <cellStyle name="쉼표 [0] 5 2 2 4" xfId="11865"/>
    <cellStyle name="쉼표 [0] 5 2 2 4 2" xfId="11866"/>
    <cellStyle name="쉼표 [0] 5 2 2 4 2 2" xfId="11867"/>
    <cellStyle name="쉼표 [0] 5 2 2 4 3" xfId="11868"/>
    <cellStyle name="쉼표 [0] 5 2 2 4 4" xfId="11869"/>
    <cellStyle name="쉼표 [0] 5 2 2 5" xfId="11870"/>
    <cellStyle name="쉼표 [0] 5 2 2 5 2" xfId="11871"/>
    <cellStyle name="쉼표 [0] 5 2 2 6" xfId="11872"/>
    <cellStyle name="쉼표 [0] 5 2 2 7" xfId="11873"/>
    <cellStyle name="쉼표 [0] 5 2 2 8" xfId="11874"/>
    <cellStyle name="쉼표 [0] 5 2 3" xfId="11875"/>
    <cellStyle name="쉼표 [0] 5 2 3 2" xfId="11876"/>
    <cellStyle name="쉼표 [0] 5 2 3 2 2" xfId="11877"/>
    <cellStyle name="쉼표 [0] 5 2 3 2 2 2" xfId="11878"/>
    <cellStyle name="쉼표 [0] 5 2 3 2 2 2 2" xfId="11879"/>
    <cellStyle name="쉼표 [0] 5 2 3 2 2 3" xfId="11880"/>
    <cellStyle name="쉼표 [0] 5 2 3 2 2 4" xfId="11881"/>
    <cellStyle name="쉼표 [0] 5 2 3 2 3" xfId="11882"/>
    <cellStyle name="쉼표 [0] 5 2 3 2 3 2" xfId="11883"/>
    <cellStyle name="쉼표 [0] 5 2 3 2 4" xfId="11884"/>
    <cellStyle name="쉼표 [0] 5 2 3 2 5" xfId="11885"/>
    <cellStyle name="쉼표 [0] 5 2 3 3" xfId="11886"/>
    <cellStyle name="쉼표 [0] 5 2 3 3 2" xfId="11887"/>
    <cellStyle name="쉼표 [0] 5 2 3 3 2 2" xfId="11888"/>
    <cellStyle name="쉼표 [0] 5 2 3 3 2 2 2" xfId="11889"/>
    <cellStyle name="쉼표 [0] 5 2 3 3 2 3" xfId="11890"/>
    <cellStyle name="쉼표 [0] 5 2 3 3 2 4" xfId="11891"/>
    <cellStyle name="쉼표 [0] 5 2 3 3 3" xfId="11892"/>
    <cellStyle name="쉼표 [0] 5 2 3 3 3 2" xfId="11893"/>
    <cellStyle name="쉼표 [0] 5 2 3 3 4" xfId="11894"/>
    <cellStyle name="쉼표 [0] 5 2 3 3 5" xfId="11895"/>
    <cellStyle name="쉼표 [0] 5 2 3 4" xfId="11896"/>
    <cellStyle name="쉼표 [0] 5 2 3 4 2" xfId="11897"/>
    <cellStyle name="쉼표 [0] 5 2 3 4 2 2" xfId="11898"/>
    <cellStyle name="쉼표 [0] 5 2 3 4 3" xfId="11899"/>
    <cellStyle name="쉼표 [0] 5 2 3 4 4" xfId="11900"/>
    <cellStyle name="쉼표 [0] 5 2 3 5" xfId="11901"/>
    <cellStyle name="쉼표 [0] 5 2 3 5 2" xfId="11902"/>
    <cellStyle name="쉼표 [0] 5 2 3 6" xfId="11903"/>
    <cellStyle name="쉼표 [0] 5 2 3 7" xfId="11904"/>
    <cellStyle name="쉼표 [0] 5 2 4" xfId="11905"/>
    <cellStyle name="쉼표 [0] 5 2 4 2" xfId="11906"/>
    <cellStyle name="쉼표 [0] 5 2 4 2 2" xfId="11907"/>
    <cellStyle name="쉼표 [0] 5 2 4 2 2 2" xfId="11908"/>
    <cellStyle name="쉼표 [0] 5 2 4 2 3" xfId="11909"/>
    <cellStyle name="쉼표 [0] 5 2 4 2 4" xfId="11910"/>
    <cellStyle name="쉼표 [0] 5 2 4 3" xfId="11911"/>
    <cellStyle name="쉼표 [0] 5 2 4 3 2" xfId="11912"/>
    <cellStyle name="쉼표 [0] 5 2 4 4" xfId="11913"/>
    <cellStyle name="쉼표 [0] 5 2 4 5" xfId="11914"/>
    <cellStyle name="쉼표 [0] 5 2 5" xfId="11915"/>
    <cellStyle name="쉼표 [0] 5 2 5 2" xfId="11916"/>
    <cellStyle name="쉼표 [0] 5 2 5 2 2" xfId="11917"/>
    <cellStyle name="쉼표 [0] 5 2 5 2 2 2" xfId="11918"/>
    <cellStyle name="쉼표 [0] 5 2 5 2 3" xfId="11919"/>
    <cellStyle name="쉼표 [0] 5 2 5 2 4" xfId="11920"/>
    <cellStyle name="쉼표 [0] 5 2 5 3" xfId="11921"/>
    <cellStyle name="쉼표 [0] 5 2 5 3 2" xfId="11922"/>
    <cellStyle name="쉼표 [0] 5 2 5 4" xfId="11923"/>
    <cellStyle name="쉼표 [0] 5 2 5 5" xfId="11924"/>
    <cellStyle name="쉼표 [0] 5 2 6" xfId="11925"/>
    <cellStyle name="쉼표 [0] 5 2 6 2" xfId="11926"/>
    <cellStyle name="쉼표 [0] 5 2 6 2 2" xfId="11927"/>
    <cellStyle name="쉼표 [0] 5 2 6 3" xfId="11928"/>
    <cellStyle name="쉼표 [0] 5 2 6 4" xfId="11929"/>
    <cellStyle name="쉼표 [0] 5 2 7" xfId="11930"/>
    <cellStyle name="쉼표 [0] 5 2 7 2" xfId="11931"/>
    <cellStyle name="쉼표 [0] 5 2 8" xfId="11932"/>
    <cellStyle name="쉼표 [0] 5 2 9" xfId="11933"/>
    <cellStyle name="쉼표 [0] 5 3" xfId="11934"/>
    <cellStyle name="쉼표 [0] 5 3 2" xfId="11935"/>
    <cellStyle name="쉼표 [0] 5 3 2 2" xfId="11936"/>
    <cellStyle name="쉼표 [0] 5 3 2 2 2" xfId="11937"/>
    <cellStyle name="쉼표 [0] 5 3 2 2 2 2" xfId="11938"/>
    <cellStyle name="쉼표 [0] 5 3 2 2 3" xfId="11939"/>
    <cellStyle name="쉼표 [0] 5 3 2 2 4" xfId="11940"/>
    <cellStyle name="쉼표 [0] 5 3 2 3" xfId="11941"/>
    <cellStyle name="쉼표 [0] 5 3 2 3 2" xfId="11942"/>
    <cellStyle name="쉼표 [0] 5 3 2 4" xfId="11943"/>
    <cellStyle name="쉼표 [0] 5 3 2 5" xfId="11944"/>
    <cellStyle name="쉼표 [0] 5 3 3" xfId="11945"/>
    <cellStyle name="쉼표 [0] 5 3 3 2" xfId="11946"/>
    <cellStyle name="쉼표 [0] 5 3 3 2 2" xfId="11947"/>
    <cellStyle name="쉼표 [0] 5 3 3 2 2 2" xfId="11948"/>
    <cellStyle name="쉼표 [0] 5 3 3 2 3" xfId="11949"/>
    <cellStyle name="쉼표 [0] 5 3 3 2 4" xfId="11950"/>
    <cellStyle name="쉼표 [0] 5 3 3 3" xfId="11951"/>
    <cellStyle name="쉼표 [0] 5 3 3 3 2" xfId="11952"/>
    <cellStyle name="쉼표 [0] 5 3 3 4" xfId="11953"/>
    <cellStyle name="쉼표 [0] 5 3 3 5" xfId="11954"/>
    <cellStyle name="쉼표 [0] 5 3 4" xfId="11955"/>
    <cellStyle name="쉼표 [0] 5 3 4 2" xfId="11956"/>
    <cellStyle name="쉼표 [0] 5 3 4 2 2" xfId="11957"/>
    <cellStyle name="쉼표 [0] 5 3 4 3" xfId="11958"/>
    <cellStyle name="쉼표 [0] 5 3 4 4" xfId="11959"/>
    <cellStyle name="쉼표 [0] 5 3 5" xfId="11960"/>
    <cellStyle name="쉼표 [0] 5 3 5 2" xfId="11961"/>
    <cellStyle name="쉼표 [0] 5 3 6" xfId="11962"/>
    <cellStyle name="쉼표 [0] 5 3 7" xfId="11963"/>
    <cellStyle name="쉼표 [0] 5 3 8" xfId="11964"/>
    <cellStyle name="쉼표 [0] 5 3 9" xfId="11965"/>
    <cellStyle name="쉼표 [0] 5 4" xfId="11966"/>
    <cellStyle name="쉼표 [0] 5 4 2" xfId="11967"/>
    <cellStyle name="쉼표 [0] 5 4 2 2" xfId="11968"/>
    <cellStyle name="쉼표 [0] 5 4 2 2 2" xfId="11969"/>
    <cellStyle name="쉼표 [0] 5 4 2 2 2 2" xfId="11970"/>
    <cellStyle name="쉼표 [0] 5 4 2 2 3" xfId="11971"/>
    <cellStyle name="쉼표 [0] 5 4 2 2 4" xfId="11972"/>
    <cellStyle name="쉼표 [0] 5 4 2 3" xfId="11973"/>
    <cellStyle name="쉼표 [0] 5 4 2 3 2" xfId="11974"/>
    <cellStyle name="쉼표 [0] 5 4 2 4" xfId="11975"/>
    <cellStyle name="쉼표 [0] 5 4 2 5" xfId="11976"/>
    <cellStyle name="쉼표 [0] 5 4 3" xfId="11977"/>
    <cellStyle name="쉼표 [0] 5 4 3 2" xfId="11978"/>
    <cellStyle name="쉼표 [0] 5 4 3 2 2" xfId="11979"/>
    <cellStyle name="쉼표 [0] 5 4 3 2 2 2" xfId="11980"/>
    <cellStyle name="쉼표 [0] 5 4 3 2 3" xfId="11981"/>
    <cellStyle name="쉼표 [0] 5 4 3 2 4" xfId="11982"/>
    <cellStyle name="쉼표 [0] 5 4 3 3" xfId="11983"/>
    <cellStyle name="쉼표 [0] 5 4 3 3 2" xfId="11984"/>
    <cellStyle name="쉼표 [0] 5 4 3 4" xfId="11985"/>
    <cellStyle name="쉼표 [0] 5 4 3 5" xfId="11986"/>
    <cellStyle name="쉼표 [0] 5 4 4" xfId="11987"/>
    <cellStyle name="쉼표 [0] 5 4 4 2" xfId="11988"/>
    <cellStyle name="쉼표 [0] 5 4 4 2 2" xfId="11989"/>
    <cellStyle name="쉼표 [0] 5 4 4 3" xfId="11990"/>
    <cellStyle name="쉼표 [0] 5 4 4 4" xfId="11991"/>
    <cellStyle name="쉼표 [0] 5 4 5" xfId="11992"/>
    <cellStyle name="쉼표 [0] 5 4 5 2" xfId="11993"/>
    <cellStyle name="쉼표 [0] 5 4 6" xfId="11994"/>
    <cellStyle name="쉼표 [0] 5 4 7" xfId="11995"/>
    <cellStyle name="쉼표 [0] 5 5" xfId="11996"/>
    <cellStyle name="쉼표 [0] 5 5 2" xfId="11997"/>
    <cellStyle name="쉼표 [0] 5 5 2 2" xfId="11998"/>
    <cellStyle name="쉼표 [0] 5 5 2 2 2" xfId="11999"/>
    <cellStyle name="쉼표 [0] 5 5 2 3" xfId="12000"/>
    <cellStyle name="쉼표 [0] 5 5 2 4" xfId="12001"/>
    <cellStyle name="쉼표 [0] 5 5 3" xfId="12002"/>
    <cellStyle name="쉼표 [0] 5 5 3 2" xfId="12003"/>
    <cellStyle name="쉼표 [0] 5 5 4" xfId="12004"/>
    <cellStyle name="쉼표 [0] 5 5 5" xfId="12005"/>
    <cellStyle name="쉼표 [0] 5 6" xfId="12006"/>
    <cellStyle name="쉼표 [0] 5 6 2" xfId="12007"/>
    <cellStyle name="쉼표 [0] 5 6 2 2" xfId="12008"/>
    <cellStyle name="쉼표 [0] 5 6 2 2 2" xfId="12009"/>
    <cellStyle name="쉼표 [0] 5 6 2 3" xfId="12010"/>
    <cellStyle name="쉼표 [0] 5 6 2 4" xfId="12011"/>
    <cellStyle name="쉼표 [0] 5 6 3" xfId="12012"/>
    <cellStyle name="쉼표 [0] 5 6 3 2" xfId="12013"/>
    <cellStyle name="쉼표 [0] 5 6 4" xfId="12014"/>
    <cellStyle name="쉼표 [0] 5 6 5" xfId="12015"/>
    <cellStyle name="쉼표 [0] 5 7" xfId="12016"/>
    <cellStyle name="쉼표 [0] 5 7 2" xfId="12017"/>
    <cellStyle name="쉼표 [0] 5 7 2 2" xfId="12018"/>
    <cellStyle name="쉼표 [0] 5 7 3" xfId="12019"/>
    <cellStyle name="쉼표 [0] 5 7 4" xfId="12020"/>
    <cellStyle name="쉼표 [0] 5 8" xfId="12021"/>
    <cellStyle name="쉼표 [0] 5 8 2" xfId="12022"/>
    <cellStyle name="쉼표 [0] 5 9" xfId="12023"/>
    <cellStyle name="쉼표 [0] 6" xfId="4338"/>
    <cellStyle name="쉼표 [0] 6 2" xfId="12024"/>
    <cellStyle name="쉼표 [0] 6 2 2" xfId="12025"/>
    <cellStyle name="쉼표 [0] 6 2 2 2" xfId="12026"/>
    <cellStyle name="쉼표 [0] 6 2 3" xfId="12027"/>
    <cellStyle name="쉼표 [0] 6 3" xfId="12028"/>
    <cellStyle name="쉼표 [0] 6 3 2" xfId="12029"/>
    <cellStyle name="쉼표 [0] 6 4" xfId="12030"/>
    <cellStyle name="쉼표 [0] 6 5" xfId="12031"/>
    <cellStyle name="쉼표 [0] 6 6" xfId="12032"/>
    <cellStyle name="쉼표 [0] 6 7" xfId="12033"/>
    <cellStyle name="쉼표 [0] 6 8" xfId="12034"/>
    <cellStyle name="쉼표 [0] 7" xfId="12035"/>
    <cellStyle name="쉼표 [0] 7 2" xfId="12036"/>
    <cellStyle name="쉼표 [0] 7 2 2" xfId="12037"/>
    <cellStyle name="쉼표 [0] 7 2 3" xfId="12038"/>
    <cellStyle name="쉼표 [0] 7 3" xfId="12039"/>
    <cellStyle name="쉼표 [0] 7 3 2" xfId="12040"/>
    <cellStyle name="쉼표 [0] 7 4" xfId="12041"/>
    <cellStyle name="쉼표 [0] 7 5" xfId="12042"/>
    <cellStyle name="쉼표 [0] 7 6" xfId="12043"/>
    <cellStyle name="쉼표 [0] 7 7" xfId="12044"/>
    <cellStyle name="쉼표 [0] 7 8" xfId="12045"/>
    <cellStyle name="쉼표 [0] 8" xfId="12046"/>
    <cellStyle name="쉼표 [0] 8 2" xfId="12047"/>
    <cellStyle name="쉼표 [0] 8 2 2" xfId="12048"/>
    <cellStyle name="쉼표 [0] 8 3" xfId="12049"/>
    <cellStyle name="쉼표 [0] 8 4" xfId="12050"/>
    <cellStyle name="쉼표 [0] 9" xfId="12051"/>
    <cellStyle name="쉼표 [0] 9 2" xfId="12052"/>
    <cellStyle name="쉼표 [0] 9 2 2" xfId="12053"/>
    <cellStyle name="쉼표 [0] 9 3" xfId="12054"/>
    <cellStyle name="쉼표 [0] 9 4" xfId="12055"/>
    <cellStyle name="쉼표 [0] 9 5" xfId="12056"/>
    <cellStyle name="연결된 셀" xfId="4308" builtinId="24" customBuiltin="1"/>
    <cellStyle name="연결된 셀 10" xfId="12057"/>
    <cellStyle name="연결된 셀 10 2" xfId="12058"/>
    <cellStyle name="연결된 셀 11" xfId="12059"/>
    <cellStyle name="연결된 셀 11 2" xfId="12060"/>
    <cellStyle name="연결된 셀 12" xfId="12061"/>
    <cellStyle name="연결된 셀 12 2" xfId="12062"/>
    <cellStyle name="연결된 셀 13" xfId="12063"/>
    <cellStyle name="연결된 셀 13 2" xfId="12064"/>
    <cellStyle name="연결된 셀 14" xfId="12065"/>
    <cellStyle name="연결된 셀 14 2" xfId="12066"/>
    <cellStyle name="연결된 셀 15" xfId="12067"/>
    <cellStyle name="연결된 셀 15 2" xfId="12068"/>
    <cellStyle name="연결된 셀 16" xfId="12069"/>
    <cellStyle name="연결된 셀 16 2" xfId="12070"/>
    <cellStyle name="연결된 셀 2" xfId="3868"/>
    <cellStyle name="연결된 셀 2 2" xfId="12071"/>
    <cellStyle name="연결된 셀 2 2 2" xfId="12072"/>
    <cellStyle name="연결된 셀 2 3" xfId="12073"/>
    <cellStyle name="연결된 셀 2 3 2" xfId="12074"/>
    <cellStyle name="연결된 셀 2 4" xfId="12075"/>
    <cellStyle name="연결된 셀 2 5" xfId="12076"/>
    <cellStyle name="연결된 셀 3" xfId="12077"/>
    <cellStyle name="연결된 셀 3 2" xfId="12078"/>
    <cellStyle name="연결된 셀 4" xfId="12079"/>
    <cellStyle name="연결된 셀 4 2" xfId="12080"/>
    <cellStyle name="연결된 셀 5" xfId="12081"/>
    <cellStyle name="연결된 셀 5 2" xfId="12082"/>
    <cellStyle name="연결된 셀 6" xfId="12083"/>
    <cellStyle name="연결된 셀 6 2" xfId="12084"/>
    <cellStyle name="연결된 셀 7" xfId="12085"/>
    <cellStyle name="연결된 셀 7 2" xfId="12086"/>
    <cellStyle name="연결된 셀 8" xfId="12087"/>
    <cellStyle name="연결된 셀 8 2" xfId="12088"/>
    <cellStyle name="연결된 셀 9" xfId="12089"/>
    <cellStyle name="연결된 셀 9 2" xfId="12090"/>
    <cellStyle name="요약" xfId="4312" builtinId="25" customBuiltin="1"/>
    <cellStyle name="요약 10" xfId="12091"/>
    <cellStyle name="요약 10 2" xfId="12092"/>
    <cellStyle name="요약 11" xfId="12093"/>
    <cellStyle name="요약 11 2" xfId="12094"/>
    <cellStyle name="요약 12" xfId="12095"/>
    <cellStyle name="요약 12 2" xfId="12096"/>
    <cellStyle name="요약 13" xfId="12097"/>
    <cellStyle name="요약 13 2" xfId="12098"/>
    <cellStyle name="요약 14" xfId="12099"/>
    <cellStyle name="요약 14 2" xfId="12100"/>
    <cellStyle name="요약 15" xfId="12101"/>
    <cellStyle name="요약 15 2" xfId="12102"/>
    <cellStyle name="요약 16" xfId="12103"/>
    <cellStyle name="요약 16 2" xfId="12104"/>
    <cellStyle name="요약 2" xfId="3869"/>
    <cellStyle name="요약 2 2" xfId="12105"/>
    <cellStyle name="요약 2 2 2" xfId="12106"/>
    <cellStyle name="요약 2 3" xfId="12107"/>
    <cellStyle name="요약 2 3 2" xfId="12108"/>
    <cellStyle name="요약 2 4" xfId="12109"/>
    <cellStyle name="요약 2 5" xfId="12110"/>
    <cellStyle name="요약 3" xfId="12111"/>
    <cellStyle name="요약 3 2" xfId="12112"/>
    <cellStyle name="요약 4" xfId="12113"/>
    <cellStyle name="요약 4 2" xfId="12114"/>
    <cellStyle name="요약 5" xfId="12115"/>
    <cellStyle name="요약 5 2" xfId="12116"/>
    <cellStyle name="요약 6" xfId="12117"/>
    <cellStyle name="요약 6 2" xfId="12118"/>
    <cellStyle name="요약 7" xfId="12119"/>
    <cellStyle name="요약 7 2" xfId="12120"/>
    <cellStyle name="요약 8" xfId="12121"/>
    <cellStyle name="요약 8 2" xfId="12122"/>
    <cellStyle name="요약 9" xfId="12123"/>
    <cellStyle name="요약 9 2" xfId="12124"/>
    <cellStyle name="입력" xfId="4305" builtinId="20" customBuiltin="1"/>
    <cellStyle name="입력 10" xfId="12125"/>
    <cellStyle name="입력 10 2" xfId="12126"/>
    <cellStyle name="입력 11" xfId="12127"/>
    <cellStyle name="입력 11 2" xfId="12128"/>
    <cellStyle name="입력 12" xfId="12129"/>
    <cellStyle name="입력 12 2" xfId="12130"/>
    <cellStyle name="입력 13" xfId="12131"/>
    <cellStyle name="입력 13 2" xfId="12132"/>
    <cellStyle name="입력 14" xfId="12133"/>
    <cellStyle name="입력 14 2" xfId="12134"/>
    <cellStyle name="입력 15" xfId="12135"/>
    <cellStyle name="입력 15 2" xfId="12136"/>
    <cellStyle name="입력 16" xfId="12137"/>
    <cellStyle name="입력 16 2" xfId="12138"/>
    <cellStyle name="입력 2" xfId="3870"/>
    <cellStyle name="입력 2 2" xfId="12139"/>
    <cellStyle name="입력 2 2 2" xfId="12140"/>
    <cellStyle name="입력 2 3" xfId="12141"/>
    <cellStyle name="입력 2 3 2" xfId="12142"/>
    <cellStyle name="입력 2 4" xfId="12143"/>
    <cellStyle name="입력 2 5" xfId="12144"/>
    <cellStyle name="입력 3" xfId="12145"/>
    <cellStyle name="입력 3 2" xfId="12146"/>
    <cellStyle name="입력 4" xfId="12147"/>
    <cellStyle name="입력 4 2" xfId="12148"/>
    <cellStyle name="입력 5" xfId="12149"/>
    <cellStyle name="입력 5 2" xfId="12150"/>
    <cellStyle name="입력 6" xfId="12151"/>
    <cellStyle name="입력 6 2" xfId="12152"/>
    <cellStyle name="입력 7" xfId="12153"/>
    <cellStyle name="입력 7 2" xfId="12154"/>
    <cellStyle name="입력 8" xfId="12155"/>
    <cellStyle name="입력 8 2" xfId="12156"/>
    <cellStyle name="입력 9" xfId="12157"/>
    <cellStyle name="입력 9 2" xfId="12158"/>
    <cellStyle name="제목" xfId="4297" builtinId="15" customBuiltin="1"/>
    <cellStyle name="제목 1" xfId="4298" builtinId="16" customBuiltin="1"/>
    <cellStyle name="제목 1 10" xfId="12159"/>
    <cellStyle name="제목 1 10 2" xfId="12160"/>
    <cellStyle name="제목 1 11" xfId="12161"/>
    <cellStyle name="제목 1 11 2" xfId="12162"/>
    <cellStyle name="제목 1 12" xfId="12163"/>
    <cellStyle name="제목 1 12 2" xfId="12164"/>
    <cellStyle name="제목 1 13" xfId="12165"/>
    <cellStyle name="제목 1 13 2" xfId="12166"/>
    <cellStyle name="제목 1 14" xfId="12167"/>
    <cellStyle name="제목 1 14 2" xfId="12168"/>
    <cellStyle name="제목 1 15" xfId="12169"/>
    <cellStyle name="제목 1 15 2" xfId="12170"/>
    <cellStyle name="제목 1 16" xfId="12171"/>
    <cellStyle name="제목 1 16 2" xfId="12172"/>
    <cellStyle name="제목 1 2" xfId="3871"/>
    <cellStyle name="제목 1 2 2" xfId="12173"/>
    <cellStyle name="제목 1 2 2 2" xfId="12174"/>
    <cellStyle name="제목 1 2 3" xfId="12175"/>
    <cellStyle name="제목 1 2 3 2" xfId="12176"/>
    <cellStyle name="제목 1 2 4" xfId="12177"/>
    <cellStyle name="제목 1 2 5" xfId="12178"/>
    <cellStyle name="제목 1 3" xfId="12179"/>
    <cellStyle name="제목 1 3 2" xfId="12180"/>
    <cellStyle name="제목 1 4" xfId="12181"/>
    <cellStyle name="제목 1 4 2" xfId="12182"/>
    <cellStyle name="제목 1 5" xfId="12183"/>
    <cellStyle name="제목 1 5 2" xfId="12184"/>
    <cellStyle name="제목 1 6" xfId="12185"/>
    <cellStyle name="제목 1 6 2" xfId="12186"/>
    <cellStyle name="제목 1 7" xfId="12187"/>
    <cellStyle name="제목 1 7 2" xfId="12188"/>
    <cellStyle name="제목 1 8" xfId="12189"/>
    <cellStyle name="제목 1 8 2" xfId="12190"/>
    <cellStyle name="제목 1 9" xfId="12191"/>
    <cellStyle name="제목 1 9 2" xfId="12192"/>
    <cellStyle name="제목 10" xfId="12193"/>
    <cellStyle name="제목 10 2" xfId="12194"/>
    <cellStyle name="제목 11" xfId="12195"/>
    <cellStyle name="제목 11 2" xfId="12196"/>
    <cellStyle name="제목 12" xfId="12197"/>
    <cellStyle name="제목 12 2" xfId="12198"/>
    <cellStyle name="제목 13" xfId="12199"/>
    <cellStyle name="제목 13 2" xfId="12200"/>
    <cellStyle name="제목 14" xfId="12201"/>
    <cellStyle name="제목 14 2" xfId="12202"/>
    <cellStyle name="제목 15" xfId="12203"/>
    <cellStyle name="제목 15 2" xfId="12204"/>
    <cellStyle name="제목 16" xfId="12205"/>
    <cellStyle name="제목 16 2" xfId="12206"/>
    <cellStyle name="제목 17" xfId="12207"/>
    <cellStyle name="제목 17 2" xfId="12208"/>
    <cellStyle name="제목 18" xfId="12209"/>
    <cellStyle name="제목 18 2" xfId="12210"/>
    <cellStyle name="제목 19" xfId="12211"/>
    <cellStyle name="제목 19 2" xfId="12212"/>
    <cellStyle name="제목 2" xfId="4299" builtinId="17" customBuiltin="1"/>
    <cellStyle name="제목 2 10" xfId="12213"/>
    <cellStyle name="제목 2 10 2" xfId="12214"/>
    <cellStyle name="제목 2 11" xfId="12215"/>
    <cellStyle name="제목 2 11 2" xfId="12216"/>
    <cellStyle name="제목 2 12" xfId="12217"/>
    <cellStyle name="제목 2 12 2" xfId="12218"/>
    <cellStyle name="제목 2 13" xfId="12219"/>
    <cellStyle name="제목 2 13 2" xfId="12220"/>
    <cellStyle name="제목 2 14" xfId="12221"/>
    <cellStyle name="제목 2 14 2" xfId="12222"/>
    <cellStyle name="제목 2 15" xfId="12223"/>
    <cellStyle name="제목 2 15 2" xfId="12224"/>
    <cellStyle name="제목 2 16" xfId="12225"/>
    <cellStyle name="제목 2 16 2" xfId="12226"/>
    <cellStyle name="제목 2 2" xfId="3872"/>
    <cellStyle name="제목 2 2 2" xfId="12227"/>
    <cellStyle name="제목 2 2 2 2" xfId="12228"/>
    <cellStyle name="제목 2 2 3" xfId="12229"/>
    <cellStyle name="제목 2 2 3 2" xfId="12230"/>
    <cellStyle name="제목 2 2 4" xfId="12231"/>
    <cellStyle name="제목 2 2 5" xfId="12232"/>
    <cellStyle name="제목 2 3" xfId="12233"/>
    <cellStyle name="제목 2 3 2" xfId="12234"/>
    <cellStyle name="제목 2 4" xfId="12235"/>
    <cellStyle name="제목 2 4 2" xfId="12236"/>
    <cellStyle name="제목 2 5" xfId="12237"/>
    <cellStyle name="제목 2 5 2" xfId="12238"/>
    <cellStyle name="제목 2 6" xfId="12239"/>
    <cellStyle name="제목 2 6 2" xfId="12240"/>
    <cellStyle name="제목 2 7" xfId="12241"/>
    <cellStyle name="제목 2 7 2" xfId="12242"/>
    <cellStyle name="제목 2 8" xfId="12243"/>
    <cellStyle name="제목 2 8 2" xfId="12244"/>
    <cellStyle name="제목 2 9" xfId="12245"/>
    <cellStyle name="제목 2 9 2" xfId="12246"/>
    <cellStyle name="제목 3" xfId="4300" builtinId="18" customBuiltin="1"/>
    <cellStyle name="제목 3 10" xfId="12247"/>
    <cellStyle name="제목 3 10 2" xfId="12248"/>
    <cellStyle name="제목 3 11" xfId="12249"/>
    <cellStyle name="제목 3 11 2" xfId="12250"/>
    <cellStyle name="제목 3 12" xfId="12251"/>
    <cellStyle name="제목 3 12 2" xfId="12252"/>
    <cellStyle name="제목 3 13" xfId="12253"/>
    <cellStyle name="제목 3 13 2" xfId="12254"/>
    <cellStyle name="제목 3 14" xfId="12255"/>
    <cellStyle name="제목 3 14 2" xfId="12256"/>
    <cellStyle name="제목 3 15" xfId="12257"/>
    <cellStyle name="제목 3 15 2" xfId="12258"/>
    <cellStyle name="제목 3 16" xfId="12259"/>
    <cellStyle name="제목 3 16 2" xfId="12260"/>
    <cellStyle name="제목 3 2" xfId="3873"/>
    <cellStyle name="제목 3 2 2" xfId="12261"/>
    <cellStyle name="제목 3 2 2 2" xfId="12262"/>
    <cellStyle name="제목 3 2 3" xfId="12263"/>
    <cellStyle name="제목 3 2 3 2" xfId="12264"/>
    <cellStyle name="제목 3 2 4" xfId="12265"/>
    <cellStyle name="제목 3 2 5" xfId="12266"/>
    <cellStyle name="제목 3 3" xfId="12267"/>
    <cellStyle name="제목 3 3 2" xfId="12268"/>
    <cellStyle name="제목 3 4" xfId="12269"/>
    <cellStyle name="제목 3 4 2" xfId="12270"/>
    <cellStyle name="제목 3 5" xfId="12271"/>
    <cellStyle name="제목 3 5 2" xfId="12272"/>
    <cellStyle name="제목 3 6" xfId="12273"/>
    <cellStyle name="제목 3 6 2" xfId="12274"/>
    <cellStyle name="제목 3 7" xfId="12275"/>
    <cellStyle name="제목 3 7 2" xfId="12276"/>
    <cellStyle name="제목 3 8" xfId="12277"/>
    <cellStyle name="제목 3 8 2" xfId="12278"/>
    <cellStyle name="제목 3 9" xfId="12279"/>
    <cellStyle name="제목 3 9 2" xfId="12280"/>
    <cellStyle name="제목 4" xfId="4301" builtinId="19" customBuiltin="1"/>
    <cellStyle name="제목 4 10" xfId="12281"/>
    <cellStyle name="제목 4 10 2" xfId="12282"/>
    <cellStyle name="제목 4 11" xfId="12283"/>
    <cellStyle name="제목 4 11 2" xfId="12284"/>
    <cellStyle name="제목 4 12" xfId="12285"/>
    <cellStyle name="제목 4 12 2" xfId="12286"/>
    <cellStyle name="제목 4 13" xfId="12287"/>
    <cellStyle name="제목 4 13 2" xfId="12288"/>
    <cellStyle name="제목 4 14" xfId="12289"/>
    <cellStyle name="제목 4 14 2" xfId="12290"/>
    <cellStyle name="제목 4 15" xfId="12291"/>
    <cellStyle name="제목 4 15 2" xfId="12292"/>
    <cellStyle name="제목 4 16" xfId="12293"/>
    <cellStyle name="제목 4 16 2" xfId="12294"/>
    <cellStyle name="제목 4 2" xfId="3874"/>
    <cellStyle name="제목 4 2 2" xfId="12295"/>
    <cellStyle name="제목 4 2 2 2" xfId="12296"/>
    <cellStyle name="제목 4 2 3" xfId="12297"/>
    <cellStyle name="제목 4 2 3 2" xfId="12298"/>
    <cellStyle name="제목 4 2 4" xfId="12299"/>
    <cellStyle name="제목 4 2 5" xfId="12300"/>
    <cellStyle name="제목 4 3" xfId="12301"/>
    <cellStyle name="제목 4 3 2" xfId="12302"/>
    <cellStyle name="제목 4 4" xfId="12303"/>
    <cellStyle name="제목 4 4 2" xfId="12304"/>
    <cellStyle name="제목 4 5" xfId="12305"/>
    <cellStyle name="제목 4 5 2" xfId="12306"/>
    <cellStyle name="제목 4 6" xfId="12307"/>
    <cellStyle name="제목 4 6 2" xfId="12308"/>
    <cellStyle name="제목 4 7" xfId="12309"/>
    <cellStyle name="제목 4 7 2" xfId="12310"/>
    <cellStyle name="제목 4 8" xfId="12311"/>
    <cellStyle name="제목 4 8 2" xfId="12312"/>
    <cellStyle name="제목 4 9" xfId="12313"/>
    <cellStyle name="제목 4 9 2" xfId="12314"/>
    <cellStyle name="제목 5" xfId="3875"/>
    <cellStyle name="제목 5 2" xfId="12315"/>
    <cellStyle name="제목 5 2 2" xfId="12316"/>
    <cellStyle name="제목 5 3" xfId="12317"/>
    <cellStyle name="제목 5 3 2" xfId="12318"/>
    <cellStyle name="제목 5 4" xfId="12319"/>
    <cellStyle name="제목 5 5" xfId="12320"/>
    <cellStyle name="제목 6" xfId="12321"/>
    <cellStyle name="제목 6 2" xfId="12322"/>
    <cellStyle name="제목 7" xfId="12323"/>
    <cellStyle name="제목 7 2" xfId="12324"/>
    <cellStyle name="제목 8" xfId="12325"/>
    <cellStyle name="제목 8 2" xfId="12326"/>
    <cellStyle name="제목 9" xfId="12327"/>
    <cellStyle name="제목 9 2" xfId="12328"/>
    <cellStyle name="좋음" xfId="4302" builtinId="26" customBuiltin="1"/>
    <cellStyle name="좋음 10" xfId="12329"/>
    <cellStyle name="좋음 10 2" xfId="12330"/>
    <cellStyle name="좋음 11" xfId="12331"/>
    <cellStyle name="좋음 11 2" xfId="12332"/>
    <cellStyle name="좋음 12" xfId="12333"/>
    <cellStyle name="좋음 12 2" xfId="12334"/>
    <cellStyle name="좋음 13" xfId="12335"/>
    <cellStyle name="좋음 13 2" xfId="12336"/>
    <cellStyle name="좋음 14" xfId="12337"/>
    <cellStyle name="좋음 14 2" xfId="12338"/>
    <cellStyle name="좋음 15" xfId="12339"/>
    <cellStyle name="좋음 15 2" xfId="12340"/>
    <cellStyle name="좋음 16" xfId="12341"/>
    <cellStyle name="좋음 16 2" xfId="12342"/>
    <cellStyle name="좋음 2" xfId="3876"/>
    <cellStyle name="좋음 2 2" xfId="12343"/>
    <cellStyle name="좋음 2 2 2" xfId="12344"/>
    <cellStyle name="좋음 2 3" xfId="12345"/>
    <cellStyle name="좋음 2 3 2" xfId="12346"/>
    <cellStyle name="좋음 2 4" xfId="12347"/>
    <cellStyle name="좋음 2 5" xfId="12348"/>
    <cellStyle name="좋음 2 6" xfId="12349"/>
    <cellStyle name="좋음 3" xfId="12350"/>
    <cellStyle name="좋음 3 2" xfId="12351"/>
    <cellStyle name="좋음 4" xfId="12352"/>
    <cellStyle name="좋음 4 2" xfId="12353"/>
    <cellStyle name="좋음 5" xfId="12354"/>
    <cellStyle name="좋음 5 2" xfId="12355"/>
    <cellStyle name="좋음 6" xfId="12356"/>
    <cellStyle name="좋음 6 2" xfId="12357"/>
    <cellStyle name="좋음 7" xfId="12358"/>
    <cellStyle name="좋음 7 2" xfId="12359"/>
    <cellStyle name="좋음 8" xfId="12360"/>
    <cellStyle name="좋음 8 2" xfId="12361"/>
    <cellStyle name="좋음 9" xfId="12362"/>
    <cellStyle name="좋음 9 2" xfId="12363"/>
    <cellStyle name="출력" xfId="4306" builtinId="21" customBuiltin="1"/>
    <cellStyle name="출력 10" xfId="12364"/>
    <cellStyle name="출력 10 2" xfId="12365"/>
    <cellStyle name="출력 11" xfId="12366"/>
    <cellStyle name="출력 11 2" xfId="12367"/>
    <cellStyle name="출력 12" xfId="12368"/>
    <cellStyle name="출력 12 2" xfId="12369"/>
    <cellStyle name="출력 13" xfId="12370"/>
    <cellStyle name="출력 13 2" xfId="12371"/>
    <cellStyle name="출력 14" xfId="12372"/>
    <cellStyle name="출력 14 2" xfId="12373"/>
    <cellStyle name="출력 15" xfId="12374"/>
    <cellStyle name="출력 15 2" xfId="12375"/>
    <cellStyle name="출력 16" xfId="12376"/>
    <cellStyle name="출력 16 2" xfId="12377"/>
    <cellStyle name="출력 2" xfId="3877"/>
    <cellStyle name="출력 2 2" xfId="12378"/>
    <cellStyle name="출력 2 2 2" xfId="12379"/>
    <cellStyle name="출력 2 3" xfId="12380"/>
    <cellStyle name="출력 2 3 2" xfId="12381"/>
    <cellStyle name="출력 2 4" xfId="12382"/>
    <cellStyle name="출력 2 5" xfId="12383"/>
    <cellStyle name="출력 3" xfId="12384"/>
    <cellStyle name="출력 3 2" xfId="12385"/>
    <cellStyle name="출력 4" xfId="12386"/>
    <cellStyle name="출력 4 2" xfId="12387"/>
    <cellStyle name="출력 5" xfId="12388"/>
    <cellStyle name="출력 5 2" xfId="12389"/>
    <cellStyle name="출력 6" xfId="12390"/>
    <cellStyle name="출력 6 2" xfId="12391"/>
    <cellStyle name="출력 7" xfId="12392"/>
    <cellStyle name="출력 7 2" xfId="12393"/>
    <cellStyle name="출력 8" xfId="12394"/>
    <cellStyle name="출력 8 2" xfId="12395"/>
    <cellStyle name="출력 9" xfId="12396"/>
    <cellStyle name="출력 9 2" xfId="12397"/>
    <cellStyle name="콤마 [0]_00.필드네이밍규칙" xfId="3878"/>
    <cellStyle name="콤마_00.필드네이밍규칙" xfId="3879"/>
    <cellStyle name="통화 [0] 2" xfId="3880"/>
    <cellStyle name="통화 [0] 2 2" xfId="12398"/>
    <cellStyle name="통화 [0] 2 2 2" xfId="42803"/>
    <cellStyle name="통화 [0] 2 3" xfId="12399"/>
    <cellStyle name="통화 [0] 2 4" xfId="42799"/>
    <cellStyle name="통화 [0] 3" xfId="42794"/>
    <cellStyle name="통화 [0] 4" xfId="42797"/>
    <cellStyle name="표준" xfId="0" builtinId="0"/>
    <cellStyle name="표준 10" xfId="3881"/>
    <cellStyle name="표준 10 10" xfId="12400"/>
    <cellStyle name="표준 10 11" xfId="12401"/>
    <cellStyle name="표준 10 12" xfId="12402"/>
    <cellStyle name="표준 10 13" xfId="12403"/>
    <cellStyle name="표준 10 14" xfId="12404"/>
    <cellStyle name="표준 10 15" xfId="12405"/>
    <cellStyle name="표준 10 16" xfId="12406"/>
    <cellStyle name="표준 10 17" xfId="12407"/>
    <cellStyle name="표준 10 2" xfId="3882"/>
    <cellStyle name="표준 10 2 2" xfId="3883"/>
    <cellStyle name="표준 10 2 2 2" xfId="3884"/>
    <cellStyle name="표준 10 2 2 2 2" xfId="12408"/>
    <cellStyle name="표준 10 2 2 3" xfId="3885"/>
    <cellStyle name="표준 10 2 2 4" xfId="12409"/>
    <cellStyle name="표준 10 2 3" xfId="3886"/>
    <cellStyle name="표준 10 2 3 2" xfId="3887"/>
    <cellStyle name="표준 10 2 3 3" xfId="3888"/>
    <cellStyle name="표준 10 2 3 4" xfId="12410"/>
    <cellStyle name="표준 10 2 4" xfId="3889"/>
    <cellStyle name="표준 10 2 4 2" xfId="12411"/>
    <cellStyle name="표준 10 2 5" xfId="3890"/>
    <cellStyle name="표준 10 2 5 2" xfId="12412"/>
    <cellStyle name="표준 10 2 6" xfId="12413"/>
    <cellStyle name="표준 10 3" xfId="3891"/>
    <cellStyle name="표준 10 3 2" xfId="3892"/>
    <cellStyle name="표준 10 3 2 2" xfId="3893"/>
    <cellStyle name="표준 10 3 2 3" xfId="3894"/>
    <cellStyle name="표준 10 3 2 4" xfId="12414"/>
    <cellStyle name="표준 10 3 3" xfId="3895"/>
    <cellStyle name="표준 10 3 3 2" xfId="3896"/>
    <cellStyle name="표준 10 3 3 3" xfId="3897"/>
    <cellStyle name="표준 10 3 3 4" xfId="12415"/>
    <cellStyle name="표준 10 3 4" xfId="3898"/>
    <cellStyle name="표준 10 3 4 2" xfId="12416"/>
    <cellStyle name="표준 10 3 5" xfId="3899"/>
    <cellStyle name="표준 10 3 6" xfId="12417"/>
    <cellStyle name="표준 10 4" xfId="3900"/>
    <cellStyle name="표준 10 4 2" xfId="3901"/>
    <cellStyle name="표준 10 4 2 2" xfId="12418"/>
    <cellStyle name="표준 10 4 3" xfId="3902"/>
    <cellStyle name="표준 10 4 3 2" xfId="12419"/>
    <cellStyle name="표준 10 4 4" xfId="12420"/>
    <cellStyle name="표준 10 5" xfId="3903"/>
    <cellStyle name="표준 10 5 2" xfId="3904"/>
    <cellStyle name="표준 10 5 2 2" xfId="12421"/>
    <cellStyle name="표준 10 5 3" xfId="3905"/>
    <cellStyle name="표준 10 5 4" xfId="12422"/>
    <cellStyle name="표준 10 6" xfId="3906"/>
    <cellStyle name="표준 10 7" xfId="3907"/>
    <cellStyle name="표준 10 7 2" xfId="12423"/>
    <cellStyle name="표준 10 8" xfId="12424"/>
    <cellStyle name="표준 10 9" xfId="12425"/>
    <cellStyle name="표준 100" xfId="12426"/>
    <cellStyle name="표준 100 2" xfId="12427"/>
    <cellStyle name="표준 100 2 2" xfId="12428"/>
    <cellStyle name="표준 100 3" xfId="12429"/>
    <cellStyle name="표준 100 3 2" xfId="12430"/>
    <cellStyle name="표준 100 4" xfId="12431"/>
    <cellStyle name="표준 101" xfId="12432"/>
    <cellStyle name="표준 101 2" xfId="12433"/>
    <cellStyle name="표준 102" xfId="12434"/>
    <cellStyle name="표준 102 2" xfId="12435"/>
    <cellStyle name="표준 103" xfId="12436"/>
    <cellStyle name="표준 103 2" xfId="12437"/>
    <cellStyle name="표준 103 2 2" xfId="12438"/>
    <cellStyle name="표준 103 3" xfId="12439"/>
    <cellStyle name="표준 103 3 2" xfId="12440"/>
    <cellStyle name="표준 103 4" xfId="12441"/>
    <cellStyle name="표준 104" xfId="12442"/>
    <cellStyle name="표준 104 2" xfId="12443"/>
    <cellStyle name="표준 105" xfId="12444"/>
    <cellStyle name="표준 106" xfId="12445"/>
    <cellStyle name="표준 106 2" xfId="12446"/>
    <cellStyle name="표준 106 2 2" xfId="12447"/>
    <cellStyle name="표준 106 3" xfId="12448"/>
    <cellStyle name="표준 106 3 2" xfId="12449"/>
    <cellStyle name="표준 106 4" xfId="12450"/>
    <cellStyle name="표준 107" xfId="12451"/>
    <cellStyle name="표준 107 2" xfId="12452"/>
    <cellStyle name="표준 107 2 2" xfId="12453"/>
    <cellStyle name="표준 107 3" xfId="12454"/>
    <cellStyle name="표준 107 3 2" xfId="12455"/>
    <cellStyle name="표준 107 4" xfId="12456"/>
    <cellStyle name="표준 108" xfId="12457"/>
    <cellStyle name="표준 108 2" xfId="12458"/>
    <cellStyle name="표준 109" xfId="12459"/>
    <cellStyle name="표준 109 2" xfId="12460"/>
    <cellStyle name="표준 109 2 2" xfId="12461"/>
    <cellStyle name="표준 109 3" xfId="12462"/>
    <cellStyle name="표준 109 3 2" xfId="12463"/>
    <cellStyle name="표준 109 4" xfId="12464"/>
    <cellStyle name="표준 11" xfId="3908"/>
    <cellStyle name="표준 11 10" xfId="12465"/>
    <cellStyle name="표준 11 11" xfId="12466"/>
    <cellStyle name="표준 11 12" xfId="12467"/>
    <cellStyle name="표준 11 13" xfId="12468"/>
    <cellStyle name="표준 11 14" xfId="12469"/>
    <cellStyle name="표준 11 15" xfId="12470"/>
    <cellStyle name="표준 11 16" xfId="12471"/>
    <cellStyle name="표준 11 2" xfId="3909"/>
    <cellStyle name="표준 11 2 2" xfId="3910"/>
    <cellStyle name="표준 11 2 2 2" xfId="3911"/>
    <cellStyle name="표준 11 2 2 3" xfId="3912"/>
    <cellStyle name="표준 11 2 3" xfId="3913"/>
    <cellStyle name="표준 11 2 3 2" xfId="3914"/>
    <cellStyle name="표준 11 2 3 3" xfId="3915"/>
    <cellStyle name="표준 11 2 3 4" xfId="12472"/>
    <cellStyle name="표준 11 2 4" xfId="3916"/>
    <cellStyle name="표준 11 2 4 2" xfId="12473"/>
    <cellStyle name="표준 11 2 5" xfId="3917"/>
    <cellStyle name="표준 11 2 6" xfId="12474"/>
    <cellStyle name="표준 11 3" xfId="3918"/>
    <cellStyle name="표준 11 3 2" xfId="3919"/>
    <cellStyle name="표준 11 3 2 2" xfId="3920"/>
    <cellStyle name="표준 11 3 2 3" xfId="3921"/>
    <cellStyle name="표준 11 3 2 4" xfId="12475"/>
    <cellStyle name="표준 11 3 3" xfId="3922"/>
    <cellStyle name="표준 11 3 3 2" xfId="3923"/>
    <cellStyle name="표준 11 3 3 3" xfId="3924"/>
    <cellStyle name="표준 11 3 3 4" xfId="12476"/>
    <cellStyle name="표준 11 3 4" xfId="3925"/>
    <cellStyle name="표준 11 3 5" xfId="3926"/>
    <cellStyle name="표준 11 3 6" xfId="12477"/>
    <cellStyle name="표준 11 4" xfId="3927"/>
    <cellStyle name="표준 11 4 2" xfId="3928"/>
    <cellStyle name="표준 11 4 2 2" xfId="12478"/>
    <cellStyle name="표준 11 4 3" xfId="3929"/>
    <cellStyle name="표준 11 4 4" xfId="12479"/>
    <cellStyle name="표준 11 5" xfId="3930"/>
    <cellStyle name="표준 11 5 2" xfId="3931"/>
    <cellStyle name="표준 11 5 3" xfId="3932"/>
    <cellStyle name="표준 11 5 4" xfId="12480"/>
    <cellStyle name="표준 11 6" xfId="3933"/>
    <cellStyle name="표준 11 7" xfId="3934"/>
    <cellStyle name="표준 11 7 2" xfId="12481"/>
    <cellStyle name="표준 11 8" xfId="12482"/>
    <cellStyle name="표준 11 9" xfId="12483"/>
    <cellStyle name="표준 110" xfId="12484"/>
    <cellStyle name="표준 110 2" xfId="12485"/>
    <cellStyle name="표준 111" xfId="12486"/>
    <cellStyle name="표준 111 2" xfId="12487"/>
    <cellStyle name="표준 112" xfId="12488"/>
    <cellStyle name="표준 112 2" xfId="12489"/>
    <cellStyle name="표준 112 2 2" xfId="12490"/>
    <cellStyle name="표준 112 3" xfId="12491"/>
    <cellStyle name="표준 112 3 2" xfId="12492"/>
    <cellStyle name="표준 113" xfId="12493"/>
    <cellStyle name="표준 114" xfId="12494"/>
    <cellStyle name="표준 114 2" xfId="12495"/>
    <cellStyle name="표준 115" xfId="12496"/>
    <cellStyle name="표준 115 2" xfId="12497"/>
    <cellStyle name="표준 116" xfId="12498"/>
    <cellStyle name="표준 116 2" xfId="12499"/>
    <cellStyle name="표준 117" xfId="12500"/>
    <cellStyle name="표준 117 2" xfId="12501"/>
    <cellStyle name="표준 118" xfId="12502"/>
    <cellStyle name="표준 118 2" xfId="12503"/>
    <cellStyle name="표준 119" xfId="12504"/>
    <cellStyle name="표준 119 2" xfId="12505"/>
    <cellStyle name="표준 12" xfId="3935"/>
    <cellStyle name="표준 12 10" xfId="12506"/>
    <cellStyle name="표준 12 11" xfId="12507"/>
    <cellStyle name="표준 12 12" xfId="12508"/>
    <cellStyle name="표준 12 13" xfId="12509"/>
    <cellStyle name="표준 12 14" xfId="12510"/>
    <cellStyle name="표준 12 15" xfId="12511"/>
    <cellStyle name="표준 12 16" xfId="12512"/>
    <cellStyle name="표준 12 2" xfId="3936"/>
    <cellStyle name="표준 12 2 2" xfId="3937"/>
    <cellStyle name="표준 12 2 2 2" xfId="3938"/>
    <cellStyle name="표준 12 2 2 3" xfId="3939"/>
    <cellStyle name="표준 12 2 2 4" xfId="12513"/>
    <cellStyle name="표준 12 2 3" xfId="3940"/>
    <cellStyle name="표준 12 2 3 2" xfId="3941"/>
    <cellStyle name="표준 12 2 3 3" xfId="3942"/>
    <cellStyle name="표준 12 2 3 4" xfId="12514"/>
    <cellStyle name="표준 12 2 4" xfId="3943"/>
    <cellStyle name="표준 12 2 5" xfId="3944"/>
    <cellStyle name="표준 12 2 6" xfId="12515"/>
    <cellStyle name="표준 12 3" xfId="3945"/>
    <cellStyle name="표준 12 3 2" xfId="3946"/>
    <cellStyle name="표준 12 3 2 2" xfId="3947"/>
    <cellStyle name="표준 12 3 2 3" xfId="3948"/>
    <cellStyle name="표준 12 3 2 4" xfId="12516"/>
    <cellStyle name="표준 12 3 3" xfId="3949"/>
    <cellStyle name="표준 12 3 3 2" xfId="3950"/>
    <cellStyle name="표준 12 3 3 3" xfId="3951"/>
    <cellStyle name="표준 12 3 3 4" xfId="12517"/>
    <cellStyle name="표준 12 3 4" xfId="3952"/>
    <cellStyle name="표준 12 3 5" xfId="3953"/>
    <cellStyle name="표준 12 3 6" xfId="12518"/>
    <cellStyle name="표준 12 4" xfId="3954"/>
    <cellStyle name="표준 12 4 2" xfId="3955"/>
    <cellStyle name="표준 12 4 2 2" xfId="12519"/>
    <cellStyle name="표준 12 4 3" xfId="3956"/>
    <cellStyle name="표준 12 4 4" xfId="12520"/>
    <cellStyle name="표준 12 5" xfId="3957"/>
    <cellStyle name="표준 12 5 2" xfId="3958"/>
    <cellStyle name="표준 12 5 3" xfId="3959"/>
    <cellStyle name="표준 12 5 4" xfId="12521"/>
    <cellStyle name="표준 12 6" xfId="3960"/>
    <cellStyle name="표준 12 6 2" xfId="12522"/>
    <cellStyle name="표준 12 7" xfId="3961"/>
    <cellStyle name="표준 12 7 2" xfId="12523"/>
    <cellStyle name="표준 12 8" xfId="12524"/>
    <cellStyle name="표준 12 9" xfId="12525"/>
    <cellStyle name="표준 120" xfId="12526"/>
    <cellStyle name="표준 120 2" xfId="12527"/>
    <cellStyle name="표준 121" xfId="12528"/>
    <cellStyle name="표준 121 2" xfId="12529"/>
    <cellStyle name="표준 122" xfId="12530"/>
    <cellStyle name="표준 122 2" xfId="12531"/>
    <cellStyle name="표준 123" xfId="12532"/>
    <cellStyle name="표준 123 2" xfId="12533"/>
    <cellStyle name="표준 124" xfId="12534"/>
    <cellStyle name="표준 124 2" xfId="12535"/>
    <cellStyle name="표준 125" xfId="12536"/>
    <cellStyle name="표준 125 2" xfId="12537"/>
    <cellStyle name="표준 126" xfId="12538"/>
    <cellStyle name="표준 126 2" xfId="12539"/>
    <cellStyle name="표준 127" xfId="12540"/>
    <cellStyle name="표준 127 2" xfId="12541"/>
    <cellStyle name="표준 128" xfId="12542"/>
    <cellStyle name="표준 128 2" xfId="12543"/>
    <cellStyle name="표준 129" xfId="12544"/>
    <cellStyle name="표준 129 2" xfId="12545"/>
    <cellStyle name="표준 13" xfId="3962"/>
    <cellStyle name="표준 13 10" xfId="12546"/>
    <cellStyle name="표준 13 11" xfId="12547"/>
    <cellStyle name="표준 13 12" xfId="12548"/>
    <cellStyle name="표준 13 13" xfId="12549"/>
    <cellStyle name="표준 13 14" xfId="12550"/>
    <cellStyle name="표준 13 15" xfId="12551"/>
    <cellStyle name="표준 13 16" xfId="12552"/>
    <cellStyle name="표준 13 2" xfId="3963"/>
    <cellStyle name="표준 13 2 2" xfId="3964"/>
    <cellStyle name="표준 13 2 2 2" xfId="12553"/>
    <cellStyle name="표준 13 2 3" xfId="3965"/>
    <cellStyle name="표준 13 2 3 2" xfId="12554"/>
    <cellStyle name="표준 13 2 4" xfId="12555"/>
    <cellStyle name="표준 13 3" xfId="3966"/>
    <cellStyle name="표준 13 3 2" xfId="3967"/>
    <cellStyle name="표준 13 3 2 2" xfId="12556"/>
    <cellStyle name="표준 13 3 3" xfId="3968"/>
    <cellStyle name="표준 13 3 3 2" xfId="12557"/>
    <cellStyle name="표준 13 3 4" xfId="12558"/>
    <cellStyle name="표준 13 4" xfId="3969"/>
    <cellStyle name="표준 13 4 2" xfId="12559"/>
    <cellStyle name="표준 13 4 3" xfId="12560"/>
    <cellStyle name="표준 13 5" xfId="3970"/>
    <cellStyle name="표준 13 5 2" xfId="12561"/>
    <cellStyle name="표준 13 6" xfId="12562"/>
    <cellStyle name="표준 13 7" xfId="12563"/>
    <cellStyle name="표준 13 8" xfId="12564"/>
    <cellStyle name="표준 13 9" xfId="12565"/>
    <cellStyle name="표준 130" xfId="12566"/>
    <cellStyle name="표준 130 2" xfId="12567"/>
    <cellStyle name="표준 131" xfId="12568"/>
    <cellStyle name="표준 131 2" xfId="12569"/>
    <cellStyle name="표준 132" xfId="12570"/>
    <cellStyle name="표준 132 2" xfId="12571"/>
    <cellStyle name="표준 133" xfId="12572"/>
    <cellStyle name="표준 133 2" xfId="12573"/>
    <cellStyle name="표준 134" xfId="12574"/>
    <cellStyle name="표준 134 2" xfId="12575"/>
    <cellStyle name="표준 135" xfId="12576"/>
    <cellStyle name="표준 135 2" xfId="12577"/>
    <cellStyle name="표준 136" xfId="12578"/>
    <cellStyle name="표준 136 2" xfId="12579"/>
    <cellStyle name="표준 137" xfId="12580"/>
    <cellStyle name="표준 137 2" xfId="12581"/>
    <cellStyle name="표준 138" xfId="12582"/>
    <cellStyle name="표준 138 2" xfId="12583"/>
    <cellStyle name="표준 139" xfId="12584"/>
    <cellStyle name="표준 139 2" xfId="12585"/>
    <cellStyle name="표준 14" xfId="3971"/>
    <cellStyle name="표준 14 10" xfId="12586"/>
    <cellStyle name="표준 14 11" xfId="12587"/>
    <cellStyle name="표준 14 12" xfId="12588"/>
    <cellStyle name="표준 14 13" xfId="12589"/>
    <cellStyle name="표준 14 14" xfId="12590"/>
    <cellStyle name="표준 14 15" xfId="12591"/>
    <cellStyle name="표준 14 16" xfId="12592"/>
    <cellStyle name="표준 14 2" xfId="3972"/>
    <cellStyle name="표준 14 2 2" xfId="3973"/>
    <cellStyle name="표준 14 2 2 2" xfId="12593"/>
    <cellStyle name="표준 14 2 3" xfId="3974"/>
    <cellStyle name="표준 14 2 3 2" xfId="12594"/>
    <cellStyle name="표준 14 2 4" xfId="12595"/>
    <cellStyle name="표준 14 3" xfId="3975"/>
    <cellStyle name="표준 14 3 2" xfId="3976"/>
    <cellStyle name="표준 14 3 2 2" xfId="12596"/>
    <cellStyle name="표준 14 3 3" xfId="3977"/>
    <cellStyle name="표준 14 3 3 2" xfId="12597"/>
    <cellStyle name="표준 14 3 4" xfId="12598"/>
    <cellStyle name="표준 14 4" xfId="3978"/>
    <cellStyle name="표준 14 4 2" xfId="12599"/>
    <cellStyle name="표준 14 4 3" xfId="12600"/>
    <cellStyle name="표준 14 5" xfId="3979"/>
    <cellStyle name="표준 14 5 2" xfId="12601"/>
    <cellStyle name="표준 14 5 3" xfId="12602"/>
    <cellStyle name="표준 14 6" xfId="12603"/>
    <cellStyle name="표준 14 7" xfId="12604"/>
    <cellStyle name="표준 14 8" xfId="12605"/>
    <cellStyle name="표준 14 9" xfId="12606"/>
    <cellStyle name="표준 140" xfId="12607"/>
    <cellStyle name="표준 140 2" xfId="12608"/>
    <cellStyle name="표준 141" xfId="12609"/>
    <cellStyle name="표준 141 2" xfId="12610"/>
    <cellStyle name="표준 142" xfId="12611"/>
    <cellStyle name="표준 142 2" xfId="12612"/>
    <cellStyle name="표준 143" xfId="12613"/>
    <cellStyle name="표준 143 2" xfId="12614"/>
    <cellStyle name="표준 144" xfId="12615"/>
    <cellStyle name="표준 144 2" xfId="12616"/>
    <cellStyle name="표준 145" xfId="12617"/>
    <cellStyle name="표준 145 2" xfId="12618"/>
    <cellStyle name="표준 146" xfId="12619"/>
    <cellStyle name="표준 146 2" xfId="12620"/>
    <cellStyle name="표준 147" xfId="12621"/>
    <cellStyle name="표준 147 2" xfId="12622"/>
    <cellStyle name="표준 148" xfId="12623"/>
    <cellStyle name="표준 148 2" xfId="12624"/>
    <cellStyle name="표준 149" xfId="12625"/>
    <cellStyle name="표준 149 2" xfId="12626"/>
    <cellStyle name="표준 15" xfId="3980"/>
    <cellStyle name="표준 15 10" xfId="12627"/>
    <cellStyle name="표준 15 11" xfId="12628"/>
    <cellStyle name="표준 15 12" xfId="12629"/>
    <cellStyle name="표준 15 13" xfId="12630"/>
    <cellStyle name="표준 15 14" xfId="12631"/>
    <cellStyle name="표준 15 15" xfId="12632"/>
    <cellStyle name="표준 15 16" xfId="12633"/>
    <cellStyle name="표준 15 2" xfId="3981"/>
    <cellStyle name="표준 15 2 2" xfId="3982"/>
    <cellStyle name="표준 15 2 2 2" xfId="12634"/>
    <cellStyle name="표준 15 2 3" xfId="3983"/>
    <cellStyle name="표준 15 2 3 2" xfId="12635"/>
    <cellStyle name="표준 15 2 4" xfId="12636"/>
    <cellStyle name="표준 15 3" xfId="3984"/>
    <cellStyle name="표준 15 3 2" xfId="3985"/>
    <cellStyle name="표준 15 3 2 2" xfId="12637"/>
    <cellStyle name="표준 15 3 3" xfId="3986"/>
    <cellStyle name="표준 15 3 3 2" xfId="12638"/>
    <cellStyle name="표준 15 3 4" xfId="12639"/>
    <cellStyle name="표준 15 4" xfId="3987"/>
    <cellStyle name="표준 15 4 2" xfId="12640"/>
    <cellStyle name="표준 15 4 3" xfId="12641"/>
    <cellStyle name="표준 15 5" xfId="3988"/>
    <cellStyle name="표준 15 5 2" xfId="12642"/>
    <cellStyle name="표준 15 5 3" xfId="12643"/>
    <cellStyle name="표준 15 6" xfId="12644"/>
    <cellStyle name="표준 15 7" xfId="12645"/>
    <cellStyle name="표준 15 8" xfId="12646"/>
    <cellStyle name="표준 15 9" xfId="12647"/>
    <cellStyle name="표준 150" xfId="12648"/>
    <cellStyle name="표준 150 2" xfId="12649"/>
    <cellStyle name="표준 151" xfId="12650"/>
    <cellStyle name="표준 151 2" xfId="12651"/>
    <cellStyle name="표준 152" xfId="12652"/>
    <cellStyle name="표준 152 2" xfId="12653"/>
    <cellStyle name="표준 153" xfId="12654"/>
    <cellStyle name="표준 153 2" xfId="12655"/>
    <cellStyle name="표준 154" xfId="12656"/>
    <cellStyle name="표준 154 2" xfId="12657"/>
    <cellStyle name="표준 155" xfId="12658"/>
    <cellStyle name="표준 155 2" xfId="12659"/>
    <cellStyle name="표준 156" xfId="12660"/>
    <cellStyle name="표준 156 2" xfId="12661"/>
    <cellStyle name="표준 157" xfId="12662"/>
    <cellStyle name="표준 157 2" xfId="12663"/>
    <cellStyle name="표준 158" xfId="12664"/>
    <cellStyle name="표준 158 2" xfId="12665"/>
    <cellStyle name="표준 159" xfId="12666"/>
    <cellStyle name="표준 159 2" xfId="12667"/>
    <cellStyle name="표준 16" xfId="3989"/>
    <cellStyle name="표준 16 10" xfId="12668"/>
    <cellStyle name="표준 16 11" xfId="12669"/>
    <cellStyle name="표준 16 12" xfId="12670"/>
    <cellStyle name="표준 16 13" xfId="12671"/>
    <cellStyle name="표준 16 14" xfId="12672"/>
    <cellStyle name="표준 16 15" xfId="12673"/>
    <cellStyle name="표준 16 2" xfId="3990"/>
    <cellStyle name="표준 16 2 2" xfId="3991"/>
    <cellStyle name="표준 16 2 2 2" xfId="12674"/>
    <cellStyle name="표준 16 2 3" xfId="3992"/>
    <cellStyle name="표준 16 2 4" xfId="12675"/>
    <cellStyle name="표준 16 3" xfId="3993"/>
    <cellStyle name="표준 16 3 2" xfId="3994"/>
    <cellStyle name="표준 16 3 2 2" xfId="12676"/>
    <cellStyle name="표준 16 3 3" xfId="3995"/>
    <cellStyle name="표준 16 3 4" xfId="12677"/>
    <cellStyle name="표준 16 4" xfId="3996"/>
    <cellStyle name="표준 16 4 2" xfId="12678"/>
    <cellStyle name="표준 16 5" xfId="3997"/>
    <cellStyle name="표준 16 5 2" xfId="12679"/>
    <cellStyle name="표준 16 6" xfId="12680"/>
    <cellStyle name="표준 16 7" xfId="12681"/>
    <cellStyle name="표준 16 8" xfId="12682"/>
    <cellStyle name="표준 16 9" xfId="12683"/>
    <cellStyle name="표준 160" xfId="12684"/>
    <cellStyle name="표준 160 2" xfId="12685"/>
    <cellStyle name="표준 161" xfId="12686"/>
    <cellStyle name="표준 161 2" xfId="12687"/>
    <cellStyle name="표준 162" xfId="12688"/>
    <cellStyle name="표준 162 2" xfId="12689"/>
    <cellStyle name="표준 163" xfId="12690"/>
    <cellStyle name="표준 163 2" xfId="12691"/>
    <cellStyle name="표준 164" xfId="12692"/>
    <cellStyle name="표준 164 2" xfId="12693"/>
    <cellStyle name="표준 165" xfId="12694"/>
    <cellStyle name="표준 165 2" xfId="12695"/>
    <cellStyle name="표준 166" xfId="12696"/>
    <cellStyle name="표준 166 2" xfId="12697"/>
    <cellStyle name="표준 167" xfId="12698"/>
    <cellStyle name="표준 167 2" xfId="12699"/>
    <cellStyle name="표준 168" xfId="12700"/>
    <cellStyle name="표준 168 2" xfId="12701"/>
    <cellStyle name="표준 169" xfId="12702"/>
    <cellStyle name="표준 169 2" xfId="12703"/>
    <cellStyle name="표준 17" xfId="3998"/>
    <cellStyle name="표준 17 10" xfId="12704"/>
    <cellStyle name="표준 17 11" xfId="12705"/>
    <cellStyle name="표준 17 12" xfId="12706"/>
    <cellStyle name="표준 17 13" xfId="12707"/>
    <cellStyle name="표준 17 14" xfId="12708"/>
    <cellStyle name="표준 17 15" xfId="12709"/>
    <cellStyle name="표준 17 2" xfId="3999"/>
    <cellStyle name="표준 17 2 2" xfId="4000"/>
    <cellStyle name="표준 17 2 2 2" xfId="12710"/>
    <cellStyle name="표준 17 2 3" xfId="4001"/>
    <cellStyle name="표준 17 2 4" xfId="12711"/>
    <cellStyle name="표준 17 3" xfId="4002"/>
    <cellStyle name="표준 17 3 2" xfId="4003"/>
    <cellStyle name="표준 17 3 3" xfId="4004"/>
    <cellStyle name="표준 17 3 4" xfId="12712"/>
    <cellStyle name="표준 17 4" xfId="4005"/>
    <cellStyle name="표준 17 4 2" xfId="12713"/>
    <cellStyle name="표준 17 5" xfId="4006"/>
    <cellStyle name="표준 17 5 2" xfId="12714"/>
    <cellStyle name="표준 17 6" xfId="12715"/>
    <cellStyle name="표준 17 7" xfId="12716"/>
    <cellStyle name="표준 17 8" xfId="12717"/>
    <cellStyle name="표준 17 9" xfId="12718"/>
    <cellStyle name="표준 170" xfId="12719"/>
    <cellStyle name="표준 170 2" xfId="12720"/>
    <cellStyle name="표준 171" xfId="12721"/>
    <cellStyle name="표준 171 2" xfId="12722"/>
    <cellStyle name="표준 172" xfId="12723"/>
    <cellStyle name="표준 172 2" xfId="12724"/>
    <cellStyle name="표준 173" xfId="12725"/>
    <cellStyle name="표준 173 2" xfId="12726"/>
    <cellStyle name="표준 174" xfId="12727"/>
    <cellStyle name="표준 175" xfId="12728"/>
    <cellStyle name="표준 175 2" xfId="12729"/>
    <cellStyle name="표준 176" xfId="12730"/>
    <cellStyle name="표준 176 2" xfId="12731"/>
    <cellStyle name="표준 177" xfId="12732"/>
    <cellStyle name="표준 177 2" xfId="12733"/>
    <cellStyle name="표준 178" xfId="12734"/>
    <cellStyle name="표준 178 2" xfId="12735"/>
    <cellStyle name="표준 179" xfId="12736"/>
    <cellStyle name="표준 18" xfId="4007"/>
    <cellStyle name="표준 18 10" xfId="12737"/>
    <cellStyle name="표준 18 11" xfId="12738"/>
    <cellStyle name="표준 18 12" xfId="12739"/>
    <cellStyle name="표준 18 13" xfId="12740"/>
    <cellStyle name="표준 18 14" xfId="12741"/>
    <cellStyle name="표준 18 15" xfId="12742"/>
    <cellStyle name="표준 18 2" xfId="4008"/>
    <cellStyle name="표준 18 2 2" xfId="4009"/>
    <cellStyle name="표준 18 2 2 2" xfId="12743"/>
    <cellStyle name="표준 18 2 3" xfId="4010"/>
    <cellStyle name="표준 18 2 4" xfId="12744"/>
    <cellStyle name="표준 18 3" xfId="4011"/>
    <cellStyle name="표준 18 3 2" xfId="4012"/>
    <cellStyle name="표준 18 3 2 2" xfId="12745"/>
    <cellStyle name="표준 18 3 3" xfId="4013"/>
    <cellStyle name="표준 18 3 4" xfId="12746"/>
    <cellStyle name="표준 18 4" xfId="4014"/>
    <cellStyle name="표준 18 4 2" xfId="12747"/>
    <cellStyle name="표준 18 5" xfId="4015"/>
    <cellStyle name="표준 18 5 2" xfId="12748"/>
    <cellStyle name="표준 18 6" xfId="12749"/>
    <cellStyle name="표준 18 7" xfId="12750"/>
    <cellStyle name="표준 18 8" xfId="12751"/>
    <cellStyle name="표준 18 9" xfId="12752"/>
    <cellStyle name="표준 180" xfId="12753"/>
    <cellStyle name="표준 180 2" xfId="12754"/>
    <cellStyle name="표준 180 2 2" xfId="12755"/>
    <cellStyle name="표준 180 2 2 2" xfId="12756"/>
    <cellStyle name="표준 180 2 3" xfId="12757"/>
    <cellStyle name="표준 180 2 4" xfId="12758"/>
    <cellStyle name="표준 180 3" xfId="12759"/>
    <cellStyle name="표준 180 3 2" xfId="12760"/>
    <cellStyle name="표준 180 4" xfId="12761"/>
    <cellStyle name="표준 180 5" xfId="12762"/>
    <cellStyle name="표준 181" xfId="12763"/>
    <cellStyle name="표준 181 2" xfId="12764"/>
    <cellStyle name="표준 182" xfId="12765"/>
    <cellStyle name="표준 183" xfId="12766"/>
    <cellStyle name="표준 184" xfId="12767"/>
    <cellStyle name="표준 185" xfId="12768"/>
    <cellStyle name="표준 186" xfId="42786"/>
    <cellStyle name="표준 187" xfId="42788"/>
    <cellStyle name="표준 19" xfId="4016"/>
    <cellStyle name="표준 19 10" xfId="12769"/>
    <cellStyle name="표준 19 11" xfId="12770"/>
    <cellStyle name="표준 19 12" xfId="12771"/>
    <cellStyle name="표준 19 13" xfId="12772"/>
    <cellStyle name="표준 19 14" xfId="12773"/>
    <cellStyle name="표준 19 15" xfId="12774"/>
    <cellStyle name="표준 19 2" xfId="4017"/>
    <cellStyle name="표준 19 2 2" xfId="4018"/>
    <cellStyle name="표준 19 2 2 2" xfId="12775"/>
    <cellStyle name="표준 19 2 3" xfId="4019"/>
    <cellStyle name="표준 19 2 4" xfId="12776"/>
    <cellStyle name="표준 19 3" xfId="4020"/>
    <cellStyle name="표준 19 3 2" xfId="12777"/>
    <cellStyle name="표준 19 4" xfId="4021"/>
    <cellStyle name="표준 19 4 2" xfId="12778"/>
    <cellStyle name="표준 19 5" xfId="12779"/>
    <cellStyle name="표준 19 6" xfId="12780"/>
    <cellStyle name="표준 19 7" xfId="12781"/>
    <cellStyle name="표준 19 8" xfId="12782"/>
    <cellStyle name="표준 19 9" xfId="12783"/>
    <cellStyle name="표준 2" xfId="3"/>
    <cellStyle name="표준 2 10" xfId="12784"/>
    <cellStyle name="표준 2 100" xfId="12785"/>
    <cellStyle name="표준 2 101" xfId="12786"/>
    <cellStyle name="표준 2 102" xfId="12787"/>
    <cellStyle name="표준 2 103" xfId="12788"/>
    <cellStyle name="표준 2 104" xfId="12789"/>
    <cellStyle name="표준 2 105" xfId="12790"/>
    <cellStyle name="표준 2 106" xfId="12791"/>
    <cellStyle name="표준 2 107" xfId="12792"/>
    <cellStyle name="표준 2 108" xfId="12793"/>
    <cellStyle name="표준 2 109" xfId="42795"/>
    <cellStyle name="표준 2 11" xfId="12794"/>
    <cellStyle name="표준 2 11 2" xfId="12795"/>
    <cellStyle name="표준 2 12" xfId="12796"/>
    <cellStyle name="표준 2 13" xfId="12797"/>
    <cellStyle name="표준 2 14" xfId="12798"/>
    <cellStyle name="표준 2 15" xfId="12799"/>
    <cellStyle name="표준 2 16" xfId="12800"/>
    <cellStyle name="표준 2 17" xfId="12801"/>
    <cellStyle name="표준 2 18" xfId="12802"/>
    <cellStyle name="표준 2 19" xfId="12803"/>
    <cellStyle name="표준 2 2" xfId="4022"/>
    <cellStyle name="표준 2 2 10" xfId="12804"/>
    <cellStyle name="표준 2 2 11" xfId="12805"/>
    <cellStyle name="표준 2 2 12" xfId="12806"/>
    <cellStyle name="표준 2 2 13" xfId="12807"/>
    <cellStyle name="표준 2 2 14" xfId="12808"/>
    <cellStyle name="표준 2 2 15" xfId="12809"/>
    <cellStyle name="표준 2 2 16" xfId="12810"/>
    <cellStyle name="표준 2 2 17" xfId="12811"/>
    <cellStyle name="표준 2 2 18" xfId="12812"/>
    <cellStyle name="표준 2 2 19" xfId="12813"/>
    <cellStyle name="표준 2 2 2" xfId="4023"/>
    <cellStyle name="표준 2 2 2 10" xfId="12814"/>
    <cellStyle name="표준 2 2 2 11" xfId="12815"/>
    <cellStyle name="표준 2 2 2 12" xfId="12816"/>
    <cellStyle name="표준 2 2 2 13" xfId="12817"/>
    <cellStyle name="표준 2 2 2 14" xfId="12818"/>
    <cellStyle name="표준 2 2 2 15" xfId="12819"/>
    <cellStyle name="표준 2 2 2 16" xfId="12820"/>
    <cellStyle name="표준 2 2 2 17" xfId="12821"/>
    <cellStyle name="표준 2 2 2 18" xfId="12822"/>
    <cellStyle name="표준 2 2 2 19" xfId="12823"/>
    <cellStyle name="표준 2 2 2 2" xfId="12824"/>
    <cellStyle name="표준 2 2 2 2 10" xfId="12825"/>
    <cellStyle name="표준 2 2 2 2 11" xfId="12826"/>
    <cellStyle name="표준 2 2 2 2 12" xfId="12827"/>
    <cellStyle name="표준 2 2 2 2 13" xfId="12828"/>
    <cellStyle name="표준 2 2 2 2 14" xfId="12829"/>
    <cellStyle name="표준 2 2 2 2 15" xfId="12830"/>
    <cellStyle name="표준 2 2 2 2 16" xfId="12831"/>
    <cellStyle name="표준 2 2 2 2 2" xfId="12832"/>
    <cellStyle name="표준 2 2 2 2 3" xfId="12833"/>
    <cellStyle name="표준 2 2 2 2 4" xfId="12834"/>
    <cellStyle name="표준 2 2 2 2 5" xfId="12835"/>
    <cellStyle name="표준 2 2 2 2 6" xfId="12836"/>
    <cellStyle name="표준 2 2 2 2 7" xfId="12837"/>
    <cellStyle name="표준 2 2 2 2 8" xfId="12838"/>
    <cellStyle name="표준 2 2 2 2 9" xfId="12839"/>
    <cellStyle name="표준 2 2 2 20" xfId="12840"/>
    <cellStyle name="표준 2 2 2 21" xfId="12841"/>
    <cellStyle name="표준 2 2 2 22" xfId="12842"/>
    <cellStyle name="표준 2 2 2 23" xfId="12843"/>
    <cellStyle name="표준 2 2 2 24" xfId="12844"/>
    <cellStyle name="표준 2 2 2 25" xfId="12845"/>
    <cellStyle name="표준 2 2 2 26" xfId="12846"/>
    <cellStyle name="표준 2 2 2 27" xfId="12847"/>
    <cellStyle name="표준 2 2 2 28" xfId="12848"/>
    <cellStyle name="표준 2 2 2 3" xfId="12849"/>
    <cellStyle name="표준 2 2 2 3 2" xfId="12850"/>
    <cellStyle name="표준 2 2 2 4" xfId="12851"/>
    <cellStyle name="표준 2 2 2 5" xfId="12852"/>
    <cellStyle name="표준 2 2 2 6" xfId="12853"/>
    <cellStyle name="표준 2 2 2 7" xfId="12854"/>
    <cellStyle name="표준 2 2 2 8" xfId="12855"/>
    <cellStyle name="표준 2 2 2 9" xfId="12856"/>
    <cellStyle name="표준 2 2 20" xfId="12857"/>
    <cellStyle name="표준 2 2 21" xfId="12858"/>
    <cellStyle name="표준 2 2 22" xfId="12859"/>
    <cellStyle name="표준 2 2 23" xfId="12860"/>
    <cellStyle name="표준 2 2 24" xfId="12861"/>
    <cellStyle name="표준 2 2 25" xfId="12862"/>
    <cellStyle name="표준 2 2 26" xfId="12863"/>
    <cellStyle name="표준 2 2 27" xfId="12864"/>
    <cellStyle name="표준 2 2 28" xfId="12865"/>
    <cellStyle name="표준 2 2 29" xfId="12866"/>
    <cellStyle name="표준 2 2 3" xfId="12867"/>
    <cellStyle name="표준 2 2 3 10" xfId="12868"/>
    <cellStyle name="표준 2 2 3 11" xfId="12869"/>
    <cellStyle name="표준 2 2 3 12" xfId="12870"/>
    <cellStyle name="표준 2 2 3 13" xfId="12871"/>
    <cellStyle name="표준 2 2 3 14" xfId="12872"/>
    <cellStyle name="표준 2 2 3 15" xfId="12873"/>
    <cellStyle name="표준 2 2 3 16" xfId="12874"/>
    <cellStyle name="표준 2 2 3 2" xfId="12875"/>
    <cellStyle name="표준 2 2 3 3" xfId="12876"/>
    <cellStyle name="표준 2 2 3 4" xfId="12877"/>
    <cellStyle name="표준 2 2 3 5" xfId="12878"/>
    <cellStyle name="표준 2 2 3 6" xfId="12879"/>
    <cellStyle name="표준 2 2 3 7" xfId="12880"/>
    <cellStyle name="표준 2 2 3 8" xfId="12881"/>
    <cellStyle name="표준 2 2 3 9" xfId="12882"/>
    <cellStyle name="표준 2 2 30" xfId="12883"/>
    <cellStyle name="표준 2 2 4" xfId="12884"/>
    <cellStyle name="표준 2 2 4 2" xfId="12885"/>
    <cellStyle name="표준 2 2 5" xfId="12886"/>
    <cellStyle name="표준 2 2 5 2" xfId="12887"/>
    <cellStyle name="표준 2 2 6" xfId="12888"/>
    <cellStyle name="표준 2 2 6 2" xfId="12889"/>
    <cellStyle name="표준 2 2 7" xfId="12890"/>
    <cellStyle name="표준 2 2 7 2" xfId="12891"/>
    <cellStyle name="표준 2 2 8" xfId="12892"/>
    <cellStyle name="표준 2 2 8 2" xfId="12893"/>
    <cellStyle name="표준 2 2 9" xfId="12894"/>
    <cellStyle name="표준 2 2 9 2" xfId="12895"/>
    <cellStyle name="표준 2 20" xfId="12896"/>
    <cellStyle name="표준 2 21" xfId="12897"/>
    <cellStyle name="표준 2 22" xfId="12898"/>
    <cellStyle name="표준 2 23" xfId="12899"/>
    <cellStyle name="표준 2 24" xfId="12900"/>
    <cellStyle name="표준 2 25" xfId="12901"/>
    <cellStyle name="표준 2 26" xfId="12902"/>
    <cellStyle name="표준 2 27" xfId="12903"/>
    <cellStyle name="표준 2 28" xfId="12904"/>
    <cellStyle name="표준 2 29" xfId="12905"/>
    <cellStyle name="표준 2 3" xfId="4024"/>
    <cellStyle name="표준 2 3 2" xfId="12906"/>
    <cellStyle name="표준 2 3 2 2" xfId="12907"/>
    <cellStyle name="표준 2 3 2 2 2" xfId="12908"/>
    <cellStyle name="표준 2 3 2 3" xfId="12909"/>
    <cellStyle name="표준 2 3 2 4" xfId="12910"/>
    <cellStyle name="표준 2 3 2 5" xfId="12911"/>
    <cellStyle name="표준 2 3 2 6" xfId="12912"/>
    <cellStyle name="표준 2 3 3" xfId="12913"/>
    <cellStyle name="표준 2 3 3 2" xfId="12914"/>
    <cellStyle name="표준 2 3 4" xfId="12915"/>
    <cellStyle name="표준 2 3 4 2" xfId="12916"/>
    <cellStyle name="표준 2 3 4 3" xfId="12917"/>
    <cellStyle name="표준 2 3 5" xfId="12918"/>
    <cellStyle name="표준 2 3 6" xfId="12919"/>
    <cellStyle name="표준 2 3 7" xfId="12920"/>
    <cellStyle name="표준 2 3 8" xfId="12921"/>
    <cellStyle name="표준 2 30" xfId="12922"/>
    <cellStyle name="표준 2 31" xfId="12923"/>
    <cellStyle name="표준 2 32" xfId="12924"/>
    <cellStyle name="표준 2 33" xfId="12925"/>
    <cellStyle name="표준 2 34" xfId="12926"/>
    <cellStyle name="표준 2 35" xfId="12927"/>
    <cellStyle name="표준 2 36" xfId="12928"/>
    <cellStyle name="표준 2 37" xfId="12929"/>
    <cellStyle name="표준 2 38" xfId="12930"/>
    <cellStyle name="표준 2 39" xfId="12931"/>
    <cellStyle name="표준 2 4" xfId="12932"/>
    <cellStyle name="표준 2 4 2" xfId="12933"/>
    <cellStyle name="표준 2 4 2 2" xfId="12934"/>
    <cellStyle name="표준 2 4 2 3" xfId="12935"/>
    <cellStyle name="표준 2 4 3" xfId="12936"/>
    <cellStyle name="표준 2 4 3 2" xfId="12937"/>
    <cellStyle name="표준 2 4 4" xfId="12938"/>
    <cellStyle name="표준 2 4 5" xfId="12939"/>
    <cellStyle name="표준 2 4 6" xfId="12940"/>
    <cellStyle name="표준 2 4 7" xfId="12941"/>
    <cellStyle name="표준 2 40" xfId="12942"/>
    <cellStyle name="표준 2 41" xfId="12943"/>
    <cellStyle name="표준 2 42" xfId="12944"/>
    <cellStyle name="표준 2 43" xfId="12945"/>
    <cellStyle name="표준 2 44" xfId="12946"/>
    <cellStyle name="표준 2 45" xfId="12947"/>
    <cellStyle name="표준 2 46" xfId="12948"/>
    <cellStyle name="표준 2 47" xfId="12949"/>
    <cellStyle name="표준 2 48" xfId="12950"/>
    <cellStyle name="표준 2 49" xfId="12951"/>
    <cellStyle name="표준 2 5" xfId="12952"/>
    <cellStyle name="표준 2 5 2" xfId="12953"/>
    <cellStyle name="표준 2 5 2 2" xfId="12954"/>
    <cellStyle name="표준 2 5 3" xfId="12955"/>
    <cellStyle name="표준 2 5 4" xfId="12956"/>
    <cellStyle name="표준 2 5 5" xfId="12957"/>
    <cellStyle name="표준 2 50" xfId="12958"/>
    <cellStyle name="표준 2 51" xfId="12959"/>
    <cellStyle name="표준 2 52" xfId="12960"/>
    <cellStyle name="표준 2 53" xfId="12961"/>
    <cellStyle name="표준 2 54" xfId="12962"/>
    <cellStyle name="표준 2 55" xfId="12963"/>
    <cellStyle name="표준 2 56" xfId="12964"/>
    <cellStyle name="표준 2 57" xfId="12965"/>
    <cellStyle name="표준 2 58" xfId="12966"/>
    <cellStyle name="표준 2 59" xfId="12967"/>
    <cellStyle name="표준 2 6" xfId="12968"/>
    <cellStyle name="표준 2 6 2" xfId="12969"/>
    <cellStyle name="표준 2 6 3" xfId="12970"/>
    <cellStyle name="표준 2 6 4" xfId="12971"/>
    <cellStyle name="표준 2 60" xfId="12972"/>
    <cellStyle name="표준 2 61" xfId="12973"/>
    <cellStyle name="표준 2 62" xfId="12974"/>
    <cellStyle name="표준 2 63" xfId="12975"/>
    <cellStyle name="표준 2 64" xfId="12976"/>
    <cellStyle name="표준 2 65" xfId="12977"/>
    <cellStyle name="표준 2 66" xfId="12978"/>
    <cellStyle name="표준 2 67" xfId="12979"/>
    <cellStyle name="표준 2 68" xfId="12980"/>
    <cellStyle name="표준 2 69" xfId="12981"/>
    <cellStyle name="표준 2 7" xfId="12982"/>
    <cellStyle name="표준 2 7 2" xfId="12983"/>
    <cellStyle name="표준 2 70" xfId="12984"/>
    <cellStyle name="표준 2 71" xfId="12985"/>
    <cellStyle name="표준 2 72" xfId="12986"/>
    <cellStyle name="표준 2 73" xfId="12987"/>
    <cellStyle name="표준 2 74" xfId="12988"/>
    <cellStyle name="표준 2 75" xfId="12989"/>
    <cellStyle name="표준 2 76" xfId="12990"/>
    <cellStyle name="표준 2 77" xfId="12991"/>
    <cellStyle name="표준 2 78" xfId="12992"/>
    <cellStyle name="표준 2 79" xfId="12993"/>
    <cellStyle name="표준 2 8" xfId="12994"/>
    <cellStyle name="표준 2 8 2" xfId="12995"/>
    <cellStyle name="표준 2 80" xfId="12996"/>
    <cellStyle name="표준 2 81" xfId="12997"/>
    <cellStyle name="표준 2 82" xfId="12998"/>
    <cellStyle name="표준 2 83" xfId="12999"/>
    <cellStyle name="표준 2 83 10" xfId="13000"/>
    <cellStyle name="표준 2 83 11" xfId="13001"/>
    <cellStyle name="표준 2 83 12" xfId="13002"/>
    <cellStyle name="표준 2 83 13" xfId="13003"/>
    <cellStyle name="표준 2 83 14" xfId="13004"/>
    <cellStyle name="표준 2 83 15" xfId="13005"/>
    <cellStyle name="표준 2 83 2" xfId="13006"/>
    <cellStyle name="표준 2 83 3" xfId="13007"/>
    <cellStyle name="표준 2 83 4" xfId="13008"/>
    <cellStyle name="표준 2 83 5" xfId="13009"/>
    <cellStyle name="표준 2 83 6" xfId="13010"/>
    <cellStyle name="표준 2 83 7" xfId="13011"/>
    <cellStyle name="표준 2 83 8" xfId="13012"/>
    <cellStyle name="표준 2 83 9" xfId="13013"/>
    <cellStyle name="표준 2 84" xfId="13014"/>
    <cellStyle name="표준 2 85" xfId="13015"/>
    <cellStyle name="표준 2 86" xfId="13016"/>
    <cellStyle name="표준 2 87" xfId="13017"/>
    <cellStyle name="표준 2 88" xfId="13018"/>
    <cellStyle name="표준 2 89" xfId="13019"/>
    <cellStyle name="표준 2 9" xfId="13020"/>
    <cellStyle name="표준 2 9 2" xfId="13021"/>
    <cellStyle name="표준 2 90" xfId="13022"/>
    <cellStyle name="표준 2 91" xfId="13023"/>
    <cellStyle name="표준 2 92" xfId="13024"/>
    <cellStyle name="표준 2 93" xfId="13025"/>
    <cellStyle name="표준 2 94" xfId="13026"/>
    <cellStyle name="표준 2 95" xfId="13027"/>
    <cellStyle name="표준 2 96" xfId="13028"/>
    <cellStyle name="표준 2 97" xfId="13029"/>
    <cellStyle name="표준 2 98" xfId="13030"/>
    <cellStyle name="표준 2 99" xfId="13031"/>
    <cellStyle name="표준 2_대우견적서(VW1)(1)" xfId="4025"/>
    <cellStyle name="표준 20" xfId="4026"/>
    <cellStyle name="표준 20 10" xfId="13032"/>
    <cellStyle name="표준 20 11" xfId="13033"/>
    <cellStyle name="표준 20 12" xfId="13034"/>
    <cellStyle name="표준 20 13" xfId="13035"/>
    <cellStyle name="표준 20 14" xfId="13036"/>
    <cellStyle name="표준 20 15" xfId="13037"/>
    <cellStyle name="표준 20 2" xfId="4027"/>
    <cellStyle name="표준 20 2 2" xfId="4028"/>
    <cellStyle name="표준 20 2 2 2" xfId="4029"/>
    <cellStyle name="표준 20 2 2 3" xfId="13038"/>
    <cellStyle name="표준 20 2 3" xfId="4030"/>
    <cellStyle name="표준 20 2 4" xfId="4031"/>
    <cellStyle name="표준 20 2 5" xfId="13039"/>
    <cellStyle name="표준 20 3" xfId="4032"/>
    <cellStyle name="표준 20 3 2" xfId="4033"/>
    <cellStyle name="표준 20 3 3" xfId="13040"/>
    <cellStyle name="표준 20 4" xfId="4034"/>
    <cellStyle name="표준 20 4 2" xfId="13041"/>
    <cellStyle name="표준 20 5" xfId="4035"/>
    <cellStyle name="표준 20 5 2" xfId="13042"/>
    <cellStyle name="표준 20 6" xfId="13043"/>
    <cellStyle name="표준 20 7" xfId="13044"/>
    <cellStyle name="표준 20 8" xfId="13045"/>
    <cellStyle name="표준 20 9" xfId="13046"/>
    <cellStyle name="표준 21" xfId="4036"/>
    <cellStyle name="표준 21 10" xfId="13047"/>
    <cellStyle name="표준 21 11" xfId="13048"/>
    <cellStyle name="표준 21 12" xfId="13049"/>
    <cellStyle name="표준 21 13" xfId="13050"/>
    <cellStyle name="표준 21 14" xfId="13051"/>
    <cellStyle name="표준 21 15" xfId="13052"/>
    <cellStyle name="표준 21 2" xfId="4037"/>
    <cellStyle name="표준 21 2 2" xfId="4038"/>
    <cellStyle name="표준 21 2 2 2" xfId="13053"/>
    <cellStyle name="표준 21 2 3" xfId="4039"/>
    <cellStyle name="표준 21 2 4" xfId="13054"/>
    <cellStyle name="표준 21 3" xfId="4040"/>
    <cellStyle name="표준 21 3 2" xfId="13055"/>
    <cellStyle name="표준 21 4" xfId="4041"/>
    <cellStyle name="표준 21 4 2" xfId="13056"/>
    <cellStyle name="표준 21 5" xfId="13057"/>
    <cellStyle name="표준 21 6" xfId="13058"/>
    <cellStyle name="표준 21 7" xfId="13059"/>
    <cellStyle name="표준 21 8" xfId="13060"/>
    <cellStyle name="표준 21 9" xfId="13061"/>
    <cellStyle name="표준 22" xfId="4042"/>
    <cellStyle name="표준 22 10" xfId="13062"/>
    <cellStyle name="표준 22 11" xfId="13063"/>
    <cellStyle name="표준 22 12" xfId="13064"/>
    <cellStyle name="표준 22 13" xfId="13065"/>
    <cellStyle name="표준 22 14" xfId="13066"/>
    <cellStyle name="표준 22 15" xfId="13067"/>
    <cellStyle name="표준 22 2" xfId="4043"/>
    <cellStyle name="표준 22 2 2" xfId="4044"/>
    <cellStyle name="표준 22 2 2 2" xfId="13068"/>
    <cellStyle name="표준 22 2 3" xfId="4045"/>
    <cellStyle name="표준 22 2 4" xfId="13069"/>
    <cellStyle name="표준 22 3" xfId="4046"/>
    <cellStyle name="표준 22 3 2" xfId="13070"/>
    <cellStyle name="표준 22 4" xfId="4047"/>
    <cellStyle name="표준 22 4 2" xfId="13071"/>
    <cellStyle name="표준 22 5" xfId="13072"/>
    <cellStyle name="표준 22 6" xfId="13073"/>
    <cellStyle name="표준 22 7" xfId="13074"/>
    <cellStyle name="표준 22 8" xfId="13075"/>
    <cellStyle name="표준 22 9" xfId="13076"/>
    <cellStyle name="표준 23" xfId="4048"/>
    <cellStyle name="표준 23 10" xfId="13077"/>
    <cellStyle name="표준 23 11" xfId="13078"/>
    <cellStyle name="표준 23 12" xfId="13079"/>
    <cellStyle name="표준 23 13" xfId="13080"/>
    <cellStyle name="표준 23 14" xfId="13081"/>
    <cellStyle name="표준 23 15" xfId="13082"/>
    <cellStyle name="표준 23 2" xfId="13083"/>
    <cellStyle name="표준 23 2 2" xfId="13084"/>
    <cellStyle name="표준 23 3" xfId="13085"/>
    <cellStyle name="표준 23 4" xfId="13086"/>
    <cellStyle name="표준 23 5" xfId="13087"/>
    <cellStyle name="표준 23 6" xfId="13088"/>
    <cellStyle name="표준 23 7" xfId="13089"/>
    <cellStyle name="표준 23 8" xfId="13090"/>
    <cellStyle name="표준 23 9" xfId="13091"/>
    <cellStyle name="표준 24" xfId="4049"/>
    <cellStyle name="표준 24 10" xfId="13092"/>
    <cellStyle name="표준 24 11" xfId="13093"/>
    <cellStyle name="표준 24 12" xfId="13094"/>
    <cellStyle name="표준 24 13" xfId="13095"/>
    <cellStyle name="표준 24 14" xfId="13096"/>
    <cellStyle name="표준 24 15" xfId="13097"/>
    <cellStyle name="표준 24 2" xfId="4050"/>
    <cellStyle name="표준 24 2 2" xfId="13098"/>
    <cellStyle name="표준 24 2 3" xfId="13099"/>
    <cellStyle name="표준 24 3" xfId="4051"/>
    <cellStyle name="표준 24 3 2" xfId="13100"/>
    <cellStyle name="표준 24 4" xfId="13101"/>
    <cellStyle name="표준 24 5" xfId="13102"/>
    <cellStyle name="표준 24 6" xfId="13103"/>
    <cellStyle name="표준 24 7" xfId="13104"/>
    <cellStyle name="표준 24 8" xfId="13105"/>
    <cellStyle name="표준 24 9" xfId="13106"/>
    <cellStyle name="표준 25" xfId="4052"/>
    <cellStyle name="표준 25 10" xfId="13107"/>
    <cellStyle name="표준 25 11" xfId="13108"/>
    <cellStyle name="표준 25 12" xfId="13109"/>
    <cellStyle name="표준 25 13" xfId="13110"/>
    <cellStyle name="표준 25 14" xfId="13111"/>
    <cellStyle name="표준 25 15" xfId="13112"/>
    <cellStyle name="표준 25 2" xfId="4053"/>
    <cellStyle name="표준 25 2 2" xfId="13113"/>
    <cellStyle name="표준 25 2 3" xfId="13114"/>
    <cellStyle name="표준 25 3" xfId="4054"/>
    <cellStyle name="표준 25 3 2" xfId="13115"/>
    <cellStyle name="표준 25 4" xfId="13116"/>
    <cellStyle name="표준 25 5" xfId="13117"/>
    <cellStyle name="표준 25 6" xfId="13118"/>
    <cellStyle name="표준 25 7" xfId="13119"/>
    <cellStyle name="표준 25 8" xfId="13120"/>
    <cellStyle name="표준 25 9" xfId="13121"/>
    <cellStyle name="표준 26" xfId="4055"/>
    <cellStyle name="표준 26 10" xfId="13122"/>
    <cellStyle name="표준 26 11" xfId="13123"/>
    <cellStyle name="표준 26 12" xfId="13124"/>
    <cellStyle name="표준 26 13" xfId="13125"/>
    <cellStyle name="표준 26 14" xfId="13126"/>
    <cellStyle name="표준 26 15" xfId="13127"/>
    <cellStyle name="표준 26 2" xfId="4056"/>
    <cellStyle name="표준 26 2 2" xfId="13128"/>
    <cellStyle name="표준 26 2 3" xfId="13129"/>
    <cellStyle name="표준 26 3" xfId="4057"/>
    <cellStyle name="표준 26 3 2" xfId="13130"/>
    <cellStyle name="표준 26 4" xfId="13131"/>
    <cellStyle name="표준 26 5" xfId="13132"/>
    <cellStyle name="표준 26 6" xfId="13133"/>
    <cellStyle name="표준 26 7" xfId="13134"/>
    <cellStyle name="표준 26 8" xfId="13135"/>
    <cellStyle name="표준 26 9" xfId="13136"/>
    <cellStyle name="표준 27" xfId="4058"/>
    <cellStyle name="표준 27 10" xfId="13137"/>
    <cellStyle name="표준 27 11" xfId="13138"/>
    <cellStyle name="표준 27 12" xfId="13139"/>
    <cellStyle name="표준 27 13" xfId="13140"/>
    <cellStyle name="표준 27 14" xfId="13141"/>
    <cellStyle name="표준 27 15" xfId="13142"/>
    <cellStyle name="표준 27 2" xfId="4059"/>
    <cellStyle name="표준 27 2 2" xfId="13143"/>
    <cellStyle name="표준 27 2 3" xfId="13144"/>
    <cellStyle name="표준 27 3" xfId="4060"/>
    <cellStyle name="표준 27 3 2" xfId="13145"/>
    <cellStyle name="표준 27 4" xfId="13146"/>
    <cellStyle name="표준 27 5" xfId="13147"/>
    <cellStyle name="표준 27 6" xfId="13148"/>
    <cellStyle name="표준 27 7" xfId="13149"/>
    <cellStyle name="표준 27 8" xfId="13150"/>
    <cellStyle name="표준 27 9" xfId="13151"/>
    <cellStyle name="표준 28" xfId="4061"/>
    <cellStyle name="표준 28 10" xfId="13152"/>
    <cellStyle name="표준 28 11" xfId="13153"/>
    <cellStyle name="표준 28 12" xfId="13154"/>
    <cellStyle name="표준 28 13" xfId="13155"/>
    <cellStyle name="표준 28 14" xfId="13156"/>
    <cellStyle name="표준 28 15" xfId="13157"/>
    <cellStyle name="표준 28 2" xfId="4062"/>
    <cellStyle name="표준 28 2 2" xfId="13158"/>
    <cellStyle name="표준 28 2 3" xfId="13159"/>
    <cellStyle name="표준 28 3" xfId="4063"/>
    <cellStyle name="표준 28 3 2" xfId="13160"/>
    <cellStyle name="표준 28 4" xfId="13161"/>
    <cellStyle name="표준 28 5" xfId="13162"/>
    <cellStyle name="표준 28 6" xfId="13163"/>
    <cellStyle name="표준 28 7" xfId="13164"/>
    <cellStyle name="표준 28 8" xfId="13165"/>
    <cellStyle name="표준 28 9" xfId="13166"/>
    <cellStyle name="표준 29" xfId="4064"/>
    <cellStyle name="표준 29 10" xfId="13167"/>
    <cellStyle name="표준 29 11" xfId="13168"/>
    <cellStyle name="표준 29 12" xfId="13169"/>
    <cellStyle name="표준 29 13" xfId="13170"/>
    <cellStyle name="표준 29 14" xfId="13171"/>
    <cellStyle name="표준 29 15" xfId="13172"/>
    <cellStyle name="표준 29 2" xfId="4065"/>
    <cellStyle name="표준 29 2 2" xfId="13173"/>
    <cellStyle name="표준 29 2 3" xfId="13174"/>
    <cellStyle name="표준 29 3" xfId="4066"/>
    <cellStyle name="표준 29 3 2" xfId="13175"/>
    <cellStyle name="표준 29 4" xfId="13176"/>
    <cellStyle name="표준 29 5" xfId="13177"/>
    <cellStyle name="표준 29 6" xfId="13178"/>
    <cellStyle name="표준 29 7" xfId="13179"/>
    <cellStyle name="표준 29 8" xfId="13180"/>
    <cellStyle name="표준 29 9" xfId="13181"/>
    <cellStyle name="표준 3" xfId="4067"/>
    <cellStyle name="표준 3 10" xfId="13182"/>
    <cellStyle name="표준 3 11" xfId="13183"/>
    <cellStyle name="표준 3 12" xfId="13184"/>
    <cellStyle name="표준 3 13" xfId="13185"/>
    <cellStyle name="표준 3 14" xfId="13186"/>
    <cellStyle name="표준 3 15" xfId="13187"/>
    <cellStyle name="표준 3 16" xfId="13188"/>
    <cellStyle name="표준 3 17" xfId="13189"/>
    <cellStyle name="표준 3 18" xfId="13190"/>
    <cellStyle name="표준 3 19" xfId="13191"/>
    <cellStyle name="표준 3 2" xfId="4068"/>
    <cellStyle name="표준 3 2 2" xfId="4069"/>
    <cellStyle name="표준 3 2 2 2" xfId="4070"/>
    <cellStyle name="표준 3 2 2 2 2" xfId="13192"/>
    <cellStyle name="표준 3 2 2 3" xfId="4071"/>
    <cellStyle name="표준 3 2 2 3 2" xfId="13193"/>
    <cellStyle name="표준 3 2 3" xfId="4072"/>
    <cellStyle name="표준 3 2 3 2" xfId="4073"/>
    <cellStyle name="표준 3 2 3 3" xfId="4074"/>
    <cellStyle name="표준 3 2 3 4" xfId="13194"/>
    <cellStyle name="표준 3 2 4" xfId="4075"/>
    <cellStyle name="표준 3 2 4 2" xfId="13195"/>
    <cellStyle name="표준 3 2 5" xfId="4076"/>
    <cellStyle name="표준 3 2 6" xfId="13196"/>
    <cellStyle name="표준 3 2 7" xfId="13197"/>
    <cellStyle name="표준 3 20" xfId="42796"/>
    <cellStyle name="표준 3 3" xfId="4077"/>
    <cellStyle name="표준 3 3 2" xfId="4078"/>
    <cellStyle name="표준 3 3 2 2" xfId="4079"/>
    <cellStyle name="표준 3 3 2 2 2" xfId="13198"/>
    <cellStyle name="표준 3 3 2 3" xfId="4080"/>
    <cellStyle name="표준 3 3 2 3 2" xfId="13199"/>
    <cellStyle name="표준 3 3 2 4" xfId="13200"/>
    <cellStyle name="표준 3 3 2 5" xfId="13201"/>
    <cellStyle name="표준 3 3 3" xfId="4081"/>
    <cellStyle name="표준 3 3 3 2" xfId="4082"/>
    <cellStyle name="표준 3 3 3 2 2" xfId="13202"/>
    <cellStyle name="표준 3 3 3 3" xfId="4083"/>
    <cellStyle name="표준 3 3 3 4" xfId="13203"/>
    <cellStyle name="표준 3 3 4" xfId="4084"/>
    <cellStyle name="표준 3 3 4 2" xfId="13204"/>
    <cellStyle name="표준 3 3 5" xfId="4085"/>
    <cellStyle name="표준 3 3 5 2" xfId="13205"/>
    <cellStyle name="표준 3 3 6" xfId="13206"/>
    <cellStyle name="표준 3 3 7" xfId="13207"/>
    <cellStyle name="표준 3 4" xfId="4086"/>
    <cellStyle name="표준 3 4 2" xfId="13208"/>
    <cellStyle name="표준 3 4 2 2" xfId="13209"/>
    <cellStyle name="표준 3 4 2 3" xfId="13210"/>
    <cellStyle name="표준 3 4 2 4" xfId="13211"/>
    <cellStyle name="표준 3 4 3" xfId="13212"/>
    <cellStyle name="표준 3 4 3 2" xfId="13213"/>
    <cellStyle name="표준 3 4 4" xfId="13214"/>
    <cellStyle name="표준 3 4 5" xfId="13215"/>
    <cellStyle name="표준 3 4 6" xfId="13216"/>
    <cellStyle name="표준 3 5" xfId="4087"/>
    <cellStyle name="표준 3 5 2" xfId="4088"/>
    <cellStyle name="표준 3 5 2 2" xfId="13217"/>
    <cellStyle name="표준 3 5 2 3" xfId="13218"/>
    <cellStyle name="표준 3 5 3" xfId="4089"/>
    <cellStyle name="표준 3 5 3 2" xfId="13219"/>
    <cellStyle name="표준 3 5 3 3" xfId="13220"/>
    <cellStyle name="표준 3 5 4" xfId="13221"/>
    <cellStyle name="표준 3 5 5" xfId="13222"/>
    <cellStyle name="표준 3 6" xfId="4090"/>
    <cellStyle name="표준 3 6 2" xfId="4091"/>
    <cellStyle name="표준 3 6 2 2" xfId="13223"/>
    <cellStyle name="표준 3 6 3" xfId="4092"/>
    <cellStyle name="표준 3 6 3 2" xfId="13224"/>
    <cellStyle name="표준 3 6 4" xfId="13225"/>
    <cellStyle name="표준 3 7" xfId="4093"/>
    <cellStyle name="표준 3 7 2" xfId="13226"/>
    <cellStyle name="표준 3 7 3" xfId="13227"/>
    <cellStyle name="표준 3 7 4" xfId="13228"/>
    <cellStyle name="표준 3 8" xfId="4094"/>
    <cellStyle name="표준 3 8 2" xfId="13229"/>
    <cellStyle name="표준 3 8 3" xfId="13230"/>
    <cellStyle name="표준 3 9" xfId="13231"/>
    <cellStyle name="표준 3 9 2" xfId="13232"/>
    <cellStyle name="표준 30" xfId="4095"/>
    <cellStyle name="표준 30 10" xfId="13233"/>
    <cellStyle name="표준 30 11" xfId="13234"/>
    <cellStyle name="표준 30 12" xfId="13235"/>
    <cellStyle name="표준 30 13" xfId="13236"/>
    <cellStyle name="표준 30 14" xfId="13237"/>
    <cellStyle name="표준 30 15" xfId="13238"/>
    <cellStyle name="표준 30 2" xfId="4096"/>
    <cellStyle name="표준 30 2 2" xfId="13239"/>
    <cellStyle name="표준 30 2 3" xfId="13240"/>
    <cellStyle name="표준 30 3" xfId="4097"/>
    <cellStyle name="표준 30 3 2" xfId="13241"/>
    <cellStyle name="표준 30 4" xfId="13242"/>
    <cellStyle name="표준 30 5" xfId="13243"/>
    <cellStyle name="표준 30 6" xfId="13244"/>
    <cellStyle name="표준 30 7" xfId="13245"/>
    <cellStyle name="표준 30 8" xfId="13246"/>
    <cellStyle name="표준 30 9" xfId="13247"/>
    <cellStyle name="표준 31" xfId="4098"/>
    <cellStyle name="표준 31 10" xfId="13248"/>
    <cellStyle name="표준 31 11" xfId="13249"/>
    <cellStyle name="표준 31 12" xfId="13250"/>
    <cellStyle name="표준 31 13" xfId="13251"/>
    <cellStyle name="표준 31 14" xfId="13252"/>
    <cellStyle name="표준 31 15" xfId="13253"/>
    <cellStyle name="표준 31 2" xfId="4099"/>
    <cellStyle name="표준 31 2 2" xfId="13254"/>
    <cellStyle name="표준 31 2 3" xfId="13255"/>
    <cellStyle name="표준 31 3" xfId="4100"/>
    <cellStyle name="표준 31 3 2" xfId="13256"/>
    <cellStyle name="표준 31 4" xfId="13257"/>
    <cellStyle name="표준 31 5" xfId="13258"/>
    <cellStyle name="표준 31 6" xfId="13259"/>
    <cellStyle name="표준 31 7" xfId="13260"/>
    <cellStyle name="표준 31 8" xfId="13261"/>
    <cellStyle name="표준 31 9" xfId="13262"/>
    <cellStyle name="표준 32" xfId="12"/>
    <cellStyle name="표준 32 10" xfId="13263"/>
    <cellStyle name="표준 32 11" xfId="13264"/>
    <cellStyle name="표준 32 12" xfId="13265"/>
    <cellStyle name="표준 32 13" xfId="13266"/>
    <cellStyle name="표준 32 14" xfId="13267"/>
    <cellStyle name="표준 32 15" xfId="13268"/>
    <cellStyle name="표준 32 2" xfId="4101"/>
    <cellStyle name="표준 32 2 2" xfId="13269"/>
    <cellStyle name="표준 32 2 3" xfId="13270"/>
    <cellStyle name="표준 32 3" xfId="13271"/>
    <cellStyle name="표준 32 4" xfId="13272"/>
    <cellStyle name="표준 32 5" xfId="13273"/>
    <cellStyle name="표준 32 6" xfId="13274"/>
    <cellStyle name="표준 32 7" xfId="13275"/>
    <cellStyle name="표준 32 8" xfId="13276"/>
    <cellStyle name="표준 32 9" xfId="13277"/>
    <cellStyle name="표준 33" xfId="4102"/>
    <cellStyle name="표준 33 10" xfId="13278"/>
    <cellStyle name="표준 33 10 2" xfId="13279"/>
    <cellStyle name="표준 33 11" xfId="13280"/>
    <cellStyle name="표준 33 11 2" xfId="13281"/>
    <cellStyle name="표준 33 12" xfId="13282"/>
    <cellStyle name="표준 33 13" xfId="13283"/>
    <cellStyle name="표준 33 14" xfId="13284"/>
    <cellStyle name="표준 33 2" xfId="13285"/>
    <cellStyle name="표준 33 2 2" xfId="13286"/>
    <cellStyle name="표준 33 2 3" xfId="13287"/>
    <cellStyle name="표준 33 3" xfId="13288"/>
    <cellStyle name="표준 33 3 10" xfId="13289"/>
    <cellStyle name="표준 33 3 2" xfId="13290"/>
    <cellStyle name="표준 33 3 2 2" xfId="13291"/>
    <cellStyle name="표준 33 3 2 2 2" xfId="13292"/>
    <cellStyle name="표준 33 3 2 2 2 2" xfId="13293"/>
    <cellStyle name="표준 33 3 2 2 2 2 2" xfId="13294"/>
    <cellStyle name="표준 33 3 2 2 2 3" xfId="13295"/>
    <cellStyle name="표준 33 3 2 2 2 4" xfId="13296"/>
    <cellStyle name="표준 33 3 2 2 3" xfId="13297"/>
    <cellStyle name="표준 33 3 2 2 3 2" xfId="13298"/>
    <cellStyle name="표준 33 3 2 2 4" xfId="13299"/>
    <cellStyle name="표준 33 3 2 2 5" xfId="13300"/>
    <cellStyle name="표준 33 3 2 3" xfId="13301"/>
    <cellStyle name="표준 33 3 2 3 2" xfId="13302"/>
    <cellStyle name="표준 33 3 2 3 2 2" xfId="13303"/>
    <cellStyle name="표준 33 3 2 3 2 2 2" xfId="13304"/>
    <cellStyle name="표준 33 3 2 3 2 3" xfId="13305"/>
    <cellStyle name="표준 33 3 2 3 2 4" xfId="13306"/>
    <cellStyle name="표준 33 3 2 3 3" xfId="13307"/>
    <cellStyle name="표준 33 3 2 3 3 2" xfId="13308"/>
    <cellStyle name="표준 33 3 2 3 4" xfId="13309"/>
    <cellStyle name="표준 33 3 2 3 5" xfId="13310"/>
    <cellStyle name="표준 33 3 2 4" xfId="13311"/>
    <cellStyle name="표준 33 3 2 4 2" xfId="13312"/>
    <cellStyle name="표준 33 3 2 4 2 2" xfId="13313"/>
    <cellStyle name="표준 33 3 2 4 3" xfId="13314"/>
    <cellStyle name="표준 33 3 2 4 4" xfId="13315"/>
    <cellStyle name="표준 33 3 2 5" xfId="13316"/>
    <cellStyle name="표준 33 3 2 5 2" xfId="13317"/>
    <cellStyle name="표준 33 3 2 6" xfId="13318"/>
    <cellStyle name="표준 33 3 2 7" xfId="13319"/>
    <cellStyle name="표준 33 3 3" xfId="13320"/>
    <cellStyle name="표준 33 3 3 2" xfId="13321"/>
    <cellStyle name="표준 33 3 3 2 2" xfId="13322"/>
    <cellStyle name="표준 33 3 3 2 2 2" xfId="13323"/>
    <cellStyle name="표준 33 3 3 2 2 2 2" xfId="13324"/>
    <cellStyle name="표준 33 3 3 2 2 3" xfId="13325"/>
    <cellStyle name="표준 33 3 3 2 2 4" xfId="13326"/>
    <cellStyle name="표준 33 3 3 2 3" xfId="13327"/>
    <cellStyle name="표준 33 3 3 2 3 2" xfId="13328"/>
    <cellStyle name="표준 33 3 3 2 4" xfId="13329"/>
    <cellStyle name="표준 33 3 3 2 5" xfId="13330"/>
    <cellStyle name="표준 33 3 3 3" xfId="13331"/>
    <cellStyle name="표준 33 3 3 3 2" xfId="13332"/>
    <cellStyle name="표준 33 3 3 3 2 2" xfId="13333"/>
    <cellStyle name="표준 33 3 3 3 2 2 2" xfId="13334"/>
    <cellStyle name="표준 33 3 3 3 2 3" xfId="13335"/>
    <cellStyle name="표준 33 3 3 3 2 4" xfId="13336"/>
    <cellStyle name="표준 33 3 3 3 3" xfId="13337"/>
    <cellStyle name="표준 33 3 3 3 3 2" xfId="13338"/>
    <cellStyle name="표준 33 3 3 3 4" xfId="13339"/>
    <cellStyle name="표준 33 3 3 3 5" xfId="13340"/>
    <cellStyle name="표준 33 3 3 4" xfId="13341"/>
    <cellStyle name="표준 33 3 3 4 2" xfId="13342"/>
    <cellStyle name="표준 33 3 3 4 2 2" xfId="13343"/>
    <cellStyle name="표준 33 3 3 4 3" xfId="13344"/>
    <cellStyle name="표준 33 3 3 4 4" xfId="13345"/>
    <cellStyle name="표준 33 3 3 5" xfId="13346"/>
    <cellStyle name="표준 33 3 3 5 2" xfId="13347"/>
    <cellStyle name="표준 33 3 3 6" xfId="13348"/>
    <cellStyle name="표준 33 3 3 7" xfId="13349"/>
    <cellStyle name="표준 33 3 4" xfId="13350"/>
    <cellStyle name="표준 33 3 4 2" xfId="13351"/>
    <cellStyle name="표준 33 3 4 2 2" xfId="13352"/>
    <cellStyle name="표준 33 3 4 2 2 2" xfId="13353"/>
    <cellStyle name="표준 33 3 4 2 3" xfId="13354"/>
    <cellStyle name="표준 33 3 4 2 4" xfId="13355"/>
    <cellStyle name="표준 33 3 4 3" xfId="13356"/>
    <cellStyle name="표준 33 3 4 3 2" xfId="13357"/>
    <cellStyle name="표준 33 3 4 4" xfId="13358"/>
    <cellStyle name="표준 33 3 4 5" xfId="13359"/>
    <cellStyle name="표준 33 3 5" xfId="13360"/>
    <cellStyle name="표준 33 3 5 2" xfId="13361"/>
    <cellStyle name="표준 33 3 5 2 2" xfId="13362"/>
    <cellStyle name="표준 33 3 5 2 2 2" xfId="13363"/>
    <cellStyle name="표준 33 3 5 2 3" xfId="13364"/>
    <cellStyle name="표준 33 3 5 2 4" xfId="13365"/>
    <cellStyle name="표준 33 3 5 3" xfId="13366"/>
    <cellStyle name="표준 33 3 5 3 2" xfId="13367"/>
    <cellStyle name="표준 33 3 5 4" xfId="13368"/>
    <cellStyle name="표준 33 3 5 5" xfId="13369"/>
    <cellStyle name="표준 33 3 6" xfId="13370"/>
    <cellStyle name="표준 33 3 6 2" xfId="13371"/>
    <cellStyle name="표준 33 3 6 2 2" xfId="13372"/>
    <cellStyle name="표준 33 3 6 3" xfId="13373"/>
    <cellStyle name="표준 33 3 6 4" xfId="13374"/>
    <cellStyle name="표준 33 3 7" xfId="13375"/>
    <cellStyle name="표준 33 3 7 2" xfId="13376"/>
    <cellStyle name="표준 33 3 8" xfId="13377"/>
    <cellStyle name="표준 33 3 9" xfId="13378"/>
    <cellStyle name="표준 33 4" xfId="13379"/>
    <cellStyle name="표준 33 4 2" xfId="13380"/>
    <cellStyle name="표준 33 4 2 2" xfId="13381"/>
    <cellStyle name="표준 33 4 2 2 2" xfId="13382"/>
    <cellStyle name="표준 33 4 2 2 2 2" xfId="13383"/>
    <cellStyle name="표준 33 4 2 2 3" xfId="13384"/>
    <cellStyle name="표준 33 4 2 2 4" xfId="13385"/>
    <cellStyle name="표준 33 4 2 3" xfId="13386"/>
    <cellStyle name="표준 33 4 2 3 2" xfId="13387"/>
    <cellStyle name="표준 33 4 2 4" xfId="13388"/>
    <cellStyle name="표준 33 4 2 5" xfId="13389"/>
    <cellStyle name="표준 33 4 3" xfId="13390"/>
    <cellStyle name="표준 33 4 3 2" xfId="13391"/>
    <cellStyle name="표준 33 4 3 2 2" xfId="13392"/>
    <cellStyle name="표준 33 4 3 2 2 2" xfId="13393"/>
    <cellStyle name="표준 33 4 3 2 3" xfId="13394"/>
    <cellStyle name="표준 33 4 3 2 4" xfId="13395"/>
    <cellStyle name="표준 33 4 3 3" xfId="13396"/>
    <cellStyle name="표준 33 4 3 3 2" xfId="13397"/>
    <cellStyle name="표준 33 4 3 4" xfId="13398"/>
    <cellStyle name="표준 33 4 3 5" xfId="13399"/>
    <cellStyle name="표준 33 4 4" xfId="13400"/>
    <cellStyle name="표준 33 4 4 2" xfId="13401"/>
    <cellStyle name="표준 33 4 4 2 2" xfId="13402"/>
    <cellStyle name="표준 33 4 4 3" xfId="13403"/>
    <cellStyle name="표준 33 4 4 4" xfId="13404"/>
    <cellStyle name="표준 33 4 5" xfId="13405"/>
    <cellStyle name="표준 33 4 5 2" xfId="13406"/>
    <cellStyle name="표준 33 4 6" xfId="13407"/>
    <cellStyle name="표준 33 4 7" xfId="13408"/>
    <cellStyle name="표준 33 4 8" xfId="13409"/>
    <cellStyle name="표준 33 5" xfId="13410"/>
    <cellStyle name="표준 33 5 2" xfId="13411"/>
    <cellStyle name="표준 33 5 2 2" xfId="13412"/>
    <cellStyle name="표준 33 5 2 2 2" xfId="13413"/>
    <cellStyle name="표준 33 5 2 2 2 2" xfId="13414"/>
    <cellStyle name="표준 33 5 2 2 3" xfId="13415"/>
    <cellStyle name="표준 33 5 2 2 4" xfId="13416"/>
    <cellStyle name="표준 33 5 2 3" xfId="13417"/>
    <cellStyle name="표준 33 5 2 3 2" xfId="13418"/>
    <cellStyle name="표준 33 5 2 4" xfId="13419"/>
    <cellStyle name="표준 33 5 2 5" xfId="13420"/>
    <cellStyle name="표준 33 5 3" xfId="13421"/>
    <cellStyle name="표준 33 5 3 2" xfId="13422"/>
    <cellStyle name="표준 33 5 3 2 2" xfId="13423"/>
    <cellStyle name="표준 33 5 3 2 2 2" xfId="13424"/>
    <cellStyle name="표준 33 5 3 2 3" xfId="13425"/>
    <cellStyle name="표준 33 5 3 2 4" xfId="13426"/>
    <cellStyle name="표준 33 5 3 3" xfId="13427"/>
    <cellStyle name="표준 33 5 3 3 2" xfId="13428"/>
    <cellStyle name="표준 33 5 3 4" xfId="13429"/>
    <cellStyle name="표준 33 5 3 5" xfId="13430"/>
    <cellStyle name="표준 33 5 4" xfId="13431"/>
    <cellStyle name="표준 33 5 4 2" xfId="13432"/>
    <cellStyle name="표준 33 5 4 2 2" xfId="13433"/>
    <cellStyle name="표준 33 5 4 3" xfId="13434"/>
    <cellStyle name="표준 33 5 4 4" xfId="13435"/>
    <cellStyle name="표준 33 5 5" xfId="13436"/>
    <cellStyle name="표준 33 5 5 2" xfId="13437"/>
    <cellStyle name="표준 33 5 6" xfId="13438"/>
    <cellStyle name="표준 33 5 7" xfId="13439"/>
    <cellStyle name="표준 33 5 8" xfId="13440"/>
    <cellStyle name="표준 33 6" xfId="13441"/>
    <cellStyle name="표준 33 6 2" xfId="13442"/>
    <cellStyle name="표준 33 6 2 2" xfId="13443"/>
    <cellStyle name="표준 33 6 2 2 2" xfId="13444"/>
    <cellStyle name="표준 33 6 2 3" xfId="13445"/>
    <cellStyle name="표준 33 6 2 4" xfId="13446"/>
    <cellStyle name="표준 33 6 3" xfId="13447"/>
    <cellStyle name="표준 33 6 3 2" xfId="13448"/>
    <cellStyle name="표준 33 6 4" xfId="13449"/>
    <cellStyle name="표준 33 6 5" xfId="13450"/>
    <cellStyle name="표준 33 6 6" xfId="13451"/>
    <cellStyle name="표준 33 7" xfId="13452"/>
    <cellStyle name="표준 33 7 2" xfId="13453"/>
    <cellStyle name="표준 33 7 2 2" xfId="13454"/>
    <cellStyle name="표준 33 7 2 2 2" xfId="13455"/>
    <cellStyle name="표준 33 7 2 3" xfId="13456"/>
    <cellStyle name="표준 33 7 2 4" xfId="13457"/>
    <cellStyle name="표준 33 7 3" xfId="13458"/>
    <cellStyle name="표준 33 7 3 2" xfId="13459"/>
    <cellStyle name="표준 33 7 4" xfId="13460"/>
    <cellStyle name="표준 33 7 5" xfId="13461"/>
    <cellStyle name="표준 33 7 6" xfId="13462"/>
    <cellStyle name="표준 33 8" xfId="13463"/>
    <cellStyle name="표준 33 8 2" xfId="13464"/>
    <cellStyle name="표준 33 8 2 2" xfId="13465"/>
    <cellStyle name="표준 33 8 3" xfId="13466"/>
    <cellStyle name="표준 33 8 4" xfId="13467"/>
    <cellStyle name="표준 33 8 5" xfId="13468"/>
    <cellStyle name="표준 33 9" xfId="13469"/>
    <cellStyle name="표준 33 9 2" xfId="13470"/>
    <cellStyle name="표준 33 9 3" xfId="13471"/>
    <cellStyle name="표준 34" xfId="4103"/>
    <cellStyle name="표준 34 10" xfId="13472"/>
    <cellStyle name="표준 34 10 2" xfId="13473"/>
    <cellStyle name="표준 34 11" xfId="13474"/>
    <cellStyle name="표준 34 11 2" xfId="13475"/>
    <cellStyle name="표준 34 12" xfId="13476"/>
    <cellStyle name="표준 34 13" xfId="13477"/>
    <cellStyle name="표준 34 14" xfId="13478"/>
    <cellStyle name="표준 34 2" xfId="13479"/>
    <cellStyle name="표준 34 2 10" xfId="13480"/>
    <cellStyle name="표준 34 2 11" xfId="13481"/>
    <cellStyle name="표준 34 2 2" xfId="13482"/>
    <cellStyle name="표준 34 2 2 2" xfId="13483"/>
    <cellStyle name="표준 34 2 2 2 2" xfId="13484"/>
    <cellStyle name="표준 34 2 2 2 2 2" xfId="13485"/>
    <cellStyle name="표준 34 2 2 2 2 2 2" xfId="13486"/>
    <cellStyle name="표준 34 2 2 2 2 2 2 2" xfId="13487"/>
    <cellStyle name="표준 34 2 2 2 2 2 3" xfId="13488"/>
    <cellStyle name="표준 34 2 2 2 2 2 4" xfId="13489"/>
    <cellStyle name="표준 34 2 2 2 2 3" xfId="13490"/>
    <cellStyle name="표준 34 2 2 2 2 3 2" xfId="13491"/>
    <cellStyle name="표준 34 2 2 2 2 4" xfId="13492"/>
    <cellStyle name="표준 34 2 2 2 2 5" xfId="13493"/>
    <cellStyle name="표준 34 2 2 2 3" xfId="13494"/>
    <cellStyle name="표준 34 2 2 2 3 2" xfId="13495"/>
    <cellStyle name="표준 34 2 2 2 3 2 2" xfId="13496"/>
    <cellStyle name="표준 34 2 2 2 3 2 2 2" xfId="13497"/>
    <cellStyle name="표준 34 2 2 2 3 2 3" xfId="13498"/>
    <cellStyle name="표준 34 2 2 2 3 2 4" xfId="13499"/>
    <cellStyle name="표준 34 2 2 2 3 3" xfId="13500"/>
    <cellStyle name="표준 34 2 2 2 3 3 2" xfId="13501"/>
    <cellStyle name="표준 34 2 2 2 3 4" xfId="13502"/>
    <cellStyle name="표준 34 2 2 2 3 5" xfId="13503"/>
    <cellStyle name="표준 34 2 2 2 4" xfId="13504"/>
    <cellStyle name="표준 34 2 2 2 4 2" xfId="13505"/>
    <cellStyle name="표준 34 2 2 2 4 2 2" xfId="13506"/>
    <cellStyle name="표준 34 2 2 2 4 3" xfId="13507"/>
    <cellStyle name="표준 34 2 2 2 4 4" xfId="13508"/>
    <cellStyle name="표준 34 2 2 2 5" xfId="13509"/>
    <cellStyle name="표준 34 2 2 2 5 2" xfId="13510"/>
    <cellStyle name="표준 34 2 2 2 6" xfId="13511"/>
    <cellStyle name="표준 34 2 2 2 7" xfId="13512"/>
    <cellStyle name="표준 34 2 2 3" xfId="13513"/>
    <cellStyle name="표준 34 2 2 3 2" xfId="13514"/>
    <cellStyle name="표준 34 2 2 3 2 2" xfId="13515"/>
    <cellStyle name="표준 34 2 2 3 2 2 2" xfId="13516"/>
    <cellStyle name="표준 34 2 2 3 2 2 2 2" xfId="13517"/>
    <cellStyle name="표준 34 2 2 3 2 2 3" xfId="13518"/>
    <cellStyle name="표준 34 2 2 3 2 2 4" xfId="13519"/>
    <cellStyle name="표준 34 2 2 3 2 3" xfId="13520"/>
    <cellStyle name="표준 34 2 2 3 2 3 2" xfId="13521"/>
    <cellStyle name="표준 34 2 2 3 2 4" xfId="13522"/>
    <cellStyle name="표준 34 2 2 3 2 5" xfId="13523"/>
    <cellStyle name="표준 34 2 2 3 3" xfId="13524"/>
    <cellStyle name="표준 34 2 2 3 3 2" xfId="13525"/>
    <cellStyle name="표준 34 2 2 3 3 2 2" xfId="13526"/>
    <cellStyle name="표준 34 2 2 3 3 2 2 2" xfId="13527"/>
    <cellStyle name="표준 34 2 2 3 3 2 3" xfId="13528"/>
    <cellStyle name="표준 34 2 2 3 3 2 4" xfId="13529"/>
    <cellStyle name="표준 34 2 2 3 3 3" xfId="13530"/>
    <cellStyle name="표준 34 2 2 3 3 3 2" xfId="13531"/>
    <cellStyle name="표준 34 2 2 3 3 4" xfId="13532"/>
    <cellStyle name="표준 34 2 2 3 3 5" xfId="13533"/>
    <cellStyle name="표준 34 2 2 3 4" xfId="13534"/>
    <cellStyle name="표준 34 2 2 3 4 2" xfId="13535"/>
    <cellStyle name="표준 34 2 2 3 4 2 2" xfId="13536"/>
    <cellStyle name="표준 34 2 2 3 4 3" xfId="13537"/>
    <cellStyle name="표준 34 2 2 3 4 4" xfId="13538"/>
    <cellStyle name="표준 34 2 2 3 5" xfId="13539"/>
    <cellStyle name="표준 34 2 2 3 5 2" xfId="13540"/>
    <cellStyle name="표준 34 2 2 3 6" xfId="13541"/>
    <cellStyle name="표준 34 2 2 3 7" xfId="13542"/>
    <cellStyle name="표준 34 2 2 4" xfId="13543"/>
    <cellStyle name="표준 34 2 2 4 2" xfId="13544"/>
    <cellStyle name="표준 34 2 2 4 2 2" xfId="13545"/>
    <cellStyle name="표준 34 2 2 4 2 2 2" xfId="13546"/>
    <cellStyle name="표준 34 2 2 4 2 3" xfId="13547"/>
    <cellStyle name="표준 34 2 2 4 2 4" xfId="13548"/>
    <cellStyle name="표준 34 2 2 4 3" xfId="13549"/>
    <cellStyle name="표준 34 2 2 4 3 2" xfId="13550"/>
    <cellStyle name="표준 34 2 2 4 4" xfId="13551"/>
    <cellStyle name="표준 34 2 2 4 5" xfId="13552"/>
    <cellStyle name="표준 34 2 2 5" xfId="13553"/>
    <cellStyle name="표준 34 2 2 5 2" xfId="13554"/>
    <cellStyle name="표준 34 2 2 5 2 2" xfId="13555"/>
    <cellStyle name="표준 34 2 2 5 2 2 2" xfId="13556"/>
    <cellStyle name="표준 34 2 2 5 2 3" xfId="13557"/>
    <cellStyle name="표준 34 2 2 5 2 4" xfId="13558"/>
    <cellStyle name="표준 34 2 2 5 3" xfId="13559"/>
    <cellStyle name="표준 34 2 2 5 3 2" xfId="13560"/>
    <cellStyle name="표준 34 2 2 5 4" xfId="13561"/>
    <cellStyle name="표준 34 2 2 5 5" xfId="13562"/>
    <cellStyle name="표준 34 2 2 6" xfId="13563"/>
    <cellStyle name="표준 34 2 2 6 2" xfId="13564"/>
    <cellStyle name="표준 34 2 2 6 2 2" xfId="13565"/>
    <cellStyle name="표준 34 2 2 6 3" xfId="13566"/>
    <cellStyle name="표준 34 2 2 6 4" xfId="13567"/>
    <cellStyle name="표준 34 2 2 7" xfId="13568"/>
    <cellStyle name="표준 34 2 2 7 2" xfId="13569"/>
    <cellStyle name="표준 34 2 2 8" xfId="13570"/>
    <cellStyle name="표준 34 2 2 9" xfId="13571"/>
    <cellStyle name="표준 34 2 3" xfId="13572"/>
    <cellStyle name="표준 34 2 3 2" xfId="13573"/>
    <cellStyle name="표준 34 2 3 2 2" xfId="13574"/>
    <cellStyle name="표준 34 2 3 2 2 2" xfId="13575"/>
    <cellStyle name="표준 34 2 3 2 2 2 2" xfId="13576"/>
    <cellStyle name="표준 34 2 3 2 2 3" xfId="13577"/>
    <cellStyle name="표준 34 2 3 2 2 4" xfId="13578"/>
    <cellStyle name="표준 34 2 3 2 3" xfId="13579"/>
    <cellStyle name="표준 34 2 3 2 3 2" xfId="13580"/>
    <cellStyle name="표준 34 2 3 2 4" xfId="13581"/>
    <cellStyle name="표준 34 2 3 2 5" xfId="13582"/>
    <cellStyle name="표준 34 2 3 3" xfId="13583"/>
    <cellStyle name="표준 34 2 3 3 2" xfId="13584"/>
    <cellStyle name="표준 34 2 3 3 2 2" xfId="13585"/>
    <cellStyle name="표준 34 2 3 3 2 2 2" xfId="13586"/>
    <cellStyle name="표준 34 2 3 3 2 3" xfId="13587"/>
    <cellStyle name="표준 34 2 3 3 2 4" xfId="13588"/>
    <cellStyle name="표준 34 2 3 3 3" xfId="13589"/>
    <cellStyle name="표준 34 2 3 3 3 2" xfId="13590"/>
    <cellStyle name="표준 34 2 3 3 4" xfId="13591"/>
    <cellStyle name="표준 34 2 3 3 5" xfId="13592"/>
    <cellStyle name="표준 34 2 3 4" xfId="13593"/>
    <cellStyle name="표준 34 2 3 4 2" xfId="13594"/>
    <cellStyle name="표준 34 2 3 4 2 2" xfId="13595"/>
    <cellStyle name="표준 34 2 3 4 3" xfId="13596"/>
    <cellStyle name="표준 34 2 3 4 4" xfId="13597"/>
    <cellStyle name="표준 34 2 3 5" xfId="13598"/>
    <cellStyle name="표준 34 2 3 5 2" xfId="13599"/>
    <cellStyle name="표준 34 2 3 6" xfId="13600"/>
    <cellStyle name="표준 34 2 3 7" xfId="13601"/>
    <cellStyle name="표준 34 2 4" xfId="13602"/>
    <cellStyle name="표준 34 2 4 2" xfId="13603"/>
    <cellStyle name="표준 34 2 4 2 2" xfId="13604"/>
    <cellStyle name="표준 34 2 4 2 2 2" xfId="13605"/>
    <cellStyle name="표준 34 2 4 2 2 2 2" xfId="13606"/>
    <cellStyle name="표준 34 2 4 2 2 3" xfId="13607"/>
    <cellStyle name="표준 34 2 4 2 2 4" xfId="13608"/>
    <cellStyle name="표준 34 2 4 2 3" xfId="13609"/>
    <cellStyle name="표준 34 2 4 2 3 2" xfId="13610"/>
    <cellStyle name="표준 34 2 4 2 4" xfId="13611"/>
    <cellStyle name="표준 34 2 4 2 5" xfId="13612"/>
    <cellStyle name="표준 34 2 4 3" xfId="13613"/>
    <cellStyle name="표준 34 2 4 3 2" xfId="13614"/>
    <cellStyle name="표준 34 2 4 3 2 2" xfId="13615"/>
    <cellStyle name="표준 34 2 4 3 2 2 2" xfId="13616"/>
    <cellStyle name="표준 34 2 4 3 2 3" xfId="13617"/>
    <cellStyle name="표준 34 2 4 3 2 4" xfId="13618"/>
    <cellStyle name="표준 34 2 4 3 3" xfId="13619"/>
    <cellStyle name="표준 34 2 4 3 3 2" xfId="13620"/>
    <cellStyle name="표준 34 2 4 3 4" xfId="13621"/>
    <cellStyle name="표준 34 2 4 3 5" xfId="13622"/>
    <cellStyle name="표준 34 2 4 4" xfId="13623"/>
    <cellStyle name="표준 34 2 4 4 2" xfId="13624"/>
    <cellStyle name="표준 34 2 4 4 2 2" xfId="13625"/>
    <cellStyle name="표준 34 2 4 4 3" xfId="13626"/>
    <cellStyle name="표준 34 2 4 4 4" xfId="13627"/>
    <cellStyle name="표준 34 2 4 5" xfId="13628"/>
    <cellStyle name="표준 34 2 4 5 2" xfId="13629"/>
    <cellStyle name="표준 34 2 4 6" xfId="13630"/>
    <cellStyle name="표준 34 2 4 7" xfId="13631"/>
    <cellStyle name="표준 34 2 5" xfId="13632"/>
    <cellStyle name="표준 34 2 5 2" xfId="13633"/>
    <cellStyle name="표준 34 2 5 2 2" xfId="13634"/>
    <cellStyle name="표준 34 2 5 2 2 2" xfId="13635"/>
    <cellStyle name="표준 34 2 5 2 3" xfId="13636"/>
    <cellStyle name="표준 34 2 5 2 4" xfId="13637"/>
    <cellStyle name="표준 34 2 5 3" xfId="13638"/>
    <cellStyle name="표준 34 2 5 3 2" xfId="13639"/>
    <cellStyle name="표준 34 2 5 4" xfId="13640"/>
    <cellStyle name="표준 34 2 5 5" xfId="13641"/>
    <cellStyle name="표준 34 2 6" xfId="13642"/>
    <cellStyle name="표준 34 2 6 2" xfId="13643"/>
    <cellStyle name="표준 34 2 6 2 2" xfId="13644"/>
    <cellStyle name="표준 34 2 6 2 2 2" xfId="13645"/>
    <cellStyle name="표준 34 2 6 2 3" xfId="13646"/>
    <cellStyle name="표준 34 2 6 2 4" xfId="13647"/>
    <cellStyle name="표준 34 2 6 3" xfId="13648"/>
    <cellStyle name="표준 34 2 6 3 2" xfId="13649"/>
    <cellStyle name="표준 34 2 6 4" xfId="13650"/>
    <cellStyle name="표준 34 2 6 5" xfId="13651"/>
    <cellStyle name="표준 34 2 7" xfId="13652"/>
    <cellStyle name="표준 34 2 7 2" xfId="13653"/>
    <cellStyle name="표준 34 2 7 2 2" xfId="13654"/>
    <cellStyle name="표준 34 2 7 3" xfId="13655"/>
    <cellStyle name="표준 34 2 7 4" xfId="13656"/>
    <cellStyle name="표준 34 2 8" xfId="13657"/>
    <cellStyle name="표준 34 2 8 2" xfId="13658"/>
    <cellStyle name="표준 34 2 9" xfId="13659"/>
    <cellStyle name="표준 34 3" xfId="13660"/>
    <cellStyle name="표준 34 3 10" xfId="13661"/>
    <cellStyle name="표준 34 3 2" xfId="13662"/>
    <cellStyle name="표준 34 3 2 2" xfId="13663"/>
    <cellStyle name="표준 34 3 2 2 2" xfId="13664"/>
    <cellStyle name="표준 34 3 2 2 2 2" xfId="13665"/>
    <cellStyle name="표준 34 3 2 2 2 2 2" xfId="13666"/>
    <cellStyle name="표준 34 3 2 2 2 3" xfId="13667"/>
    <cellStyle name="표준 34 3 2 2 2 4" xfId="13668"/>
    <cellStyle name="표준 34 3 2 2 3" xfId="13669"/>
    <cellStyle name="표준 34 3 2 2 3 2" xfId="13670"/>
    <cellStyle name="표준 34 3 2 2 4" xfId="13671"/>
    <cellStyle name="표준 34 3 2 2 5" xfId="13672"/>
    <cellStyle name="표준 34 3 2 3" xfId="13673"/>
    <cellStyle name="표준 34 3 2 3 2" xfId="13674"/>
    <cellStyle name="표준 34 3 2 3 2 2" xfId="13675"/>
    <cellStyle name="표준 34 3 2 3 2 2 2" xfId="13676"/>
    <cellStyle name="표준 34 3 2 3 2 3" xfId="13677"/>
    <cellStyle name="표준 34 3 2 3 2 4" xfId="13678"/>
    <cellStyle name="표준 34 3 2 3 3" xfId="13679"/>
    <cellStyle name="표준 34 3 2 3 3 2" xfId="13680"/>
    <cellStyle name="표준 34 3 2 3 4" xfId="13681"/>
    <cellStyle name="표준 34 3 2 3 5" xfId="13682"/>
    <cellStyle name="표준 34 3 2 4" xfId="13683"/>
    <cellStyle name="표준 34 3 2 4 2" xfId="13684"/>
    <cellStyle name="표준 34 3 2 4 2 2" xfId="13685"/>
    <cellStyle name="표준 34 3 2 4 3" xfId="13686"/>
    <cellStyle name="표준 34 3 2 4 4" xfId="13687"/>
    <cellStyle name="표준 34 3 2 5" xfId="13688"/>
    <cellStyle name="표준 34 3 2 5 2" xfId="13689"/>
    <cellStyle name="표준 34 3 2 6" xfId="13690"/>
    <cellStyle name="표준 34 3 2 7" xfId="13691"/>
    <cellStyle name="표준 34 3 3" xfId="13692"/>
    <cellStyle name="표준 34 3 3 2" xfId="13693"/>
    <cellStyle name="표준 34 3 3 2 2" xfId="13694"/>
    <cellStyle name="표준 34 3 3 2 2 2" xfId="13695"/>
    <cellStyle name="표준 34 3 3 2 2 2 2" xfId="13696"/>
    <cellStyle name="표준 34 3 3 2 2 3" xfId="13697"/>
    <cellStyle name="표준 34 3 3 2 2 4" xfId="13698"/>
    <cellStyle name="표준 34 3 3 2 3" xfId="13699"/>
    <cellStyle name="표준 34 3 3 2 3 2" xfId="13700"/>
    <cellStyle name="표준 34 3 3 2 4" xfId="13701"/>
    <cellStyle name="표준 34 3 3 2 5" xfId="13702"/>
    <cellStyle name="표준 34 3 3 3" xfId="13703"/>
    <cellStyle name="표준 34 3 3 3 2" xfId="13704"/>
    <cellStyle name="표준 34 3 3 3 2 2" xfId="13705"/>
    <cellStyle name="표준 34 3 3 3 2 2 2" xfId="13706"/>
    <cellStyle name="표준 34 3 3 3 2 3" xfId="13707"/>
    <cellStyle name="표준 34 3 3 3 2 4" xfId="13708"/>
    <cellStyle name="표준 34 3 3 3 3" xfId="13709"/>
    <cellStyle name="표준 34 3 3 3 3 2" xfId="13710"/>
    <cellStyle name="표준 34 3 3 3 4" xfId="13711"/>
    <cellStyle name="표준 34 3 3 3 5" xfId="13712"/>
    <cellStyle name="표준 34 3 3 4" xfId="13713"/>
    <cellStyle name="표준 34 3 3 4 2" xfId="13714"/>
    <cellStyle name="표준 34 3 3 4 2 2" xfId="13715"/>
    <cellStyle name="표준 34 3 3 4 3" xfId="13716"/>
    <cellStyle name="표준 34 3 3 4 4" xfId="13717"/>
    <cellStyle name="표준 34 3 3 5" xfId="13718"/>
    <cellStyle name="표준 34 3 3 5 2" xfId="13719"/>
    <cellStyle name="표준 34 3 3 6" xfId="13720"/>
    <cellStyle name="표준 34 3 3 7" xfId="13721"/>
    <cellStyle name="표준 34 3 4" xfId="13722"/>
    <cellStyle name="표준 34 3 4 2" xfId="13723"/>
    <cellStyle name="표준 34 3 4 2 2" xfId="13724"/>
    <cellStyle name="표준 34 3 4 2 2 2" xfId="13725"/>
    <cellStyle name="표준 34 3 4 2 3" xfId="13726"/>
    <cellStyle name="표준 34 3 4 2 4" xfId="13727"/>
    <cellStyle name="표준 34 3 4 3" xfId="13728"/>
    <cellStyle name="표준 34 3 4 3 2" xfId="13729"/>
    <cellStyle name="표준 34 3 4 4" xfId="13730"/>
    <cellStyle name="표준 34 3 4 5" xfId="13731"/>
    <cellStyle name="표준 34 3 5" xfId="13732"/>
    <cellStyle name="표준 34 3 5 2" xfId="13733"/>
    <cellStyle name="표준 34 3 5 2 2" xfId="13734"/>
    <cellStyle name="표준 34 3 5 2 2 2" xfId="13735"/>
    <cellStyle name="표준 34 3 5 2 3" xfId="13736"/>
    <cellStyle name="표준 34 3 5 2 4" xfId="13737"/>
    <cellStyle name="표준 34 3 5 3" xfId="13738"/>
    <cellStyle name="표준 34 3 5 3 2" xfId="13739"/>
    <cellStyle name="표준 34 3 5 4" xfId="13740"/>
    <cellStyle name="표준 34 3 5 5" xfId="13741"/>
    <cellStyle name="표준 34 3 6" xfId="13742"/>
    <cellStyle name="표준 34 3 6 2" xfId="13743"/>
    <cellStyle name="표준 34 3 6 2 2" xfId="13744"/>
    <cellStyle name="표준 34 3 6 3" xfId="13745"/>
    <cellStyle name="표준 34 3 6 4" xfId="13746"/>
    <cellStyle name="표준 34 3 7" xfId="13747"/>
    <cellStyle name="표준 34 3 7 2" xfId="13748"/>
    <cellStyle name="표준 34 3 8" xfId="13749"/>
    <cellStyle name="표준 34 3 9" xfId="13750"/>
    <cellStyle name="표준 34 4" xfId="13751"/>
    <cellStyle name="표준 34 4 2" xfId="13752"/>
    <cellStyle name="표준 34 4 2 2" xfId="13753"/>
    <cellStyle name="표준 34 4 2 2 2" xfId="13754"/>
    <cellStyle name="표준 34 4 2 2 2 2" xfId="13755"/>
    <cellStyle name="표준 34 4 2 2 3" xfId="13756"/>
    <cellStyle name="표준 34 4 2 2 4" xfId="13757"/>
    <cellStyle name="표준 34 4 2 3" xfId="13758"/>
    <cellStyle name="표준 34 4 2 3 2" xfId="13759"/>
    <cellStyle name="표준 34 4 2 4" xfId="13760"/>
    <cellStyle name="표준 34 4 2 5" xfId="13761"/>
    <cellStyle name="표준 34 4 3" xfId="13762"/>
    <cellStyle name="표준 34 4 3 2" xfId="13763"/>
    <cellStyle name="표준 34 4 3 2 2" xfId="13764"/>
    <cellStyle name="표준 34 4 3 2 2 2" xfId="13765"/>
    <cellStyle name="표준 34 4 3 2 3" xfId="13766"/>
    <cellStyle name="표준 34 4 3 2 4" xfId="13767"/>
    <cellStyle name="표준 34 4 3 3" xfId="13768"/>
    <cellStyle name="표준 34 4 3 3 2" xfId="13769"/>
    <cellStyle name="표준 34 4 3 4" xfId="13770"/>
    <cellStyle name="표준 34 4 3 5" xfId="13771"/>
    <cellStyle name="표준 34 4 4" xfId="13772"/>
    <cellStyle name="표준 34 4 4 2" xfId="13773"/>
    <cellStyle name="표준 34 4 4 2 2" xfId="13774"/>
    <cellStyle name="표준 34 4 4 3" xfId="13775"/>
    <cellStyle name="표준 34 4 4 4" xfId="13776"/>
    <cellStyle name="표준 34 4 5" xfId="13777"/>
    <cellStyle name="표준 34 4 5 2" xfId="13778"/>
    <cellStyle name="표준 34 4 6" xfId="13779"/>
    <cellStyle name="표준 34 4 7" xfId="13780"/>
    <cellStyle name="표준 34 4 8" xfId="13781"/>
    <cellStyle name="표준 34 5" xfId="13782"/>
    <cellStyle name="표준 34 5 2" xfId="13783"/>
    <cellStyle name="표준 34 5 2 2" xfId="13784"/>
    <cellStyle name="표준 34 5 2 2 2" xfId="13785"/>
    <cellStyle name="표준 34 5 2 2 2 2" xfId="13786"/>
    <cellStyle name="표준 34 5 2 2 3" xfId="13787"/>
    <cellStyle name="표준 34 5 2 2 4" xfId="13788"/>
    <cellStyle name="표준 34 5 2 3" xfId="13789"/>
    <cellStyle name="표준 34 5 2 3 2" xfId="13790"/>
    <cellStyle name="표준 34 5 2 4" xfId="13791"/>
    <cellStyle name="표준 34 5 2 5" xfId="13792"/>
    <cellStyle name="표준 34 5 3" xfId="13793"/>
    <cellStyle name="표준 34 5 3 2" xfId="13794"/>
    <cellStyle name="표준 34 5 3 2 2" xfId="13795"/>
    <cellStyle name="표준 34 5 3 2 2 2" xfId="13796"/>
    <cellStyle name="표준 34 5 3 2 3" xfId="13797"/>
    <cellStyle name="표준 34 5 3 2 4" xfId="13798"/>
    <cellStyle name="표준 34 5 3 3" xfId="13799"/>
    <cellStyle name="표준 34 5 3 3 2" xfId="13800"/>
    <cellStyle name="표준 34 5 3 4" xfId="13801"/>
    <cellStyle name="표준 34 5 3 5" xfId="13802"/>
    <cellStyle name="표준 34 5 4" xfId="13803"/>
    <cellStyle name="표준 34 5 4 2" xfId="13804"/>
    <cellStyle name="표준 34 5 4 2 2" xfId="13805"/>
    <cellStyle name="표준 34 5 4 3" xfId="13806"/>
    <cellStyle name="표준 34 5 4 4" xfId="13807"/>
    <cellStyle name="표준 34 5 5" xfId="13808"/>
    <cellStyle name="표준 34 5 5 2" xfId="13809"/>
    <cellStyle name="표준 34 5 6" xfId="13810"/>
    <cellStyle name="표준 34 5 7" xfId="13811"/>
    <cellStyle name="표준 34 5 8" xfId="13812"/>
    <cellStyle name="표준 34 6" xfId="13813"/>
    <cellStyle name="표준 34 6 2" xfId="13814"/>
    <cellStyle name="표준 34 6 2 2" xfId="13815"/>
    <cellStyle name="표준 34 6 2 2 2" xfId="13816"/>
    <cellStyle name="표준 34 6 2 3" xfId="13817"/>
    <cellStyle name="표준 34 6 2 4" xfId="13818"/>
    <cellStyle name="표준 34 6 3" xfId="13819"/>
    <cellStyle name="표준 34 6 3 2" xfId="13820"/>
    <cellStyle name="표준 34 6 4" xfId="13821"/>
    <cellStyle name="표준 34 6 5" xfId="13822"/>
    <cellStyle name="표준 34 6 6" xfId="13823"/>
    <cellStyle name="표준 34 7" xfId="13824"/>
    <cellStyle name="표준 34 7 2" xfId="13825"/>
    <cellStyle name="표준 34 7 2 2" xfId="13826"/>
    <cellStyle name="표준 34 7 2 2 2" xfId="13827"/>
    <cellStyle name="표준 34 7 2 3" xfId="13828"/>
    <cellStyle name="표준 34 7 2 4" xfId="13829"/>
    <cellStyle name="표준 34 7 3" xfId="13830"/>
    <cellStyle name="표준 34 7 3 2" xfId="13831"/>
    <cellStyle name="표준 34 7 4" xfId="13832"/>
    <cellStyle name="표준 34 7 5" xfId="13833"/>
    <cellStyle name="표준 34 7 6" xfId="13834"/>
    <cellStyle name="표준 34 8" xfId="13835"/>
    <cellStyle name="표준 34 8 2" xfId="13836"/>
    <cellStyle name="표준 34 8 2 2" xfId="13837"/>
    <cellStyle name="표준 34 8 3" xfId="13838"/>
    <cellStyle name="표준 34 8 4" xfId="13839"/>
    <cellStyle name="표준 34 8 5" xfId="13840"/>
    <cellStyle name="표준 34 9" xfId="13841"/>
    <cellStyle name="표준 34 9 2" xfId="13842"/>
    <cellStyle name="표준 34 9 3" xfId="13843"/>
    <cellStyle name="표준 35" xfId="4104"/>
    <cellStyle name="표준 35 10" xfId="13844"/>
    <cellStyle name="표준 35 10 2" xfId="13845"/>
    <cellStyle name="표준 35 11" xfId="13846"/>
    <cellStyle name="표준 35 12" xfId="13847"/>
    <cellStyle name="표준 35 13" xfId="13848"/>
    <cellStyle name="표준 35 14" xfId="13849"/>
    <cellStyle name="표준 35 2" xfId="13850"/>
    <cellStyle name="표준 35 2 10" xfId="13851"/>
    <cellStyle name="표준 35 2 2" xfId="13852"/>
    <cellStyle name="표준 35 2 2 2" xfId="13853"/>
    <cellStyle name="표준 35 2 2 2 2" xfId="13854"/>
    <cellStyle name="표준 35 2 2 2 2 2" xfId="13855"/>
    <cellStyle name="표준 35 2 2 2 2 2 2" xfId="13856"/>
    <cellStyle name="표준 35 2 2 2 2 3" xfId="13857"/>
    <cellStyle name="표준 35 2 2 2 2 4" xfId="13858"/>
    <cellStyle name="표준 35 2 2 2 3" xfId="13859"/>
    <cellStyle name="표준 35 2 2 2 3 2" xfId="13860"/>
    <cellStyle name="표준 35 2 2 2 4" xfId="13861"/>
    <cellStyle name="표준 35 2 2 2 5" xfId="13862"/>
    <cellStyle name="표준 35 2 2 3" xfId="13863"/>
    <cellStyle name="표준 35 2 2 3 2" xfId="13864"/>
    <cellStyle name="표준 35 2 2 3 2 2" xfId="13865"/>
    <cellStyle name="표준 35 2 2 3 2 2 2" xfId="13866"/>
    <cellStyle name="표준 35 2 2 3 2 3" xfId="13867"/>
    <cellStyle name="표준 35 2 2 3 2 4" xfId="13868"/>
    <cellStyle name="표준 35 2 2 3 3" xfId="13869"/>
    <cellStyle name="표준 35 2 2 3 3 2" xfId="13870"/>
    <cellStyle name="표준 35 2 2 3 4" xfId="13871"/>
    <cellStyle name="표준 35 2 2 3 5" xfId="13872"/>
    <cellStyle name="표준 35 2 2 4" xfId="13873"/>
    <cellStyle name="표준 35 2 2 4 2" xfId="13874"/>
    <cellStyle name="표준 35 2 2 4 2 2" xfId="13875"/>
    <cellStyle name="표준 35 2 2 4 3" xfId="13876"/>
    <cellStyle name="표준 35 2 2 4 4" xfId="13877"/>
    <cellStyle name="표준 35 2 2 5" xfId="13878"/>
    <cellStyle name="표준 35 2 2 5 2" xfId="13879"/>
    <cellStyle name="표준 35 2 2 6" xfId="13880"/>
    <cellStyle name="표준 35 2 2 7" xfId="13881"/>
    <cellStyle name="표준 35 2 3" xfId="13882"/>
    <cellStyle name="표준 35 2 3 2" xfId="13883"/>
    <cellStyle name="표준 35 2 3 2 2" xfId="13884"/>
    <cellStyle name="표준 35 2 3 2 2 2" xfId="13885"/>
    <cellStyle name="표준 35 2 3 2 2 2 2" xfId="13886"/>
    <cellStyle name="표준 35 2 3 2 2 3" xfId="13887"/>
    <cellStyle name="표준 35 2 3 2 2 4" xfId="13888"/>
    <cellStyle name="표준 35 2 3 2 3" xfId="13889"/>
    <cellStyle name="표준 35 2 3 2 3 2" xfId="13890"/>
    <cellStyle name="표준 35 2 3 2 4" xfId="13891"/>
    <cellStyle name="표준 35 2 3 2 5" xfId="13892"/>
    <cellStyle name="표준 35 2 3 3" xfId="13893"/>
    <cellStyle name="표준 35 2 3 3 2" xfId="13894"/>
    <cellStyle name="표준 35 2 3 3 2 2" xfId="13895"/>
    <cellStyle name="표준 35 2 3 3 2 2 2" xfId="13896"/>
    <cellStyle name="표준 35 2 3 3 2 3" xfId="13897"/>
    <cellStyle name="표준 35 2 3 3 2 4" xfId="13898"/>
    <cellStyle name="표준 35 2 3 3 3" xfId="13899"/>
    <cellStyle name="표준 35 2 3 3 3 2" xfId="13900"/>
    <cellStyle name="표준 35 2 3 3 4" xfId="13901"/>
    <cellStyle name="표준 35 2 3 3 5" xfId="13902"/>
    <cellStyle name="표준 35 2 3 4" xfId="13903"/>
    <cellStyle name="표준 35 2 3 4 2" xfId="13904"/>
    <cellStyle name="표준 35 2 3 4 2 2" xfId="13905"/>
    <cellStyle name="표준 35 2 3 4 3" xfId="13906"/>
    <cellStyle name="표준 35 2 3 4 4" xfId="13907"/>
    <cellStyle name="표준 35 2 3 5" xfId="13908"/>
    <cellStyle name="표준 35 2 3 5 2" xfId="13909"/>
    <cellStyle name="표준 35 2 3 6" xfId="13910"/>
    <cellStyle name="표준 35 2 3 7" xfId="13911"/>
    <cellStyle name="표준 35 2 4" xfId="13912"/>
    <cellStyle name="표준 35 2 4 2" xfId="13913"/>
    <cellStyle name="표준 35 2 4 2 2" xfId="13914"/>
    <cellStyle name="표준 35 2 4 2 2 2" xfId="13915"/>
    <cellStyle name="표준 35 2 4 2 3" xfId="13916"/>
    <cellStyle name="표준 35 2 4 2 4" xfId="13917"/>
    <cellStyle name="표준 35 2 4 3" xfId="13918"/>
    <cellStyle name="표준 35 2 4 3 2" xfId="13919"/>
    <cellStyle name="표준 35 2 4 4" xfId="13920"/>
    <cellStyle name="표준 35 2 4 5" xfId="13921"/>
    <cellStyle name="표준 35 2 5" xfId="13922"/>
    <cellStyle name="표준 35 2 5 2" xfId="13923"/>
    <cellStyle name="표준 35 2 5 2 2" xfId="13924"/>
    <cellStyle name="표준 35 2 5 2 2 2" xfId="13925"/>
    <cellStyle name="표준 35 2 5 2 3" xfId="13926"/>
    <cellStyle name="표준 35 2 5 2 4" xfId="13927"/>
    <cellStyle name="표준 35 2 5 3" xfId="13928"/>
    <cellStyle name="표준 35 2 5 3 2" xfId="13929"/>
    <cellStyle name="표준 35 2 5 4" xfId="13930"/>
    <cellStyle name="표준 35 2 5 5" xfId="13931"/>
    <cellStyle name="표준 35 2 6" xfId="13932"/>
    <cellStyle name="표준 35 2 6 2" xfId="13933"/>
    <cellStyle name="표준 35 2 6 2 2" xfId="13934"/>
    <cellStyle name="표준 35 2 6 3" xfId="13935"/>
    <cellStyle name="표준 35 2 6 4" xfId="13936"/>
    <cellStyle name="표준 35 2 7" xfId="13937"/>
    <cellStyle name="표준 35 2 7 2" xfId="13938"/>
    <cellStyle name="표준 35 2 8" xfId="13939"/>
    <cellStyle name="표준 35 2 9" xfId="13940"/>
    <cellStyle name="표준 35 3" xfId="13941"/>
    <cellStyle name="표준 35 3 2" xfId="13942"/>
    <cellStyle name="표준 35 3 2 2" xfId="13943"/>
    <cellStyle name="표준 35 3 2 2 2" xfId="13944"/>
    <cellStyle name="표준 35 3 2 2 2 2" xfId="13945"/>
    <cellStyle name="표준 35 3 2 2 3" xfId="13946"/>
    <cellStyle name="표준 35 3 2 2 4" xfId="13947"/>
    <cellStyle name="표준 35 3 2 3" xfId="13948"/>
    <cellStyle name="표준 35 3 2 3 2" xfId="13949"/>
    <cellStyle name="표준 35 3 2 4" xfId="13950"/>
    <cellStyle name="표준 35 3 2 5" xfId="13951"/>
    <cellStyle name="표준 35 3 3" xfId="13952"/>
    <cellStyle name="표준 35 3 3 2" xfId="13953"/>
    <cellStyle name="표준 35 3 3 2 2" xfId="13954"/>
    <cellStyle name="표준 35 3 3 2 2 2" xfId="13955"/>
    <cellStyle name="표준 35 3 3 2 3" xfId="13956"/>
    <cellStyle name="표준 35 3 3 2 4" xfId="13957"/>
    <cellStyle name="표준 35 3 3 3" xfId="13958"/>
    <cellStyle name="표준 35 3 3 3 2" xfId="13959"/>
    <cellStyle name="표준 35 3 3 4" xfId="13960"/>
    <cellStyle name="표준 35 3 3 5" xfId="13961"/>
    <cellStyle name="표준 35 3 4" xfId="13962"/>
    <cellStyle name="표준 35 3 4 2" xfId="13963"/>
    <cellStyle name="표준 35 3 4 2 2" xfId="13964"/>
    <cellStyle name="표준 35 3 4 3" xfId="13965"/>
    <cellStyle name="표준 35 3 4 4" xfId="13966"/>
    <cellStyle name="표준 35 3 5" xfId="13967"/>
    <cellStyle name="표준 35 3 5 2" xfId="13968"/>
    <cellStyle name="표준 35 3 6" xfId="13969"/>
    <cellStyle name="표준 35 3 7" xfId="13970"/>
    <cellStyle name="표준 35 3 8" xfId="13971"/>
    <cellStyle name="표준 35 4" xfId="13972"/>
    <cellStyle name="표준 35 4 2" xfId="13973"/>
    <cellStyle name="표준 35 4 2 2" xfId="13974"/>
    <cellStyle name="표준 35 4 2 2 2" xfId="13975"/>
    <cellStyle name="표준 35 4 2 2 2 2" xfId="13976"/>
    <cellStyle name="표준 35 4 2 2 3" xfId="13977"/>
    <cellStyle name="표준 35 4 2 2 4" xfId="13978"/>
    <cellStyle name="표준 35 4 2 3" xfId="13979"/>
    <cellStyle name="표준 35 4 2 3 2" xfId="13980"/>
    <cellStyle name="표준 35 4 2 4" xfId="13981"/>
    <cellStyle name="표준 35 4 2 5" xfId="13982"/>
    <cellStyle name="표준 35 4 3" xfId="13983"/>
    <cellStyle name="표준 35 4 3 2" xfId="13984"/>
    <cellStyle name="표준 35 4 3 2 2" xfId="13985"/>
    <cellStyle name="표준 35 4 3 2 2 2" xfId="13986"/>
    <cellStyle name="표준 35 4 3 2 3" xfId="13987"/>
    <cellStyle name="표준 35 4 3 2 4" xfId="13988"/>
    <cellStyle name="표준 35 4 3 3" xfId="13989"/>
    <cellStyle name="표준 35 4 3 3 2" xfId="13990"/>
    <cellStyle name="표준 35 4 3 4" xfId="13991"/>
    <cellStyle name="표준 35 4 3 5" xfId="13992"/>
    <cellStyle name="표준 35 4 4" xfId="13993"/>
    <cellStyle name="표준 35 4 4 2" xfId="13994"/>
    <cellStyle name="표준 35 4 4 2 2" xfId="13995"/>
    <cellStyle name="표준 35 4 4 3" xfId="13996"/>
    <cellStyle name="표준 35 4 4 4" xfId="13997"/>
    <cellStyle name="표준 35 4 5" xfId="13998"/>
    <cellStyle name="표준 35 4 5 2" xfId="13999"/>
    <cellStyle name="표준 35 4 6" xfId="14000"/>
    <cellStyle name="표준 35 4 7" xfId="14001"/>
    <cellStyle name="표준 35 4 8" xfId="14002"/>
    <cellStyle name="표준 35 5" xfId="14003"/>
    <cellStyle name="표준 35 5 2" xfId="14004"/>
    <cellStyle name="표준 35 5 2 2" xfId="14005"/>
    <cellStyle name="표준 35 5 2 2 2" xfId="14006"/>
    <cellStyle name="표준 35 5 2 3" xfId="14007"/>
    <cellStyle name="표준 35 5 2 4" xfId="14008"/>
    <cellStyle name="표준 35 5 3" xfId="14009"/>
    <cellStyle name="표준 35 5 3 2" xfId="14010"/>
    <cellStyle name="표준 35 5 4" xfId="14011"/>
    <cellStyle name="표준 35 5 5" xfId="14012"/>
    <cellStyle name="표준 35 5 6" xfId="14013"/>
    <cellStyle name="표준 35 6" xfId="14014"/>
    <cellStyle name="표준 35 6 2" xfId="14015"/>
    <cellStyle name="표준 35 6 2 2" xfId="14016"/>
    <cellStyle name="표준 35 6 2 2 2" xfId="14017"/>
    <cellStyle name="표준 35 6 2 3" xfId="14018"/>
    <cellStyle name="표준 35 6 2 4" xfId="14019"/>
    <cellStyle name="표준 35 6 3" xfId="14020"/>
    <cellStyle name="표준 35 6 3 2" xfId="14021"/>
    <cellStyle name="표준 35 6 4" xfId="14022"/>
    <cellStyle name="표준 35 6 5" xfId="14023"/>
    <cellStyle name="표준 35 6 6" xfId="14024"/>
    <cellStyle name="표준 35 7" xfId="14025"/>
    <cellStyle name="표준 35 7 2" xfId="14026"/>
    <cellStyle name="표준 35 7 2 2" xfId="14027"/>
    <cellStyle name="표준 35 7 3" xfId="14028"/>
    <cellStyle name="표준 35 7 4" xfId="14029"/>
    <cellStyle name="표준 35 7 5" xfId="14030"/>
    <cellStyle name="표준 35 8" xfId="14031"/>
    <cellStyle name="표준 35 8 2" xfId="14032"/>
    <cellStyle name="표준 35 8 3" xfId="14033"/>
    <cellStyle name="표준 35 9" xfId="14034"/>
    <cellStyle name="표준 35 9 2" xfId="14035"/>
    <cellStyle name="표준 36" xfId="4105"/>
    <cellStyle name="표준 36 10" xfId="14036"/>
    <cellStyle name="표준 36 10 2" xfId="14037"/>
    <cellStyle name="표준 36 10 3" xfId="14038"/>
    <cellStyle name="표준 36 11" xfId="14039"/>
    <cellStyle name="표준 36 11 2" xfId="14040"/>
    <cellStyle name="표준 36 12" xfId="14041"/>
    <cellStyle name="표준 36 12 2" xfId="14042"/>
    <cellStyle name="표준 36 13" xfId="14043"/>
    <cellStyle name="표준 36 14" xfId="14044"/>
    <cellStyle name="표준 36 2" xfId="14045"/>
    <cellStyle name="표준 36 2 2" xfId="14046"/>
    <cellStyle name="표준 36 2 3" xfId="14047"/>
    <cellStyle name="표준 36 3" xfId="14048"/>
    <cellStyle name="표준 36 3 2" xfId="14049"/>
    <cellStyle name="표준 36 3 3" xfId="14050"/>
    <cellStyle name="표준 36 4" xfId="14051"/>
    <cellStyle name="표준 36 4 10" xfId="14052"/>
    <cellStyle name="표준 36 4 2" xfId="14053"/>
    <cellStyle name="표준 36 4 2 2" xfId="14054"/>
    <cellStyle name="표준 36 4 2 2 2" xfId="14055"/>
    <cellStyle name="표준 36 4 2 2 2 2" xfId="14056"/>
    <cellStyle name="표준 36 4 2 2 2 2 2" xfId="14057"/>
    <cellStyle name="표준 36 4 2 2 2 3" xfId="14058"/>
    <cellStyle name="표준 36 4 2 2 2 4" xfId="14059"/>
    <cellStyle name="표준 36 4 2 2 3" xfId="14060"/>
    <cellStyle name="표준 36 4 2 2 3 2" xfId="14061"/>
    <cellStyle name="표준 36 4 2 2 4" xfId="14062"/>
    <cellStyle name="표준 36 4 2 2 5" xfId="14063"/>
    <cellStyle name="표준 36 4 2 3" xfId="14064"/>
    <cellStyle name="표준 36 4 2 3 2" xfId="14065"/>
    <cellStyle name="표준 36 4 2 3 2 2" xfId="14066"/>
    <cellStyle name="표준 36 4 2 3 2 2 2" xfId="14067"/>
    <cellStyle name="표준 36 4 2 3 2 3" xfId="14068"/>
    <cellStyle name="표준 36 4 2 3 2 4" xfId="14069"/>
    <cellStyle name="표준 36 4 2 3 3" xfId="14070"/>
    <cellStyle name="표준 36 4 2 3 3 2" xfId="14071"/>
    <cellStyle name="표준 36 4 2 3 4" xfId="14072"/>
    <cellStyle name="표준 36 4 2 3 5" xfId="14073"/>
    <cellStyle name="표준 36 4 2 4" xfId="14074"/>
    <cellStyle name="표준 36 4 2 4 2" xfId="14075"/>
    <cellStyle name="표준 36 4 2 4 2 2" xfId="14076"/>
    <cellStyle name="표준 36 4 2 4 3" xfId="14077"/>
    <cellStyle name="표준 36 4 2 4 4" xfId="14078"/>
    <cellStyle name="표준 36 4 2 5" xfId="14079"/>
    <cellStyle name="표준 36 4 2 5 2" xfId="14080"/>
    <cellStyle name="표준 36 4 2 6" xfId="14081"/>
    <cellStyle name="표준 36 4 2 7" xfId="14082"/>
    <cellStyle name="표준 36 4 3" xfId="14083"/>
    <cellStyle name="표준 36 4 3 2" xfId="14084"/>
    <cellStyle name="표준 36 4 3 2 2" xfId="14085"/>
    <cellStyle name="표준 36 4 3 2 2 2" xfId="14086"/>
    <cellStyle name="표준 36 4 3 2 2 2 2" xfId="14087"/>
    <cellStyle name="표준 36 4 3 2 2 3" xfId="14088"/>
    <cellStyle name="표준 36 4 3 2 2 4" xfId="14089"/>
    <cellStyle name="표준 36 4 3 2 3" xfId="14090"/>
    <cellStyle name="표준 36 4 3 2 3 2" xfId="14091"/>
    <cellStyle name="표준 36 4 3 2 4" xfId="14092"/>
    <cellStyle name="표준 36 4 3 2 5" xfId="14093"/>
    <cellStyle name="표준 36 4 3 3" xfId="14094"/>
    <cellStyle name="표준 36 4 3 3 2" xfId="14095"/>
    <cellStyle name="표준 36 4 3 3 2 2" xfId="14096"/>
    <cellStyle name="표준 36 4 3 3 2 2 2" xfId="14097"/>
    <cellStyle name="표준 36 4 3 3 2 3" xfId="14098"/>
    <cellStyle name="표준 36 4 3 3 2 4" xfId="14099"/>
    <cellStyle name="표준 36 4 3 3 3" xfId="14100"/>
    <cellStyle name="표준 36 4 3 3 3 2" xfId="14101"/>
    <cellStyle name="표준 36 4 3 3 4" xfId="14102"/>
    <cellStyle name="표준 36 4 3 3 5" xfId="14103"/>
    <cellStyle name="표준 36 4 3 4" xfId="14104"/>
    <cellStyle name="표준 36 4 3 4 2" xfId="14105"/>
    <cellStyle name="표준 36 4 3 4 2 2" xfId="14106"/>
    <cellStyle name="표준 36 4 3 4 3" xfId="14107"/>
    <cellStyle name="표준 36 4 3 4 4" xfId="14108"/>
    <cellStyle name="표준 36 4 3 5" xfId="14109"/>
    <cellStyle name="표준 36 4 3 5 2" xfId="14110"/>
    <cellStyle name="표준 36 4 3 6" xfId="14111"/>
    <cellStyle name="표준 36 4 3 7" xfId="14112"/>
    <cellStyle name="표준 36 4 4" xfId="14113"/>
    <cellStyle name="표준 36 4 4 2" xfId="14114"/>
    <cellStyle name="표준 36 4 4 2 2" xfId="14115"/>
    <cellStyle name="표준 36 4 4 2 2 2" xfId="14116"/>
    <cellStyle name="표준 36 4 4 2 3" xfId="14117"/>
    <cellStyle name="표준 36 4 4 2 4" xfId="14118"/>
    <cellStyle name="표준 36 4 4 3" xfId="14119"/>
    <cellStyle name="표준 36 4 4 3 2" xfId="14120"/>
    <cellStyle name="표준 36 4 4 4" xfId="14121"/>
    <cellStyle name="표준 36 4 4 5" xfId="14122"/>
    <cellStyle name="표준 36 4 5" xfId="14123"/>
    <cellStyle name="표준 36 4 5 2" xfId="14124"/>
    <cellStyle name="표준 36 4 5 2 2" xfId="14125"/>
    <cellStyle name="표준 36 4 5 2 2 2" xfId="14126"/>
    <cellStyle name="표준 36 4 5 2 3" xfId="14127"/>
    <cellStyle name="표준 36 4 5 2 4" xfId="14128"/>
    <cellStyle name="표준 36 4 5 3" xfId="14129"/>
    <cellStyle name="표준 36 4 5 3 2" xfId="14130"/>
    <cellStyle name="표준 36 4 5 4" xfId="14131"/>
    <cellStyle name="표준 36 4 5 5" xfId="14132"/>
    <cellStyle name="표준 36 4 6" xfId="14133"/>
    <cellStyle name="표준 36 4 6 2" xfId="14134"/>
    <cellStyle name="표준 36 4 6 2 2" xfId="14135"/>
    <cellStyle name="표준 36 4 6 3" xfId="14136"/>
    <cellStyle name="표준 36 4 6 4" xfId="14137"/>
    <cellStyle name="표준 36 4 7" xfId="14138"/>
    <cellStyle name="표준 36 4 7 2" xfId="14139"/>
    <cellStyle name="표준 36 4 8" xfId="14140"/>
    <cellStyle name="표준 36 4 9" xfId="14141"/>
    <cellStyle name="표준 36 5" xfId="14142"/>
    <cellStyle name="표준 36 5 2" xfId="14143"/>
    <cellStyle name="표준 36 5 2 2" xfId="14144"/>
    <cellStyle name="표준 36 5 2 2 2" xfId="14145"/>
    <cellStyle name="표준 36 5 2 2 2 2" xfId="14146"/>
    <cellStyle name="표준 36 5 2 2 3" xfId="14147"/>
    <cellStyle name="표준 36 5 2 2 4" xfId="14148"/>
    <cellStyle name="표준 36 5 2 3" xfId="14149"/>
    <cellStyle name="표준 36 5 2 3 2" xfId="14150"/>
    <cellStyle name="표준 36 5 2 4" xfId="14151"/>
    <cellStyle name="표준 36 5 2 5" xfId="14152"/>
    <cellStyle name="표준 36 5 3" xfId="14153"/>
    <cellStyle name="표준 36 5 3 2" xfId="14154"/>
    <cellStyle name="표준 36 5 3 2 2" xfId="14155"/>
    <cellStyle name="표준 36 5 3 2 2 2" xfId="14156"/>
    <cellStyle name="표준 36 5 3 2 3" xfId="14157"/>
    <cellStyle name="표준 36 5 3 2 4" xfId="14158"/>
    <cellStyle name="표준 36 5 3 3" xfId="14159"/>
    <cellStyle name="표준 36 5 3 3 2" xfId="14160"/>
    <cellStyle name="표준 36 5 3 4" xfId="14161"/>
    <cellStyle name="표준 36 5 3 5" xfId="14162"/>
    <cellStyle name="표준 36 5 4" xfId="14163"/>
    <cellStyle name="표준 36 5 4 2" xfId="14164"/>
    <cellStyle name="표준 36 5 4 2 2" xfId="14165"/>
    <cellStyle name="표준 36 5 4 3" xfId="14166"/>
    <cellStyle name="표준 36 5 4 4" xfId="14167"/>
    <cellStyle name="표준 36 5 5" xfId="14168"/>
    <cellStyle name="표준 36 5 5 2" xfId="14169"/>
    <cellStyle name="표준 36 5 6" xfId="14170"/>
    <cellStyle name="표준 36 5 7" xfId="14171"/>
    <cellStyle name="표준 36 5 8" xfId="14172"/>
    <cellStyle name="표준 36 6" xfId="14173"/>
    <cellStyle name="표준 36 6 2" xfId="14174"/>
    <cellStyle name="표준 36 6 2 2" xfId="14175"/>
    <cellStyle name="표준 36 6 2 2 2" xfId="14176"/>
    <cellStyle name="표준 36 6 2 2 2 2" xfId="14177"/>
    <cellStyle name="표준 36 6 2 2 3" xfId="14178"/>
    <cellStyle name="표준 36 6 2 2 4" xfId="14179"/>
    <cellStyle name="표준 36 6 2 3" xfId="14180"/>
    <cellStyle name="표준 36 6 2 3 2" xfId="14181"/>
    <cellStyle name="표준 36 6 2 4" xfId="14182"/>
    <cellStyle name="표준 36 6 2 5" xfId="14183"/>
    <cellStyle name="표준 36 6 3" xfId="14184"/>
    <cellStyle name="표준 36 6 3 2" xfId="14185"/>
    <cellStyle name="표준 36 6 3 2 2" xfId="14186"/>
    <cellStyle name="표준 36 6 3 2 2 2" xfId="14187"/>
    <cellStyle name="표준 36 6 3 2 3" xfId="14188"/>
    <cellStyle name="표준 36 6 3 2 4" xfId="14189"/>
    <cellStyle name="표준 36 6 3 3" xfId="14190"/>
    <cellStyle name="표준 36 6 3 3 2" xfId="14191"/>
    <cellStyle name="표준 36 6 3 4" xfId="14192"/>
    <cellStyle name="표준 36 6 3 5" xfId="14193"/>
    <cellStyle name="표준 36 6 4" xfId="14194"/>
    <cellStyle name="표준 36 6 4 2" xfId="14195"/>
    <cellStyle name="표준 36 6 4 2 2" xfId="14196"/>
    <cellStyle name="표준 36 6 4 3" xfId="14197"/>
    <cellStyle name="표준 36 6 4 4" xfId="14198"/>
    <cellStyle name="표준 36 6 5" xfId="14199"/>
    <cellStyle name="표준 36 6 5 2" xfId="14200"/>
    <cellStyle name="표준 36 6 6" xfId="14201"/>
    <cellStyle name="표준 36 6 7" xfId="14202"/>
    <cellStyle name="표준 36 6 8" xfId="14203"/>
    <cellStyle name="표준 36 7" xfId="14204"/>
    <cellStyle name="표준 36 7 2" xfId="14205"/>
    <cellStyle name="표준 36 7 2 2" xfId="14206"/>
    <cellStyle name="표준 36 7 2 2 2" xfId="14207"/>
    <cellStyle name="표준 36 7 2 3" xfId="14208"/>
    <cellStyle name="표준 36 7 2 4" xfId="14209"/>
    <cellStyle name="표준 36 7 3" xfId="14210"/>
    <cellStyle name="표준 36 7 3 2" xfId="14211"/>
    <cellStyle name="표준 36 7 4" xfId="14212"/>
    <cellStyle name="표준 36 7 5" xfId="14213"/>
    <cellStyle name="표준 36 7 6" xfId="14214"/>
    <cellStyle name="표준 36 8" xfId="14215"/>
    <cellStyle name="표준 36 8 2" xfId="14216"/>
    <cellStyle name="표준 36 8 2 2" xfId="14217"/>
    <cellStyle name="표준 36 8 2 2 2" xfId="14218"/>
    <cellStyle name="표준 36 8 2 3" xfId="14219"/>
    <cellStyle name="표준 36 8 2 4" xfId="14220"/>
    <cellStyle name="표준 36 8 3" xfId="14221"/>
    <cellStyle name="표준 36 8 3 2" xfId="14222"/>
    <cellStyle name="표준 36 8 4" xfId="14223"/>
    <cellStyle name="표준 36 8 5" xfId="14224"/>
    <cellStyle name="표준 36 8 6" xfId="14225"/>
    <cellStyle name="표준 36 9" xfId="14226"/>
    <cellStyle name="표준 36 9 2" xfId="14227"/>
    <cellStyle name="표준 36 9 2 2" xfId="14228"/>
    <cellStyle name="표준 36 9 3" xfId="14229"/>
    <cellStyle name="표준 36 9 4" xfId="14230"/>
    <cellStyle name="표준 36 9 5" xfId="14231"/>
    <cellStyle name="표준 37" xfId="4106"/>
    <cellStyle name="표준 37 10" xfId="14232"/>
    <cellStyle name="표준 37 11" xfId="14233"/>
    <cellStyle name="표준 37 12" xfId="14234"/>
    <cellStyle name="표준 37 13" xfId="14235"/>
    <cellStyle name="표준 37 14" xfId="14236"/>
    <cellStyle name="표준 37 15" xfId="14237"/>
    <cellStyle name="표준 37 2" xfId="14238"/>
    <cellStyle name="표준 37 2 2" xfId="14239"/>
    <cellStyle name="표준 37 2 3" xfId="14240"/>
    <cellStyle name="표준 37 3" xfId="14241"/>
    <cellStyle name="표준 37 3 2" xfId="14242"/>
    <cellStyle name="표준 37 3 3" xfId="14243"/>
    <cellStyle name="표준 37 4" xfId="14244"/>
    <cellStyle name="표준 37 4 2" xfId="14245"/>
    <cellStyle name="표준 37 5" xfId="14246"/>
    <cellStyle name="표준 37 6" xfId="14247"/>
    <cellStyle name="표준 37 7" xfId="14248"/>
    <cellStyle name="표준 37 8" xfId="14249"/>
    <cellStyle name="표준 37 9" xfId="14250"/>
    <cellStyle name="표준 38" xfId="4107"/>
    <cellStyle name="표준 38 10" xfId="14251"/>
    <cellStyle name="표준 38 11" xfId="14252"/>
    <cellStyle name="표준 38 12" xfId="14253"/>
    <cellStyle name="표준 38 13" xfId="14254"/>
    <cellStyle name="표준 38 14" xfId="14255"/>
    <cellStyle name="표준 38 15" xfId="14256"/>
    <cellStyle name="표준 38 2" xfId="14257"/>
    <cellStyle name="표준 38 2 2" xfId="14258"/>
    <cellStyle name="표준 38 2 3" xfId="14259"/>
    <cellStyle name="표준 38 3" xfId="14260"/>
    <cellStyle name="표준 38 3 2" xfId="14261"/>
    <cellStyle name="표준 38 3 3" xfId="14262"/>
    <cellStyle name="표준 38 4" xfId="14263"/>
    <cellStyle name="표준 38 4 2" xfId="14264"/>
    <cellStyle name="표준 38 5" xfId="14265"/>
    <cellStyle name="표준 38 6" xfId="14266"/>
    <cellStyle name="표준 38 7" xfId="14267"/>
    <cellStyle name="표준 38 8" xfId="14268"/>
    <cellStyle name="표준 38 9" xfId="14269"/>
    <cellStyle name="표준 39" xfId="11"/>
    <cellStyle name="표준 39 10" xfId="14270"/>
    <cellStyle name="표준 39 11" xfId="14271"/>
    <cellStyle name="표준 39 12" xfId="14272"/>
    <cellStyle name="표준 39 13" xfId="14273"/>
    <cellStyle name="표준 39 14" xfId="14274"/>
    <cellStyle name="표준 39 15" xfId="14275"/>
    <cellStyle name="표준 39 2" xfId="14276"/>
    <cellStyle name="표준 39 2 2" xfId="14277"/>
    <cellStyle name="표준 39 3" xfId="14278"/>
    <cellStyle name="표준 39 4" xfId="14279"/>
    <cellStyle name="표준 39 5" xfId="14280"/>
    <cellStyle name="표준 39 6" xfId="14281"/>
    <cellStyle name="표준 39 7" xfId="14282"/>
    <cellStyle name="표준 39 8" xfId="14283"/>
    <cellStyle name="표준 39 9" xfId="14284"/>
    <cellStyle name="표준 4" xfId="4108"/>
    <cellStyle name="표준 4 10" xfId="14285"/>
    <cellStyle name="표준 4 11" xfId="14286"/>
    <cellStyle name="표준 4 12" xfId="14287"/>
    <cellStyle name="표준 4 13" xfId="14288"/>
    <cellStyle name="표준 4 14" xfId="14289"/>
    <cellStyle name="표준 4 15" xfId="14290"/>
    <cellStyle name="표준 4 16" xfId="14291"/>
    <cellStyle name="표준 4 2" xfId="4109"/>
    <cellStyle name="표준 4 2 2" xfId="4110"/>
    <cellStyle name="표준 4 2 2 2" xfId="4111"/>
    <cellStyle name="표준 4 2 2 2 2" xfId="14292"/>
    <cellStyle name="표준 4 2 2 3" xfId="4112"/>
    <cellStyle name="표준 4 2 2 4" xfId="14293"/>
    <cellStyle name="표준 4 2 3" xfId="4113"/>
    <cellStyle name="표준 4 2 3 2" xfId="4114"/>
    <cellStyle name="표준 4 2 3 3" xfId="4115"/>
    <cellStyle name="표준 4 2 3 4" xfId="14294"/>
    <cellStyle name="표준 4 2 4" xfId="4116"/>
    <cellStyle name="표준 4 2 4 2" xfId="14295"/>
    <cellStyle name="표준 4 2 5" xfId="4117"/>
    <cellStyle name="표준 4 2 5 2" xfId="14296"/>
    <cellStyle name="표준 4 3" xfId="4118"/>
    <cellStyle name="표준 4 3 2" xfId="4119"/>
    <cellStyle name="표준 4 3 2 2" xfId="4120"/>
    <cellStyle name="표준 4 3 2 3" xfId="4121"/>
    <cellStyle name="표준 4 3 2 4" xfId="14297"/>
    <cellStyle name="표준 4 3 3" xfId="4122"/>
    <cellStyle name="표준 4 3 3 2" xfId="4123"/>
    <cellStyle name="표준 4 3 3 3" xfId="4124"/>
    <cellStyle name="표준 4 3 3 4" xfId="14298"/>
    <cellStyle name="표준 4 3 4" xfId="4125"/>
    <cellStyle name="표준 4 3 4 2" xfId="14299"/>
    <cellStyle name="표준 4 3 5" xfId="4126"/>
    <cellStyle name="표준 4 3 6" xfId="14300"/>
    <cellStyle name="표준 4 4" xfId="4127"/>
    <cellStyle name="표준 4 4 2" xfId="4128"/>
    <cellStyle name="표준 4 4 2 2" xfId="4129"/>
    <cellStyle name="표준 4 4 2 3" xfId="4130"/>
    <cellStyle name="표준 4 4 2 4" xfId="14301"/>
    <cellStyle name="표준 4 4 3" xfId="4131"/>
    <cellStyle name="표준 4 4 3 2" xfId="14302"/>
    <cellStyle name="표준 4 4 4" xfId="4132"/>
    <cellStyle name="표준 4 4 5" xfId="14303"/>
    <cellStyle name="표준 4 5" xfId="4133"/>
    <cellStyle name="표준 4 5 2" xfId="4134"/>
    <cellStyle name="표준 4 5 2 2" xfId="14304"/>
    <cellStyle name="표준 4 5 3" xfId="4135"/>
    <cellStyle name="표준 4 5 4" xfId="14305"/>
    <cellStyle name="표준 4 6" xfId="4136"/>
    <cellStyle name="표준 4 6 2" xfId="4137"/>
    <cellStyle name="표준 4 6 2 2" xfId="14306"/>
    <cellStyle name="표준 4 6 3" xfId="4138"/>
    <cellStyle name="표준 4 7" xfId="4139"/>
    <cellStyle name="표준 4 7 2" xfId="14307"/>
    <cellStyle name="표준 4 7 3" xfId="14308"/>
    <cellStyle name="표준 4 8" xfId="4140"/>
    <cellStyle name="표준 4 9" xfId="14309"/>
    <cellStyle name="표준 40" xfId="4141"/>
    <cellStyle name="표준 40 10" xfId="14310"/>
    <cellStyle name="표준 40 11" xfId="14311"/>
    <cellStyle name="표준 40 12" xfId="14312"/>
    <cellStyle name="표준 40 13" xfId="14313"/>
    <cellStyle name="표준 40 14" xfId="14314"/>
    <cellStyle name="표준 40 15" xfId="14315"/>
    <cellStyle name="표준 40 2" xfId="14316"/>
    <cellStyle name="표준 40 2 2" xfId="14317"/>
    <cellStyle name="표준 40 3" xfId="14318"/>
    <cellStyle name="표준 40 4" xfId="14319"/>
    <cellStyle name="표준 40 5" xfId="14320"/>
    <cellStyle name="표준 40 6" xfId="14321"/>
    <cellStyle name="표준 40 7" xfId="14322"/>
    <cellStyle name="표준 40 8" xfId="14323"/>
    <cellStyle name="표준 40 9" xfId="14324"/>
    <cellStyle name="표준 41" xfId="4142"/>
    <cellStyle name="표준 41 10" xfId="14325"/>
    <cellStyle name="표준 41 11" xfId="14326"/>
    <cellStyle name="표준 41 12" xfId="14327"/>
    <cellStyle name="표준 41 13" xfId="14328"/>
    <cellStyle name="표준 41 14" xfId="14329"/>
    <cellStyle name="표준 41 15" xfId="14330"/>
    <cellStyle name="표준 41 2" xfId="14331"/>
    <cellStyle name="표준 41 2 2" xfId="14332"/>
    <cellStyle name="표준 41 3" xfId="14333"/>
    <cellStyle name="표준 41 4" xfId="14334"/>
    <cellStyle name="표준 41 5" xfId="14335"/>
    <cellStyle name="표준 41 6" xfId="14336"/>
    <cellStyle name="표준 41 7" xfId="14337"/>
    <cellStyle name="표준 41 8" xfId="14338"/>
    <cellStyle name="표준 41 9" xfId="14339"/>
    <cellStyle name="표준 42" xfId="4143"/>
    <cellStyle name="표준 42 10" xfId="14340"/>
    <cellStyle name="표준 42 11" xfId="14341"/>
    <cellStyle name="표준 42 12" xfId="14342"/>
    <cellStyle name="표준 42 13" xfId="14343"/>
    <cellStyle name="표준 42 14" xfId="14344"/>
    <cellStyle name="표준 42 15" xfId="14345"/>
    <cellStyle name="표준 42 2" xfId="14346"/>
    <cellStyle name="표준 42 2 2" xfId="14347"/>
    <cellStyle name="표준 42 3" xfId="14348"/>
    <cellStyle name="표준 42 4" xfId="14349"/>
    <cellStyle name="표준 42 5" xfId="14350"/>
    <cellStyle name="표준 42 6" xfId="14351"/>
    <cellStyle name="표준 42 7" xfId="14352"/>
    <cellStyle name="표준 42 8" xfId="14353"/>
    <cellStyle name="표준 42 9" xfId="14354"/>
    <cellStyle name="표준 43" xfId="4144"/>
    <cellStyle name="표준 43 10" xfId="14355"/>
    <cellStyle name="표준 43 11" xfId="14356"/>
    <cellStyle name="표준 43 12" xfId="14357"/>
    <cellStyle name="표준 43 13" xfId="14358"/>
    <cellStyle name="표준 43 14" xfId="14359"/>
    <cellStyle name="표준 43 15" xfId="14360"/>
    <cellStyle name="표준 43 2" xfId="14361"/>
    <cellStyle name="표준 43 2 2" xfId="14362"/>
    <cellStyle name="표준 43 3" xfId="14363"/>
    <cellStyle name="표준 43 4" xfId="14364"/>
    <cellStyle name="표준 43 5" xfId="14365"/>
    <cellStyle name="표준 43 6" xfId="14366"/>
    <cellStyle name="표준 43 7" xfId="14367"/>
    <cellStyle name="표준 43 8" xfId="14368"/>
    <cellStyle name="표준 43 9" xfId="14369"/>
    <cellStyle name="표준 44" xfId="4145"/>
    <cellStyle name="표준 44 10" xfId="14370"/>
    <cellStyle name="표준 44 11" xfId="14371"/>
    <cellStyle name="표준 44 12" xfId="14372"/>
    <cellStyle name="표준 44 13" xfId="14373"/>
    <cellStyle name="표준 44 14" xfId="14374"/>
    <cellStyle name="표준 44 15" xfId="14375"/>
    <cellStyle name="표준 44 2" xfId="14376"/>
    <cellStyle name="표준 44 2 2" xfId="14377"/>
    <cellStyle name="표준 44 3" xfId="14378"/>
    <cellStyle name="표준 44 4" xfId="14379"/>
    <cellStyle name="표준 44 5" xfId="14380"/>
    <cellStyle name="표준 44 6" xfId="14381"/>
    <cellStyle name="표준 44 7" xfId="14382"/>
    <cellStyle name="표준 44 8" xfId="14383"/>
    <cellStyle name="표준 44 9" xfId="14384"/>
    <cellStyle name="표준 45" xfId="4146"/>
    <cellStyle name="표준 45 10" xfId="14385"/>
    <cellStyle name="표준 45 11" xfId="14386"/>
    <cellStyle name="표준 45 12" xfId="14387"/>
    <cellStyle name="표준 45 13" xfId="14388"/>
    <cellStyle name="표준 45 14" xfId="14389"/>
    <cellStyle name="표준 45 15" xfId="14390"/>
    <cellStyle name="표준 45 2" xfId="14391"/>
    <cellStyle name="표준 45 2 2" xfId="14392"/>
    <cellStyle name="표준 45 3" xfId="14393"/>
    <cellStyle name="표준 45 4" xfId="14394"/>
    <cellStyle name="표준 45 5" xfId="14395"/>
    <cellStyle name="표준 45 6" xfId="14396"/>
    <cellStyle name="표준 45 7" xfId="14397"/>
    <cellStyle name="표준 45 8" xfId="14398"/>
    <cellStyle name="표준 45 9" xfId="14399"/>
    <cellStyle name="표준 46" xfId="4147"/>
    <cellStyle name="표준 46 10" xfId="14400"/>
    <cellStyle name="표준 46 11" xfId="14401"/>
    <cellStyle name="표준 46 12" xfId="14402"/>
    <cellStyle name="표준 46 13" xfId="14403"/>
    <cellStyle name="표준 46 14" xfId="14404"/>
    <cellStyle name="표준 46 15" xfId="14405"/>
    <cellStyle name="표준 46 2" xfId="14406"/>
    <cellStyle name="표준 46 2 2" xfId="14407"/>
    <cellStyle name="표준 46 3" xfId="14408"/>
    <cellStyle name="표준 46 4" xfId="14409"/>
    <cellStyle name="표준 46 5" xfId="14410"/>
    <cellStyle name="표준 46 6" xfId="14411"/>
    <cellStyle name="표준 46 7" xfId="14412"/>
    <cellStyle name="표준 46 8" xfId="14413"/>
    <cellStyle name="표준 46 9" xfId="14414"/>
    <cellStyle name="표준 47" xfId="4148"/>
    <cellStyle name="표준 47 10" xfId="14415"/>
    <cellStyle name="표준 47 11" xfId="14416"/>
    <cellStyle name="표준 47 12" xfId="14417"/>
    <cellStyle name="표준 47 13" xfId="14418"/>
    <cellStyle name="표준 47 14" xfId="14419"/>
    <cellStyle name="표준 47 15" xfId="14420"/>
    <cellStyle name="표준 47 2" xfId="14421"/>
    <cellStyle name="표준 47 2 2" xfId="14422"/>
    <cellStyle name="표준 47 3" xfId="14423"/>
    <cellStyle name="표준 47 4" xfId="14424"/>
    <cellStyle name="표준 47 5" xfId="14425"/>
    <cellStyle name="표준 47 6" xfId="14426"/>
    <cellStyle name="표준 47 7" xfId="14427"/>
    <cellStyle name="표준 47 8" xfId="14428"/>
    <cellStyle name="표준 47 9" xfId="14429"/>
    <cellStyle name="표준 48" xfId="4149"/>
    <cellStyle name="표준 48 10" xfId="14430"/>
    <cellStyle name="표준 48 11" xfId="14431"/>
    <cellStyle name="표준 48 12" xfId="14432"/>
    <cellStyle name="표준 48 13" xfId="14433"/>
    <cellStyle name="표준 48 14" xfId="14434"/>
    <cellStyle name="표준 48 15" xfId="14435"/>
    <cellStyle name="표준 48 2" xfId="14436"/>
    <cellStyle name="표준 48 2 2" xfId="14437"/>
    <cellStyle name="표준 48 3" xfId="14438"/>
    <cellStyle name="표준 48 4" xfId="14439"/>
    <cellStyle name="표준 48 5" xfId="14440"/>
    <cellStyle name="표준 48 6" xfId="14441"/>
    <cellStyle name="표준 48 7" xfId="14442"/>
    <cellStyle name="표준 48 8" xfId="14443"/>
    <cellStyle name="표준 48 9" xfId="14444"/>
    <cellStyle name="표준 49" xfId="4150"/>
    <cellStyle name="표준 49 10" xfId="14445"/>
    <cellStyle name="표준 49 11" xfId="14446"/>
    <cellStyle name="표준 49 12" xfId="14447"/>
    <cellStyle name="표준 49 13" xfId="14448"/>
    <cellStyle name="표준 49 14" xfId="14449"/>
    <cellStyle name="표준 49 15" xfId="14450"/>
    <cellStyle name="표준 49 2" xfId="14451"/>
    <cellStyle name="표준 49 2 2" xfId="14452"/>
    <cellStyle name="표준 49 3" xfId="14453"/>
    <cellStyle name="표준 49 4" xfId="14454"/>
    <cellStyle name="표준 49 5" xfId="14455"/>
    <cellStyle name="표준 49 6" xfId="14456"/>
    <cellStyle name="표준 49 7" xfId="14457"/>
    <cellStyle name="표준 49 8" xfId="14458"/>
    <cellStyle name="표준 49 9" xfId="14459"/>
    <cellStyle name="표준 5" xfId="4151"/>
    <cellStyle name="표준 5 10" xfId="14460"/>
    <cellStyle name="표준 5 10 2" xfId="14461"/>
    <cellStyle name="표준 5 10 3" xfId="14462"/>
    <cellStyle name="표준 5 11" xfId="14463"/>
    <cellStyle name="표준 5 11 2" xfId="14464"/>
    <cellStyle name="표준 5 12" xfId="14465"/>
    <cellStyle name="표준 5 12 2" xfId="14466"/>
    <cellStyle name="표준 5 13" xfId="14467"/>
    <cellStyle name="표준 5 13 2" xfId="14468"/>
    <cellStyle name="표준 5 14" xfId="14469"/>
    <cellStyle name="표준 5 15" xfId="14470"/>
    <cellStyle name="표준 5 16" xfId="14471"/>
    <cellStyle name="표준 5 2" xfId="4152"/>
    <cellStyle name="표준 5 2 2" xfId="4153"/>
    <cellStyle name="표준 5 2 2 2" xfId="4154"/>
    <cellStyle name="표준 5 2 2 2 2" xfId="14472"/>
    <cellStyle name="표준 5 2 2 3" xfId="4155"/>
    <cellStyle name="표준 5 2 2 3 2" xfId="14473"/>
    <cellStyle name="표준 5 2 2 4" xfId="14474"/>
    <cellStyle name="표준 5 2 3" xfId="4156"/>
    <cellStyle name="표준 5 2 3 2" xfId="4157"/>
    <cellStyle name="표준 5 2 3 3" xfId="4158"/>
    <cellStyle name="표준 5 2 3 4" xfId="14475"/>
    <cellStyle name="표준 5 2 4" xfId="4159"/>
    <cellStyle name="표준 5 2 4 2" xfId="14476"/>
    <cellStyle name="표준 5 2 5" xfId="4160"/>
    <cellStyle name="표준 5 2 5 2" xfId="14477"/>
    <cellStyle name="표준 5 2 6" xfId="14478"/>
    <cellStyle name="표준 5 2 7" xfId="14479"/>
    <cellStyle name="표준 5 3" xfId="4161"/>
    <cellStyle name="표준 5 3 2" xfId="4162"/>
    <cellStyle name="표준 5 3 2 2" xfId="4163"/>
    <cellStyle name="표준 5 3 2 3" xfId="4164"/>
    <cellStyle name="표준 5 3 2 4" xfId="14480"/>
    <cellStyle name="표준 5 3 3" xfId="4165"/>
    <cellStyle name="표준 5 3 3 2" xfId="4166"/>
    <cellStyle name="표준 5 3 3 3" xfId="4167"/>
    <cellStyle name="표준 5 3 3 4" xfId="14481"/>
    <cellStyle name="표준 5 3 4" xfId="4168"/>
    <cellStyle name="표준 5 3 5" xfId="4169"/>
    <cellStyle name="표준 5 3 6" xfId="14482"/>
    <cellStyle name="표준 5 4" xfId="4170"/>
    <cellStyle name="표준 5 4 10" xfId="14483"/>
    <cellStyle name="표준 5 4 11" xfId="14484"/>
    <cellStyle name="표준 5 4 12" xfId="14485"/>
    <cellStyle name="표준 5 4 2" xfId="4171"/>
    <cellStyle name="표준 5 4 2 2" xfId="14486"/>
    <cellStyle name="표준 5 4 2 2 2" xfId="14487"/>
    <cellStyle name="표준 5 4 2 2 2 2" xfId="14488"/>
    <cellStyle name="표준 5 4 2 2 2 2 2" xfId="14489"/>
    <cellStyle name="표준 5 4 2 2 2 3" xfId="14490"/>
    <cellStyle name="표준 5 4 2 2 2 4" xfId="14491"/>
    <cellStyle name="표준 5 4 2 2 3" xfId="14492"/>
    <cellStyle name="표준 5 4 2 2 3 2" xfId="14493"/>
    <cellStyle name="표준 5 4 2 2 4" xfId="14494"/>
    <cellStyle name="표준 5 4 2 2 5" xfId="14495"/>
    <cellStyle name="표준 5 4 2 3" xfId="14496"/>
    <cellStyle name="표준 5 4 2 3 2" xfId="14497"/>
    <cellStyle name="표준 5 4 2 3 2 2" xfId="14498"/>
    <cellStyle name="표준 5 4 2 3 2 2 2" xfId="14499"/>
    <cellStyle name="표준 5 4 2 3 2 3" xfId="14500"/>
    <cellStyle name="표준 5 4 2 3 2 4" xfId="14501"/>
    <cellStyle name="표준 5 4 2 3 3" xfId="14502"/>
    <cellStyle name="표준 5 4 2 3 3 2" xfId="14503"/>
    <cellStyle name="표준 5 4 2 3 4" xfId="14504"/>
    <cellStyle name="표준 5 4 2 3 5" xfId="14505"/>
    <cellStyle name="표준 5 4 2 4" xfId="14506"/>
    <cellStyle name="표준 5 4 2 4 2" xfId="14507"/>
    <cellStyle name="표준 5 4 2 4 2 2" xfId="14508"/>
    <cellStyle name="표준 5 4 2 4 3" xfId="14509"/>
    <cellStyle name="표준 5 4 2 4 4" xfId="14510"/>
    <cellStyle name="표준 5 4 2 5" xfId="14511"/>
    <cellStyle name="표준 5 4 2 5 2" xfId="14512"/>
    <cellStyle name="표준 5 4 2 6" xfId="14513"/>
    <cellStyle name="표준 5 4 2 7" xfId="14514"/>
    <cellStyle name="표준 5 4 2 8" xfId="14515"/>
    <cellStyle name="표준 5 4 3" xfId="4172"/>
    <cellStyle name="표준 5 4 3 2" xfId="14516"/>
    <cellStyle name="표준 5 4 3 2 2" xfId="14517"/>
    <cellStyle name="표준 5 4 3 2 2 2" xfId="14518"/>
    <cellStyle name="표준 5 4 3 2 2 2 2" xfId="14519"/>
    <cellStyle name="표준 5 4 3 2 2 3" xfId="14520"/>
    <cellStyle name="표준 5 4 3 2 2 4" xfId="14521"/>
    <cellStyle name="표준 5 4 3 2 3" xfId="14522"/>
    <cellStyle name="표준 5 4 3 2 3 2" xfId="14523"/>
    <cellStyle name="표준 5 4 3 2 4" xfId="14524"/>
    <cellStyle name="표준 5 4 3 2 5" xfId="14525"/>
    <cellStyle name="표준 5 4 3 3" xfId="14526"/>
    <cellStyle name="표준 5 4 3 3 2" xfId="14527"/>
    <cellStyle name="표준 5 4 3 3 2 2" xfId="14528"/>
    <cellStyle name="표준 5 4 3 3 2 2 2" xfId="14529"/>
    <cellStyle name="표준 5 4 3 3 2 3" xfId="14530"/>
    <cellStyle name="표준 5 4 3 3 2 4" xfId="14531"/>
    <cellStyle name="표준 5 4 3 3 3" xfId="14532"/>
    <cellStyle name="표준 5 4 3 3 3 2" xfId="14533"/>
    <cellStyle name="표준 5 4 3 3 4" xfId="14534"/>
    <cellStyle name="표준 5 4 3 3 5" xfId="14535"/>
    <cellStyle name="표준 5 4 3 4" xfId="14536"/>
    <cellStyle name="표준 5 4 3 4 2" xfId="14537"/>
    <cellStyle name="표준 5 4 3 4 2 2" xfId="14538"/>
    <cellStyle name="표준 5 4 3 4 3" xfId="14539"/>
    <cellStyle name="표준 5 4 3 4 4" xfId="14540"/>
    <cellStyle name="표준 5 4 3 5" xfId="14541"/>
    <cellStyle name="표준 5 4 3 5 2" xfId="14542"/>
    <cellStyle name="표준 5 4 3 6" xfId="14543"/>
    <cellStyle name="표준 5 4 3 7" xfId="14544"/>
    <cellStyle name="표준 5 4 3 8" xfId="14545"/>
    <cellStyle name="표준 5 4 4" xfId="14546"/>
    <cellStyle name="표준 5 4 4 2" xfId="14547"/>
    <cellStyle name="표준 5 4 4 2 2" xfId="14548"/>
    <cellStyle name="표준 5 4 4 2 2 2" xfId="14549"/>
    <cellStyle name="표준 5 4 4 2 3" xfId="14550"/>
    <cellStyle name="표준 5 4 4 2 4" xfId="14551"/>
    <cellStyle name="표준 5 4 4 3" xfId="14552"/>
    <cellStyle name="표준 5 4 4 3 2" xfId="14553"/>
    <cellStyle name="표준 5 4 4 4" xfId="14554"/>
    <cellStyle name="표준 5 4 4 5" xfId="14555"/>
    <cellStyle name="표준 5 4 5" xfId="14556"/>
    <cellStyle name="표준 5 4 5 2" xfId="14557"/>
    <cellStyle name="표준 5 4 5 2 2" xfId="14558"/>
    <cellStyle name="표준 5 4 5 2 2 2" xfId="14559"/>
    <cellStyle name="표준 5 4 5 2 3" xfId="14560"/>
    <cellStyle name="표준 5 4 5 2 4" xfId="14561"/>
    <cellStyle name="표준 5 4 5 3" xfId="14562"/>
    <cellStyle name="표준 5 4 5 3 2" xfId="14563"/>
    <cellStyle name="표준 5 4 5 4" xfId="14564"/>
    <cellStyle name="표준 5 4 5 5" xfId="14565"/>
    <cellStyle name="표준 5 4 6" xfId="14566"/>
    <cellStyle name="표준 5 4 6 2" xfId="14567"/>
    <cellStyle name="표준 5 4 6 2 2" xfId="14568"/>
    <cellStyle name="표준 5 4 6 3" xfId="14569"/>
    <cellStyle name="표준 5 4 6 4" xfId="14570"/>
    <cellStyle name="표준 5 4 7" xfId="14571"/>
    <cellStyle name="표준 5 4 7 2" xfId="14572"/>
    <cellStyle name="표준 5 4 8" xfId="14573"/>
    <cellStyle name="표준 5 4 9" xfId="14574"/>
    <cellStyle name="표준 5 5" xfId="4173"/>
    <cellStyle name="표준 5 5 2" xfId="4174"/>
    <cellStyle name="표준 5 5 2 2" xfId="14575"/>
    <cellStyle name="표준 5 5 2 2 2" xfId="14576"/>
    <cellStyle name="표준 5 5 2 2 2 2" xfId="14577"/>
    <cellStyle name="표준 5 5 2 2 3" xfId="14578"/>
    <cellStyle name="표준 5 5 2 2 4" xfId="14579"/>
    <cellStyle name="표준 5 5 2 3" xfId="14580"/>
    <cellStyle name="표준 5 5 2 3 2" xfId="14581"/>
    <cellStyle name="표준 5 5 2 4" xfId="14582"/>
    <cellStyle name="표준 5 5 2 5" xfId="14583"/>
    <cellStyle name="표준 5 5 3" xfId="4175"/>
    <cellStyle name="표준 5 5 3 2" xfId="14584"/>
    <cellStyle name="표준 5 5 3 2 2" xfId="14585"/>
    <cellStyle name="표준 5 5 3 2 2 2" xfId="14586"/>
    <cellStyle name="표준 5 5 3 2 3" xfId="14587"/>
    <cellStyle name="표준 5 5 3 2 4" xfId="14588"/>
    <cellStyle name="표준 5 5 3 3" xfId="14589"/>
    <cellStyle name="표준 5 5 3 3 2" xfId="14590"/>
    <cellStyle name="표준 5 5 3 4" xfId="14591"/>
    <cellStyle name="표준 5 5 3 5" xfId="14592"/>
    <cellStyle name="표준 5 5 4" xfId="14593"/>
    <cellStyle name="표준 5 5 4 2" xfId="14594"/>
    <cellStyle name="표준 5 5 4 2 2" xfId="14595"/>
    <cellStyle name="표준 5 5 4 3" xfId="14596"/>
    <cellStyle name="표준 5 5 4 4" xfId="14597"/>
    <cellStyle name="표준 5 5 5" xfId="14598"/>
    <cellStyle name="표준 5 5 5 2" xfId="14599"/>
    <cellStyle name="표준 5 5 6" xfId="14600"/>
    <cellStyle name="표준 5 5 7" xfId="14601"/>
    <cellStyle name="표준 5 5 8" xfId="14602"/>
    <cellStyle name="표준 5 6" xfId="4176"/>
    <cellStyle name="표준 5 6 2" xfId="14603"/>
    <cellStyle name="표준 5 6 2 2" xfId="14604"/>
    <cellStyle name="표준 5 6 2 2 2" xfId="14605"/>
    <cellStyle name="표준 5 6 2 2 2 2" xfId="14606"/>
    <cellStyle name="표준 5 6 2 2 3" xfId="14607"/>
    <cellStyle name="표준 5 6 2 2 4" xfId="14608"/>
    <cellStyle name="표준 5 6 2 3" xfId="14609"/>
    <cellStyle name="표준 5 6 2 3 2" xfId="14610"/>
    <cellStyle name="표준 5 6 2 4" xfId="14611"/>
    <cellStyle name="표준 5 6 2 5" xfId="14612"/>
    <cellStyle name="표준 5 6 3" xfId="14613"/>
    <cellStyle name="표준 5 6 3 2" xfId="14614"/>
    <cellStyle name="표준 5 6 3 2 2" xfId="14615"/>
    <cellStyle name="표준 5 6 3 2 2 2" xfId="14616"/>
    <cellStyle name="표준 5 6 3 2 3" xfId="14617"/>
    <cellStyle name="표준 5 6 3 2 4" xfId="14618"/>
    <cellStyle name="표준 5 6 3 3" xfId="14619"/>
    <cellStyle name="표준 5 6 3 3 2" xfId="14620"/>
    <cellStyle name="표준 5 6 3 4" xfId="14621"/>
    <cellStyle name="표준 5 6 3 5" xfId="14622"/>
    <cellStyle name="표준 5 6 4" xfId="14623"/>
    <cellStyle name="표준 5 6 4 2" xfId="14624"/>
    <cellStyle name="표준 5 6 4 2 2" xfId="14625"/>
    <cellStyle name="표준 5 6 4 3" xfId="14626"/>
    <cellStyle name="표준 5 6 4 4" xfId="14627"/>
    <cellStyle name="표준 5 6 5" xfId="14628"/>
    <cellStyle name="표준 5 6 5 2" xfId="14629"/>
    <cellStyle name="표준 5 6 6" xfId="14630"/>
    <cellStyle name="표준 5 6 7" xfId="14631"/>
    <cellStyle name="표준 5 6 8" xfId="14632"/>
    <cellStyle name="표준 5 7" xfId="4177"/>
    <cellStyle name="표준 5 7 2" xfId="14633"/>
    <cellStyle name="표준 5 7 2 2" xfId="14634"/>
    <cellStyle name="표준 5 7 2 2 2" xfId="14635"/>
    <cellStyle name="표준 5 7 2 3" xfId="14636"/>
    <cellStyle name="표준 5 7 2 4" xfId="14637"/>
    <cellStyle name="표준 5 7 3" xfId="14638"/>
    <cellStyle name="표준 5 7 3 2" xfId="14639"/>
    <cellStyle name="표준 5 7 4" xfId="14640"/>
    <cellStyle name="표준 5 7 5" xfId="14641"/>
    <cellStyle name="표준 5 7 6" xfId="14642"/>
    <cellStyle name="표준 5 8" xfId="14643"/>
    <cellStyle name="표준 5 8 2" xfId="14644"/>
    <cellStyle name="표준 5 8 2 2" xfId="14645"/>
    <cellStyle name="표준 5 8 2 2 2" xfId="14646"/>
    <cellStyle name="표준 5 8 2 3" xfId="14647"/>
    <cellStyle name="표준 5 8 2 4" xfId="14648"/>
    <cellStyle name="표준 5 8 3" xfId="14649"/>
    <cellStyle name="표준 5 8 3 2" xfId="14650"/>
    <cellStyle name="표준 5 8 4" xfId="14651"/>
    <cellStyle name="표준 5 8 5" xfId="14652"/>
    <cellStyle name="표준 5 8 6" xfId="14653"/>
    <cellStyle name="표준 5 9" xfId="14654"/>
    <cellStyle name="표준 5 9 2" xfId="14655"/>
    <cellStyle name="표준 5 9 2 2" xfId="14656"/>
    <cellStyle name="표준 5 9 3" xfId="14657"/>
    <cellStyle name="표준 5 9 4" xfId="14658"/>
    <cellStyle name="표준 5 9 5" xfId="14659"/>
    <cellStyle name="표준 50" xfId="10"/>
    <cellStyle name="표준 50 10" xfId="14660"/>
    <cellStyle name="표준 50 11" xfId="14661"/>
    <cellStyle name="표준 50 12" xfId="14662"/>
    <cellStyle name="표준 50 13" xfId="14663"/>
    <cellStyle name="표준 50 14" xfId="14664"/>
    <cellStyle name="표준 50 15" xfId="14665"/>
    <cellStyle name="표준 50 2" xfId="14666"/>
    <cellStyle name="표준 50 2 2" xfId="14667"/>
    <cellStyle name="표준 50 3" xfId="14668"/>
    <cellStyle name="표준 50 4" xfId="14669"/>
    <cellStyle name="표준 50 5" xfId="14670"/>
    <cellStyle name="표준 50 6" xfId="14671"/>
    <cellStyle name="표준 50 7" xfId="14672"/>
    <cellStyle name="표준 50 8" xfId="14673"/>
    <cellStyle name="표준 50 9" xfId="14674"/>
    <cellStyle name="표준 51" xfId="4178"/>
    <cellStyle name="표준 51 10" xfId="14675"/>
    <cellStyle name="표준 51 11" xfId="14676"/>
    <cellStyle name="표준 51 12" xfId="14677"/>
    <cellStyle name="표준 51 13" xfId="14678"/>
    <cellStyle name="표준 51 14" xfId="14679"/>
    <cellStyle name="표준 51 15" xfId="14680"/>
    <cellStyle name="표준 51 2" xfId="14681"/>
    <cellStyle name="표준 51 2 2" xfId="14682"/>
    <cellStyle name="표준 51 3" xfId="14683"/>
    <cellStyle name="표준 51 4" xfId="14684"/>
    <cellStyle name="표준 51 5" xfId="14685"/>
    <cellStyle name="표준 51 6" xfId="14686"/>
    <cellStyle name="표준 51 7" xfId="14687"/>
    <cellStyle name="표준 51 8" xfId="14688"/>
    <cellStyle name="표준 51 9" xfId="14689"/>
    <cellStyle name="표준 52" xfId="4179"/>
    <cellStyle name="표준 52 10" xfId="14690"/>
    <cellStyle name="표준 52 11" xfId="14691"/>
    <cellStyle name="표준 52 12" xfId="14692"/>
    <cellStyle name="표준 52 13" xfId="14693"/>
    <cellStyle name="표준 52 14" xfId="14694"/>
    <cellStyle name="표준 52 15" xfId="14695"/>
    <cellStyle name="표준 52 2" xfId="14696"/>
    <cellStyle name="표준 52 2 2" xfId="14697"/>
    <cellStyle name="표준 52 3" xfId="14698"/>
    <cellStyle name="표준 52 4" xfId="14699"/>
    <cellStyle name="표준 52 5" xfId="14700"/>
    <cellStyle name="표준 52 6" xfId="14701"/>
    <cellStyle name="표준 52 7" xfId="14702"/>
    <cellStyle name="표준 52 8" xfId="14703"/>
    <cellStyle name="표준 52 9" xfId="14704"/>
    <cellStyle name="표준 53" xfId="4180"/>
    <cellStyle name="표준 53 10" xfId="14705"/>
    <cellStyle name="표준 53 11" xfId="14706"/>
    <cellStyle name="표준 53 12" xfId="14707"/>
    <cellStyle name="표준 53 13" xfId="14708"/>
    <cellStyle name="표준 53 14" xfId="14709"/>
    <cellStyle name="표준 53 15" xfId="14710"/>
    <cellStyle name="표준 53 2" xfId="14711"/>
    <cellStyle name="표준 53 2 2" xfId="14712"/>
    <cellStyle name="표준 53 3" xfId="14713"/>
    <cellStyle name="표준 53 4" xfId="14714"/>
    <cellStyle name="표준 53 5" xfId="14715"/>
    <cellStyle name="표준 53 6" xfId="14716"/>
    <cellStyle name="표준 53 7" xfId="14717"/>
    <cellStyle name="표준 53 8" xfId="14718"/>
    <cellStyle name="표준 53 9" xfId="14719"/>
    <cellStyle name="표준 54" xfId="4181"/>
    <cellStyle name="표준 54 10" xfId="14720"/>
    <cellStyle name="표준 54 11" xfId="14721"/>
    <cellStyle name="표준 54 12" xfId="14722"/>
    <cellStyle name="표준 54 13" xfId="14723"/>
    <cellStyle name="표준 54 14" xfId="14724"/>
    <cellStyle name="표준 54 15" xfId="14725"/>
    <cellStyle name="표준 54 2" xfId="14726"/>
    <cellStyle name="표준 54 2 2" xfId="14727"/>
    <cellStyle name="표준 54 3" xfId="14728"/>
    <cellStyle name="표준 54 4" xfId="14729"/>
    <cellStyle name="표준 54 5" xfId="14730"/>
    <cellStyle name="표준 54 6" xfId="14731"/>
    <cellStyle name="표준 54 7" xfId="14732"/>
    <cellStyle name="표준 54 8" xfId="14733"/>
    <cellStyle name="표준 54 9" xfId="14734"/>
    <cellStyle name="표준 55" xfId="9"/>
    <cellStyle name="표준 55 10" xfId="14735"/>
    <cellStyle name="표준 55 11" xfId="14736"/>
    <cellStyle name="표준 55 12" xfId="14737"/>
    <cellStyle name="표준 55 13" xfId="14738"/>
    <cellStyle name="표준 55 14" xfId="14739"/>
    <cellStyle name="표준 55 15" xfId="14740"/>
    <cellStyle name="표준 55 2" xfId="14741"/>
    <cellStyle name="표준 55 2 2" xfId="14742"/>
    <cellStyle name="표준 55 3" xfId="14743"/>
    <cellStyle name="표준 55 4" xfId="14744"/>
    <cellStyle name="표준 55 5" xfId="14745"/>
    <cellStyle name="표준 55 6" xfId="14746"/>
    <cellStyle name="표준 55 7" xfId="14747"/>
    <cellStyle name="표준 55 8" xfId="14748"/>
    <cellStyle name="표준 55 9" xfId="14749"/>
    <cellStyle name="표준 56" xfId="4182"/>
    <cellStyle name="표준 56 10" xfId="14750"/>
    <cellStyle name="표준 56 11" xfId="14751"/>
    <cellStyle name="표준 56 12" xfId="14752"/>
    <cellStyle name="표준 56 13" xfId="14753"/>
    <cellStyle name="표준 56 14" xfId="14754"/>
    <cellStyle name="표준 56 15" xfId="14755"/>
    <cellStyle name="표준 56 2" xfId="14756"/>
    <cellStyle name="표준 56 2 2" xfId="14757"/>
    <cellStyle name="표준 56 3" xfId="14758"/>
    <cellStyle name="표준 56 4" xfId="14759"/>
    <cellStyle name="표준 56 5" xfId="14760"/>
    <cellStyle name="표준 56 6" xfId="14761"/>
    <cellStyle name="표준 56 7" xfId="14762"/>
    <cellStyle name="표준 56 8" xfId="14763"/>
    <cellStyle name="표준 56 9" xfId="14764"/>
    <cellStyle name="표준 57" xfId="4183"/>
    <cellStyle name="표준 57 10" xfId="14765"/>
    <cellStyle name="표준 57 11" xfId="14766"/>
    <cellStyle name="표준 57 12" xfId="14767"/>
    <cellStyle name="표준 57 13" xfId="14768"/>
    <cellStyle name="표준 57 14" xfId="14769"/>
    <cellStyle name="표준 57 15" xfId="14770"/>
    <cellStyle name="표준 57 2" xfId="14771"/>
    <cellStyle name="표준 57 2 2" xfId="14772"/>
    <cellStyle name="표준 57 3" xfId="14773"/>
    <cellStyle name="표준 57 4" xfId="14774"/>
    <cellStyle name="표준 57 5" xfId="14775"/>
    <cellStyle name="표준 57 6" xfId="14776"/>
    <cellStyle name="표준 57 7" xfId="14777"/>
    <cellStyle name="표준 57 8" xfId="14778"/>
    <cellStyle name="표준 57 9" xfId="14779"/>
    <cellStyle name="표준 58" xfId="4184"/>
    <cellStyle name="표준 58 10" xfId="14780"/>
    <cellStyle name="표준 58 11" xfId="14781"/>
    <cellStyle name="표준 58 12" xfId="14782"/>
    <cellStyle name="표준 58 13" xfId="14783"/>
    <cellStyle name="표준 58 14" xfId="14784"/>
    <cellStyle name="표준 58 15" xfId="14785"/>
    <cellStyle name="표준 58 2" xfId="14786"/>
    <cellStyle name="표준 58 2 2" xfId="14787"/>
    <cellStyle name="표준 58 2 3" xfId="14788"/>
    <cellStyle name="표준 58 3" xfId="14789"/>
    <cellStyle name="표준 58 3 2" xfId="14790"/>
    <cellStyle name="표준 58 3 3" xfId="14791"/>
    <cellStyle name="표준 58 4" xfId="14792"/>
    <cellStyle name="표준 58 4 2" xfId="14793"/>
    <cellStyle name="표준 58 5" xfId="14794"/>
    <cellStyle name="표준 58 6" xfId="14795"/>
    <cellStyle name="표준 58 7" xfId="14796"/>
    <cellStyle name="표준 58 8" xfId="14797"/>
    <cellStyle name="표준 58 9" xfId="14798"/>
    <cellStyle name="표준 59" xfId="4185"/>
    <cellStyle name="표준 59 10" xfId="14799"/>
    <cellStyle name="표준 59 11" xfId="14800"/>
    <cellStyle name="표준 59 12" xfId="14801"/>
    <cellStyle name="표준 59 13" xfId="14802"/>
    <cellStyle name="표준 59 14" xfId="14803"/>
    <cellStyle name="표준 59 15" xfId="14804"/>
    <cellStyle name="표준 59 2" xfId="14805"/>
    <cellStyle name="표준 59 2 2" xfId="14806"/>
    <cellStyle name="표준 59 2 3" xfId="14807"/>
    <cellStyle name="표준 59 3" xfId="14808"/>
    <cellStyle name="표준 59 3 2" xfId="14809"/>
    <cellStyle name="표준 59 3 3" xfId="14810"/>
    <cellStyle name="표준 59 4" xfId="14811"/>
    <cellStyle name="표준 59 4 2" xfId="14812"/>
    <cellStyle name="표준 59 5" xfId="14813"/>
    <cellStyle name="표준 59 6" xfId="14814"/>
    <cellStyle name="표준 59 7" xfId="14815"/>
    <cellStyle name="표준 59 8" xfId="14816"/>
    <cellStyle name="표준 59 9" xfId="14817"/>
    <cellStyle name="표준 6" xfId="4186"/>
    <cellStyle name="표준 6 10" xfId="14818"/>
    <cellStyle name="표준 6 11" xfId="14819"/>
    <cellStyle name="표준 6 12" xfId="14820"/>
    <cellStyle name="표준 6 13" xfId="14821"/>
    <cellStyle name="표준 6 14" xfId="14822"/>
    <cellStyle name="표준 6 15" xfId="14823"/>
    <cellStyle name="표준 6 2" xfId="4187"/>
    <cellStyle name="표준 6 2 2" xfId="4188"/>
    <cellStyle name="표준 6 2 2 2" xfId="4189"/>
    <cellStyle name="표준 6 2 2 2 2" xfId="14824"/>
    <cellStyle name="표준 6 2 2 3" xfId="4190"/>
    <cellStyle name="표준 6 2 2 3 2" xfId="14825"/>
    <cellStyle name="표준 6 2 2 4" xfId="14826"/>
    <cellStyle name="표준 6 2 2 5" xfId="14827"/>
    <cellStyle name="표준 6 2 2 6" xfId="14828"/>
    <cellStyle name="표준 6 2 3" xfId="4191"/>
    <cellStyle name="표준 6 2 3 2" xfId="4192"/>
    <cellStyle name="표준 6 2 3 2 2" xfId="14829"/>
    <cellStyle name="표준 6 2 3 3" xfId="4193"/>
    <cellStyle name="표준 6 2 3 4" xfId="14830"/>
    <cellStyle name="표준 6 2 4" xfId="4194"/>
    <cellStyle name="표준 6 2 4 2" xfId="14831"/>
    <cellStyle name="표준 6 2 5" xfId="4195"/>
    <cellStyle name="표준 6 3" xfId="4196"/>
    <cellStyle name="표준 6 3 2" xfId="4197"/>
    <cellStyle name="표준 6 3 2 2" xfId="4198"/>
    <cellStyle name="표준 6 3 2 2 2" xfId="14832"/>
    <cellStyle name="표준 6 3 2 3" xfId="4199"/>
    <cellStyle name="표준 6 3 2 3 2" xfId="14833"/>
    <cellStyle name="표준 6 3 2 4" xfId="14834"/>
    <cellStyle name="표준 6 3 3" xfId="4200"/>
    <cellStyle name="표준 6 3 3 2" xfId="4201"/>
    <cellStyle name="표준 6 3 3 3" xfId="4202"/>
    <cellStyle name="표준 6 3 3 4" xfId="14835"/>
    <cellStyle name="표준 6 3 4" xfId="4203"/>
    <cellStyle name="표준 6 3 5" xfId="4204"/>
    <cellStyle name="표준 6 3 6" xfId="14836"/>
    <cellStyle name="표준 6 4" xfId="4205"/>
    <cellStyle name="표준 6 4 2" xfId="4206"/>
    <cellStyle name="표준 6 4 2 2" xfId="14837"/>
    <cellStyle name="표준 6 4 3" xfId="4207"/>
    <cellStyle name="표준 6 4 3 2" xfId="14838"/>
    <cellStyle name="표준 6 4 4" xfId="14839"/>
    <cellStyle name="표준 6 5" xfId="4208"/>
    <cellStyle name="표준 6 5 2" xfId="4209"/>
    <cellStyle name="표준 6 5 2 2" xfId="14840"/>
    <cellStyle name="표준 6 5 3" xfId="4210"/>
    <cellStyle name="표준 6 5 4" xfId="14841"/>
    <cellStyle name="표준 6 6" xfId="4211"/>
    <cellStyle name="표준 6 7" xfId="4212"/>
    <cellStyle name="표준 6 7 2" xfId="14842"/>
    <cellStyle name="표준 6 8" xfId="14843"/>
    <cellStyle name="표준 6 9" xfId="14844"/>
    <cellStyle name="표준 60" xfId="4213"/>
    <cellStyle name="표준 60 10" xfId="14845"/>
    <cellStyle name="표준 60 11" xfId="14846"/>
    <cellStyle name="표준 60 12" xfId="14847"/>
    <cellStyle name="표준 60 13" xfId="14848"/>
    <cellStyle name="표준 60 14" xfId="14849"/>
    <cellStyle name="표준 60 15" xfId="14850"/>
    <cellStyle name="표준 60 2" xfId="14851"/>
    <cellStyle name="표준 60 2 2" xfId="14852"/>
    <cellStyle name="표준 60 2 3" xfId="14853"/>
    <cellStyle name="표준 60 3" xfId="14854"/>
    <cellStyle name="표준 60 3 2" xfId="14855"/>
    <cellStyle name="표준 60 3 3" xfId="14856"/>
    <cellStyle name="표준 60 4" xfId="14857"/>
    <cellStyle name="표준 60 4 2" xfId="14858"/>
    <cellStyle name="표준 60 5" xfId="14859"/>
    <cellStyle name="표준 60 6" xfId="14860"/>
    <cellStyle name="표준 60 7" xfId="14861"/>
    <cellStyle name="표준 60 8" xfId="14862"/>
    <cellStyle name="표준 60 9" xfId="14863"/>
    <cellStyle name="표준 61" xfId="4214"/>
    <cellStyle name="표준 61 10" xfId="14864"/>
    <cellStyle name="표준 61 11" xfId="14865"/>
    <cellStyle name="표준 61 12" xfId="14866"/>
    <cellStyle name="표준 61 13" xfId="14867"/>
    <cellStyle name="표준 61 14" xfId="14868"/>
    <cellStyle name="표준 61 15" xfId="14869"/>
    <cellStyle name="표준 61 2" xfId="14870"/>
    <cellStyle name="표준 61 2 2" xfId="14871"/>
    <cellStyle name="표준 61 2 3" xfId="14872"/>
    <cellStyle name="표준 61 3" xfId="14873"/>
    <cellStyle name="표준 61 3 2" xfId="14874"/>
    <cellStyle name="표준 61 3 3" xfId="14875"/>
    <cellStyle name="표준 61 4" xfId="14876"/>
    <cellStyle name="표준 61 4 2" xfId="14877"/>
    <cellStyle name="표준 61 5" xfId="14878"/>
    <cellStyle name="표준 61 6" xfId="14879"/>
    <cellStyle name="표준 61 7" xfId="14880"/>
    <cellStyle name="표준 61 8" xfId="14881"/>
    <cellStyle name="표준 61 9" xfId="14882"/>
    <cellStyle name="표준 62" xfId="4215"/>
    <cellStyle name="표준 62 10" xfId="14883"/>
    <cellStyle name="표준 62 10 2" xfId="14884"/>
    <cellStyle name="표준 62 10 3" xfId="14885"/>
    <cellStyle name="표준 62 11" xfId="14886"/>
    <cellStyle name="표준 62 11 2" xfId="14887"/>
    <cellStyle name="표준 62 12" xfId="14888"/>
    <cellStyle name="표준 62 12 2" xfId="14889"/>
    <cellStyle name="표준 62 13" xfId="14890"/>
    <cellStyle name="표준 62 14" xfId="14891"/>
    <cellStyle name="표준 62 2" xfId="14892"/>
    <cellStyle name="표준 62 2 2" xfId="14893"/>
    <cellStyle name="표준 62 2 3" xfId="14894"/>
    <cellStyle name="표준 62 3" xfId="14895"/>
    <cellStyle name="표준 62 3 2" xfId="14896"/>
    <cellStyle name="표준 62 3 3" xfId="14897"/>
    <cellStyle name="표준 62 4" xfId="14898"/>
    <cellStyle name="표준 62 4 10" xfId="14899"/>
    <cellStyle name="표준 62 4 2" xfId="14900"/>
    <cellStyle name="표준 62 4 2 2" xfId="14901"/>
    <cellStyle name="표준 62 4 2 2 2" xfId="14902"/>
    <cellStyle name="표준 62 4 2 2 2 2" xfId="14903"/>
    <cellStyle name="표준 62 4 2 2 2 2 2" xfId="14904"/>
    <cellStyle name="표준 62 4 2 2 2 3" xfId="14905"/>
    <cellStyle name="표준 62 4 2 2 2 4" xfId="14906"/>
    <cellStyle name="표준 62 4 2 2 3" xfId="14907"/>
    <cellStyle name="표준 62 4 2 2 3 2" xfId="14908"/>
    <cellStyle name="표준 62 4 2 2 4" xfId="14909"/>
    <cellStyle name="표준 62 4 2 2 5" xfId="14910"/>
    <cellStyle name="표준 62 4 2 3" xfId="14911"/>
    <cellStyle name="표준 62 4 2 3 2" xfId="14912"/>
    <cellStyle name="표준 62 4 2 3 2 2" xfId="14913"/>
    <cellStyle name="표준 62 4 2 3 2 2 2" xfId="14914"/>
    <cellStyle name="표준 62 4 2 3 2 3" xfId="14915"/>
    <cellStyle name="표준 62 4 2 3 2 4" xfId="14916"/>
    <cellStyle name="표준 62 4 2 3 3" xfId="14917"/>
    <cellStyle name="표준 62 4 2 3 3 2" xfId="14918"/>
    <cellStyle name="표준 62 4 2 3 4" xfId="14919"/>
    <cellStyle name="표준 62 4 2 3 5" xfId="14920"/>
    <cellStyle name="표준 62 4 2 4" xfId="14921"/>
    <cellStyle name="표준 62 4 2 4 2" xfId="14922"/>
    <cellStyle name="표준 62 4 2 4 2 2" xfId="14923"/>
    <cellStyle name="표준 62 4 2 4 3" xfId="14924"/>
    <cellStyle name="표준 62 4 2 4 4" xfId="14925"/>
    <cellStyle name="표준 62 4 2 5" xfId="14926"/>
    <cellStyle name="표준 62 4 2 5 2" xfId="14927"/>
    <cellStyle name="표준 62 4 2 6" xfId="14928"/>
    <cellStyle name="표준 62 4 2 7" xfId="14929"/>
    <cellStyle name="표준 62 4 3" xfId="14930"/>
    <cellStyle name="표준 62 4 3 2" xfId="14931"/>
    <cellStyle name="표준 62 4 3 2 2" xfId="14932"/>
    <cellStyle name="표준 62 4 3 2 2 2" xfId="14933"/>
    <cellStyle name="표준 62 4 3 2 2 2 2" xfId="14934"/>
    <cellStyle name="표준 62 4 3 2 2 3" xfId="14935"/>
    <cellStyle name="표준 62 4 3 2 2 4" xfId="14936"/>
    <cellStyle name="표준 62 4 3 2 3" xfId="14937"/>
    <cellStyle name="표준 62 4 3 2 3 2" xfId="14938"/>
    <cellStyle name="표준 62 4 3 2 4" xfId="14939"/>
    <cellStyle name="표준 62 4 3 2 5" xfId="14940"/>
    <cellStyle name="표준 62 4 3 3" xfId="14941"/>
    <cellStyle name="표준 62 4 3 3 2" xfId="14942"/>
    <cellStyle name="표준 62 4 3 3 2 2" xfId="14943"/>
    <cellStyle name="표준 62 4 3 3 2 2 2" xfId="14944"/>
    <cellStyle name="표준 62 4 3 3 2 3" xfId="14945"/>
    <cellStyle name="표준 62 4 3 3 2 4" xfId="14946"/>
    <cellStyle name="표준 62 4 3 3 3" xfId="14947"/>
    <cellStyle name="표준 62 4 3 3 3 2" xfId="14948"/>
    <cellStyle name="표준 62 4 3 3 4" xfId="14949"/>
    <cellStyle name="표준 62 4 3 3 5" xfId="14950"/>
    <cellStyle name="표준 62 4 3 4" xfId="14951"/>
    <cellStyle name="표준 62 4 3 4 2" xfId="14952"/>
    <cellStyle name="표준 62 4 3 4 2 2" xfId="14953"/>
    <cellStyle name="표준 62 4 3 4 3" xfId="14954"/>
    <cellStyle name="표준 62 4 3 4 4" xfId="14955"/>
    <cellStyle name="표준 62 4 3 5" xfId="14956"/>
    <cellStyle name="표준 62 4 3 5 2" xfId="14957"/>
    <cellStyle name="표준 62 4 3 6" xfId="14958"/>
    <cellStyle name="표준 62 4 3 7" xfId="14959"/>
    <cellStyle name="표준 62 4 4" xfId="14960"/>
    <cellStyle name="표준 62 4 4 2" xfId="14961"/>
    <cellStyle name="표준 62 4 4 2 2" xfId="14962"/>
    <cellStyle name="표준 62 4 4 2 2 2" xfId="14963"/>
    <cellStyle name="표준 62 4 4 2 3" xfId="14964"/>
    <cellStyle name="표준 62 4 4 2 4" xfId="14965"/>
    <cellStyle name="표준 62 4 4 3" xfId="14966"/>
    <cellStyle name="표준 62 4 4 3 2" xfId="14967"/>
    <cellStyle name="표준 62 4 4 4" xfId="14968"/>
    <cellStyle name="표준 62 4 4 5" xfId="14969"/>
    <cellStyle name="표준 62 4 5" xfId="14970"/>
    <cellStyle name="표준 62 4 5 2" xfId="14971"/>
    <cellStyle name="표준 62 4 5 2 2" xfId="14972"/>
    <cellStyle name="표준 62 4 5 2 2 2" xfId="14973"/>
    <cellStyle name="표준 62 4 5 2 3" xfId="14974"/>
    <cellStyle name="표준 62 4 5 2 4" xfId="14975"/>
    <cellStyle name="표준 62 4 5 3" xfId="14976"/>
    <cellStyle name="표준 62 4 5 3 2" xfId="14977"/>
    <cellStyle name="표준 62 4 5 4" xfId="14978"/>
    <cellStyle name="표준 62 4 5 5" xfId="14979"/>
    <cellStyle name="표준 62 4 6" xfId="14980"/>
    <cellStyle name="표준 62 4 6 2" xfId="14981"/>
    <cellStyle name="표준 62 4 6 2 2" xfId="14982"/>
    <cellStyle name="표준 62 4 6 3" xfId="14983"/>
    <cellStyle name="표준 62 4 6 4" xfId="14984"/>
    <cellStyle name="표준 62 4 7" xfId="14985"/>
    <cellStyle name="표준 62 4 7 2" xfId="14986"/>
    <cellStyle name="표준 62 4 8" xfId="14987"/>
    <cellStyle name="표준 62 4 9" xfId="14988"/>
    <cellStyle name="표준 62 5" xfId="14989"/>
    <cellStyle name="표준 62 5 2" xfId="14990"/>
    <cellStyle name="표준 62 5 2 2" xfId="14991"/>
    <cellStyle name="표준 62 5 2 2 2" xfId="14992"/>
    <cellStyle name="표준 62 5 2 2 2 2" xfId="14993"/>
    <cellStyle name="표준 62 5 2 2 3" xfId="14994"/>
    <cellStyle name="표준 62 5 2 2 4" xfId="14995"/>
    <cellStyle name="표준 62 5 2 3" xfId="14996"/>
    <cellStyle name="표준 62 5 2 3 2" xfId="14997"/>
    <cellStyle name="표준 62 5 2 4" xfId="14998"/>
    <cellStyle name="표준 62 5 2 5" xfId="14999"/>
    <cellStyle name="표준 62 5 3" xfId="15000"/>
    <cellStyle name="표준 62 5 3 2" xfId="15001"/>
    <cellStyle name="표준 62 5 3 2 2" xfId="15002"/>
    <cellStyle name="표준 62 5 3 2 2 2" xfId="15003"/>
    <cellStyle name="표준 62 5 3 2 3" xfId="15004"/>
    <cellStyle name="표준 62 5 3 2 4" xfId="15005"/>
    <cellStyle name="표준 62 5 3 3" xfId="15006"/>
    <cellStyle name="표준 62 5 3 3 2" xfId="15007"/>
    <cellStyle name="표준 62 5 3 4" xfId="15008"/>
    <cellStyle name="표준 62 5 3 5" xfId="15009"/>
    <cellStyle name="표준 62 5 4" xfId="15010"/>
    <cellStyle name="표준 62 5 4 2" xfId="15011"/>
    <cellStyle name="표준 62 5 4 2 2" xfId="15012"/>
    <cellStyle name="표준 62 5 4 3" xfId="15013"/>
    <cellStyle name="표준 62 5 4 4" xfId="15014"/>
    <cellStyle name="표준 62 5 5" xfId="15015"/>
    <cellStyle name="표준 62 5 5 2" xfId="15016"/>
    <cellStyle name="표준 62 5 6" xfId="15017"/>
    <cellStyle name="표준 62 5 7" xfId="15018"/>
    <cellStyle name="표준 62 5 8" xfId="15019"/>
    <cellStyle name="표준 62 6" xfId="15020"/>
    <cellStyle name="표준 62 6 2" xfId="15021"/>
    <cellStyle name="표준 62 6 2 2" xfId="15022"/>
    <cellStyle name="표준 62 6 2 2 2" xfId="15023"/>
    <cellStyle name="표준 62 6 2 2 2 2" xfId="15024"/>
    <cellStyle name="표준 62 6 2 2 3" xfId="15025"/>
    <cellStyle name="표준 62 6 2 2 4" xfId="15026"/>
    <cellStyle name="표준 62 6 2 3" xfId="15027"/>
    <cellStyle name="표준 62 6 2 3 2" xfId="15028"/>
    <cellStyle name="표준 62 6 2 4" xfId="15029"/>
    <cellStyle name="표준 62 6 2 5" xfId="15030"/>
    <cellStyle name="표준 62 6 3" xfId="15031"/>
    <cellStyle name="표준 62 6 3 2" xfId="15032"/>
    <cellStyle name="표준 62 6 3 2 2" xfId="15033"/>
    <cellStyle name="표준 62 6 3 2 2 2" xfId="15034"/>
    <cellStyle name="표준 62 6 3 2 3" xfId="15035"/>
    <cellStyle name="표준 62 6 3 2 4" xfId="15036"/>
    <cellStyle name="표준 62 6 3 3" xfId="15037"/>
    <cellStyle name="표준 62 6 3 3 2" xfId="15038"/>
    <cellStyle name="표준 62 6 3 4" xfId="15039"/>
    <cellStyle name="표준 62 6 3 5" xfId="15040"/>
    <cellStyle name="표준 62 6 4" xfId="15041"/>
    <cellStyle name="표준 62 6 4 2" xfId="15042"/>
    <cellStyle name="표준 62 6 4 2 2" xfId="15043"/>
    <cellStyle name="표준 62 6 4 3" xfId="15044"/>
    <cellStyle name="표준 62 6 4 4" xfId="15045"/>
    <cellStyle name="표준 62 6 5" xfId="15046"/>
    <cellStyle name="표준 62 6 5 2" xfId="15047"/>
    <cellStyle name="표준 62 6 6" xfId="15048"/>
    <cellStyle name="표준 62 6 7" xfId="15049"/>
    <cellStyle name="표준 62 6 8" xfId="15050"/>
    <cellStyle name="표준 62 7" xfId="15051"/>
    <cellStyle name="표준 62 7 2" xfId="15052"/>
    <cellStyle name="표준 62 7 2 2" xfId="15053"/>
    <cellStyle name="표준 62 7 2 2 2" xfId="15054"/>
    <cellStyle name="표준 62 7 2 3" xfId="15055"/>
    <cellStyle name="표준 62 7 2 4" xfId="15056"/>
    <cellStyle name="표준 62 7 3" xfId="15057"/>
    <cellStyle name="표준 62 7 3 2" xfId="15058"/>
    <cellStyle name="표준 62 7 4" xfId="15059"/>
    <cellStyle name="표준 62 7 5" xfId="15060"/>
    <cellStyle name="표준 62 7 6" xfId="15061"/>
    <cellStyle name="표준 62 8" xfId="15062"/>
    <cellStyle name="표준 62 8 2" xfId="15063"/>
    <cellStyle name="표준 62 8 2 2" xfId="15064"/>
    <cellStyle name="표준 62 8 2 2 2" xfId="15065"/>
    <cellStyle name="표준 62 8 2 3" xfId="15066"/>
    <cellStyle name="표준 62 8 2 4" xfId="15067"/>
    <cellStyle name="표준 62 8 3" xfId="15068"/>
    <cellStyle name="표준 62 8 3 2" xfId="15069"/>
    <cellStyle name="표준 62 8 4" xfId="15070"/>
    <cellStyle name="표준 62 8 5" xfId="15071"/>
    <cellStyle name="표준 62 8 6" xfId="15072"/>
    <cellStyle name="표준 62 9" xfId="15073"/>
    <cellStyle name="표준 62 9 2" xfId="15074"/>
    <cellStyle name="표준 62 9 2 2" xfId="15075"/>
    <cellStyle name="표준 62 9 3" xfId="15076"/>
    <cellStyle name="표준 62 9 4" xfId="15077"/>
    <cellStyle name="표준 62 9 5" xfId="15078"/>
    <cellStyle name="표준 63" xfId="8"/>
    <cellStyle name="표준 63 10" xfId="15079"/>
    <cellStyle name="표준 63 11" xfId="15080"/>
    <cellStyle name="표준 63 12" xfId="15081"/>
    <cellStyle name="표준 63 13" xfId="15082"/>
    <cellStyle name="표준 63 14" xfId="15083"/>
    <cellStyle name="표준 63 15" xfId="15084"/>
    <cellStyle name="표준 63 2" xfId="15085"/>
    <cellStyle name="표준 63 2 2" xfId="15086"/>
    <cellStyle name="표준 63 2 3" xfId="15087"/>
    <cellStyle name="표준 63 3" xfId="15088"/>
    <cellStyle name="표준 63 3 2" xfId="15089"/>
    <cellStyle name="표준 63 3 3" xfId="15090"/>
    <cellStyle name="표준 63 4" xfId="15091"/>
    <cellStyle name="표준 63 4 2" xfId="15092"/>
    <cellStyle name="표준 63 5" xfId="15093"/>
    <cellStyle name="표준 63 6" xfId="15094"/>
    <cellStyle name="표준 63 7" xfId="15095"/>
    <cellStyle name="표준 63 8" xfId="15096"/>
    <cellStyle name="표준 63 9" xfId="15097"/>
    <cellStyle name="표준 64" xfId="5"/>
    <cellStyle name="표준 64 10" xfId="15098"/>
    <cellStyle name="표준 64 11" xfId="15099"/>
    <cellStyle name="표준 64 12" xfId="15100"/>
    <cellStyle name="표준 64 13" xfId="15101"/>
    <cellStyle name="표준 64 14" xfId="15102"/>
    <cellStyle name="표준 64 15" xfId="15103"/>
    <cellStyle name="표준 64 2" xfId="15104"/>
    <cellStyle name="표준 64 2 2" xfId="15105"/>
    <cellStyle name="표준 64 2 3" xfId="15106"/>
    <cellStyle name="표준 64 3" xfId="15107"/>
    <cellStyle name="표준 64 3 2" xfId="15108"/>
    <cellStyle name="표준 64 3 3" xfId="15109"/>
    <cellStyle name="표준 64 4" xfId="15110"/>
    <cellStyle name="표준 64 4 2" xfId="15111"/>
    <cellStyle name="표준 64 5" xfId="15112"/>
    <cellStyle name="표준 64 6" xfId="15113"/>
    <cellStyle name="표준 64 7" xfId="15114"/>
    <cellStyle name="표준 64 8" xfId="15115"/>
    <cellStyle name="표준 64 9" xfId="15116"/>
    <cellStyle name="표준 65" xfId="7"/>
    <cellStyle name="표준 65 10" xfId="15117"/>
    <cellStyle name="표준 65 11" xfId="15118"/>
    <cellStyle name="표준 65 12" xfId="15119"/>
    <cellStyle name="표준 65 13" xfId="15120"/>
    <cellStyle name="표준 65 14" xfId="15121"/>
    <cellStyle name="표준 65 15" xfId="15122"/>
    <cellStyle name="표준 65 2" xfId="15123"/>
    <cellStyle name="표준 65 2 2" xfId="15124"/>
    <cellStyle name="표준 65 2 3" xfId="15125"/>
    <cellStyle name="표준 65 3" xfId="15126"/>
    <cellStyle name="표준 65 3 2" xfId="15127"/>
    <cellStyle name="표준 65 3 3" xfId="15128"/>
    <cellStyle name="표준 65 4" xfId="15129"/>
    <cellStyle name="표준 65 4 2" xfId="15130"/>
    <cellStyle name="표준 65 5" xfId="15131"/>
    <cellStyle name="표준 65 6" xfId="15132"/>
    <cellStyle name="표준 65 7" xfId="15133"/>
    <cellStyle name="표준 65 8" xfId="15134"/>
    <cellStyle name="표준 65 9" xfId="15135"/>
    <cellStyle name="표준 66" xfId="6"/>
    <cellStyle name="표준 66 10" xfId="15136"/>
    <cellStyle name="표준 66 11" xfId="15137"/>
    <cellStyle name="표준 66 12" xfId="15138"/>
    <cellStyle name="표준 66 13" xfId="15139"/>
    <cellStyle name="표준 66 14" xfId="15140"/>
    <cellStyle name="표준 66 15" xfId="15141"/>
    <cellStyle name="표준 66 2" xfId="15142"/>
    <cellStyle name="표준 66 2 2" xfId="15143"/>
    <cellStyle name="표준 66 2 3" xfId="15144"/>
    <cellStyle name="표준 66 3" xfId="15145"/>
    <cellStyle name="표준 66 3 2" xfId="15146"/>
    <cellStyle name="표준 66 3 3" xfId="15147"/>
    <cellStyle name="표준 66 4" xfId="15148"/>
    <cellStyle name="표준 66 4 2" xfId="15149"/>
    <cellStyle name="표준 66 5" xfId="15150"/>
    <cellStyle name="표준 66 6" xfId="15151"/>
    <cellStyle name="표준 66 7" xfId="15152"/>
    <cellStyle name="표준 66 8" xfId="15153"/>
    <cellStyle name="표준 66 9" xfId="15154"/>
    <cellStyle name="표준 67" xfId="4"/>
    <cellStyle name="표준 67 10" xfId="15155"/>
    <cellStyle name="표준 67 11" xfId="15156"/>
    <cellStyle name="표준 67 12" xfId="15157"/>
    <cellStyle name="표준 67 13" xfId="15158"/>
    <cellStyle name="표준 67 14" xfId="15159"/>
    <cellStyle name="표준 67 15" xfId="15160"/>
    <cellStyle name="표준 67 2" xfId="15161"/>
    <cellStyle name="표준 67 2 2" xfId="15162"/>
    <cellStyle name="표준 67 2 3" xfId="15163"/>
    <cellStyle name="표준 67 3" xfId="15164"/>
    <cellStyle name="표준 67 3 2" xfId="15165"/>
    <cellStyle name="표준 67 3 3" xfId="15166"/>
    <cellStyle name="표준 67 4" xfId="15167"/>
    <cellStyle name="표준 67 4 2" xfId="15168"/>
    <cellStyle name="표준 67 5" xfId="15169"/>
    <cellStyle name="표준 67 6" xfId="15170"/>
    <cellStyle name="표준 67 7" xfId="15171"/>
    <cellStyle name="표준 67 8" xfId="15172"/>
    <cellStyle name="표준 67 9" xfId="15173"/>
    <cellStyle name="표준 68" xfId="15174"/>
    <cellStyle name="표준 68 10" xfId="15175"/>
    <cellStyle name="표준 68 11" xfId="15176"/>
    <cellStyle name="표준 68 12" xfId="15177"/>
    <cellStyle name="표준 68 13" xfId="15178"/>
    <cellStyle name="표준 68 14" xfId="15179"/>
    <cellStyle name="표준 68 2" xfId="15180"/>
    <cellStyle name="표준 68 2 2" xfId="15181"/>
    <cellStyle name="표준 68 2 3" xfId="15182"/>
    <cellStyle name="표준 68 3" xfId="15183"/>
    <cellStyle name="표준 68 3 2" xfId="15184"/>
    <cellStyle name="표준 68 3 3" xfId="15185"/>
    <cellStyle name="표준 68 4" xfId="15186"/>
    <cellStyle name="표준 68 4 2" xfId="15187"/>
    <cellStyle name="표준 68 5" xfId="15188"/>
    <cellStyle name="표준 68 6" xfId="15189"/>
    <cellStyle name="표준 68 7" xfId="15190"/>
    <cellStyle name="표준 68 8" xfId="15191"/>
    <cellStyle name="표준 68 9" xfId="15192"/>
    <cellStyle name="표준 69" xfId="15193"/>
    <cellStyle name="표준 69 10" xfId="15194"/>
    <cellStyle name="표준 69 11" xfId="15195"/>
    <cellStyle name="표준 69 12" xfId="15196"/>
    <cellStyle name="표준 69 13" xfId="15197"/>
    <cellStyle name="표준 69 14" xfId="15198"/>
    <cellStyle name="표준 69 2" xfId="15199"/>
    <cellStyle name="표준 69 2 2" xfId="15200"/>
    <cellStyle name="표준 69 2 3" xfId="15201"/>
    <cellStyle name="표준 69 3" xfId="15202"/>
    <cellStyle name="표준 69 3 2" xfId="15203"/>
    <cellStyle name="표준 69 3 3" xfId="15204"/>
    <cellStyle name="표준 69 4" xfId="15205"/>
    <cellStyle name="표준 69 4 2" xfId="15206"/>
    <cellStyle name="표준 69 5" xfId="15207"/>
    <cellStyle name="표준 69 6" xfId="15208"/>
    <cellStyle name="표준 69 7" xfId="15209"/>
    <cellStyle name="표준 69 8" xfId="15210"/>
    <cellStyle name="표준 69 9" xfId="15211"/>
    <cellStyle name="표준 7" xfId="4216"/>
    <cellStyle name="표준 7 10" xfId="15212"/>
    <cellStyle name="표준 7 11" xfId="15213"/>
    <cellStyle name="표준 7 12" xfId="15214"/>
    <cellStyle name="표준 7 13" xfId="15215"/>
    <cellStyle name="표준 7 14" xfId="15216"/>
    <cellStyle name="표준 7 15" xfId="15217"/>
    <cellStyle name="표준 7 16" xfId="15218"/>
    <cellStyle name="표준 7 17" xfId="15219"/>
    <cellStyle name="표준 7 2" xfId="4217"/>
    <cellStyle name="표준 7 2 2" xfId="4218"/>
    <cellStyle name="표준 7 2 2 2" xfId="4219"/>
    <cellStyle name="표준 7 2 2 2 2" xfId="15220"/>
    <cellStyle name="표준 7 2 2 3" xfId="4220"/>
    <cellStyle name="표준 7 2 2 4" xfId="15221"/>
    <cellStyle name="표준 7 2 3" xfId="4221"/>
    <cellStyle name="표준 7 2 3 2" xfId="4222"/>
    <cellStyle name="표준 7 2 3 3" xfId="4223"/>
    <cellStyle name="표준 7 2 3 4" xfId="15222"/>
    <cellStyle name="표준 7 2 4" xfId="4224"/>
    <cellStyle name="표준 7 2 5" xfId="4225"/>
    <cellStyle name="표준 7 2 6" xfId="15223"/>
    <cellStyle name="표준 7 3" xfId="4226"/>
    <cellStyle name="표준 7 3 2" xfId="4227"/>
    <cellStyle name="표준 7 3 2 2" xfId="4228"/>
    <cellStyle name="표준 7 3 2 3" xfId="4229"/>
    <cellStyle name="표준 7 3 2 4" xfId="15224"/>
    <cellStyle name="표준 7 3 3" xfId="4230"/>
    <cellStyle name="표준 7 3 3 2" xfId="4231"/>
    <cellStyle name="표준 7 3 3 3" xfId="4232"/>
    <cellStyle name="표준 7 3 3 4" xfId="15225"/>
    <cellStyle name="표준 7 3 4" xfId="4233"/>
    <cellStyle name="표준 7 3 4 2" xfId="15226"/>
    <cellStyle name="표준 7 3 5" xfId="4234"/>
    <cellStyle name="표준 7 3 6" xfId="15227"/>
    <cellStyle name="표준 7 4" xfId="4235"/>
    <cellStyle name="표준 7 4 2" xfId="4236"/>
    <cellStyle name="표준 7 4 2 2" xfId="15228"/>
    <cellStyle name="표준 7 4 3" xfId="4237"/>
    <cellStyle name="표준 7 4 3 2" xfId="15229"/>
    <cellStyle name="표준 7 4 4" xfId="15230"/>
    <cellStyle name="표준 7 5" xfId="4238"/>
    <cellStyle name="표준 7 5 2" xfId="4239"/>
    <cellStyle name="표준 7 5 2 2" xfId="15231"/>
    <cellStyle name="표준 7 5 3" xfId="4240"/>
    <cellStyle name="표준 7 5 4" xfId="15232"/>
    <cellStyle name="표준 7 6" xfId="4241"/>
    <cellStyle name="표준 7 6 2" xfId="15233"/>
    <cellStyle name="표준 7 7" xfId="4242"/>
    <cellStyle name="표준 7 7 2" xfId="15234"/>
    <cellStyle name="표준 7 8" xfId="15235"/>
    <cellStyle name="표준 7 9" xfId="15236"/>
    <cellStyle name="표준 70" xfId="15237"/>
    <cellStyle name="표준 70 2" xfId="15238"/>
    <cellStyle name="표준 70 2 2" xfId="15239"/>
    <cellStyle name="표준 70 3" xfId="15240"/>
    <cellStyle name="표준 70 3 2" xfId="15241"/>
    <cellStyle name="표준 70 4" xfId="15242"/>
    <cellStyle name="표준 70 5" xfId="15243"/>
    <cellStyle name="표준 71" xfId="15244"/>
    <cellStyle name="표준 71 10" xfId="15245"/>
    <cellStyle name="표준 71 11" xfId="15246"/>
    <cellStyle name="표준 71 12" xfId="15247"/>
    <cellStyle name="표준 71 13" xfId="15248"/>
    <cellStyle name="표준 71 14" xfId="15249"/>
    <cellStyle name="표준 71 2" xfId="15250"/>
    <cellStyle name="표준 71 2 2" xfId="15251"/>
    <cellStyle name="표준 71 2 3" xfId="15252"/>
    <cellStyle name="표준 71 3" xfId="15253"/>
    <cellStyle name="표준 71 3 2" xfId="15254"/>
    <cellStyle name="표준 71 3 3" xfId="15255"/>
    <cellStyle name="표준 71 4" xfId="15256"/>
    <cellStyle name="표준 71 4 2" xfId="15257"/>
    <cellStyle name="표준 71 5" xfId="15258"/>
    <cellStyle name="표준 71 6" xfId="15259"/>
    <cellStyle name="표준 71 7" xfId="15260"/>
    <cellStyle name="표준 71 8" xfId="15261"/>
    <cellStyle name="표준 71 9" xfId="15262"/>
    <cellStyle name="표준 72" xfId="15263"/>
    <cellStyle name="표준 72 10" xfId="15264"/>
    <cellStyle name="표준 72 11" xfId="15265"/>
    <cellStyle name="표준 72 12" xfId="15266"/>
    <cellStyle name="표준 72 13" xfId="15267"/>
    <cellStyle name="표준 72 14" xfId="15268"/>
    <cellStyle name="표준 72 2" xfId="15269"/>
    <cellStyle name="표준 72 2 2" xfId="15270"/>
    <cellStyle name="표준 72 2 3" xfId="15271"/>
    <cellStyle name="표준 72 3" xfId="15272"/>
    <cellStyle name="표준 72 3 2" xfId="15273"/>
    <cellStyle name="표준 72 3 3" xfId="15274"/>
    <cellStyle name="표준 72 4" xfId="15275"/>
    <cellStyle name="표준 72 4 2" xfId="15276"/>
    <cellStyle name="표준 72 5" xfId="15277"/>
    <cellStyle name="표준 72 6" xfId="15278"/>
    <cellStyle name="표준 72 7" xfId="15279"/>
    <cellStyle name="표준 72 8" xfId="15280"/>
    <cellStyle name="표준 72 9" xfId="15281"/>
    <cellStyle name="표준 73" xfId="15282"/>
    <cellStyle name="표준 73 2" xfId="15283"/>
    <cellStyle name="표준 73 2 2" xfId="15284"/>
    <cellStyle name="표준 73 3" xfId="15285"/>
    <cellStyle name="표준 73 3 2" xfId="15286"/>
    <cellStyle name="표준 73 4" xfId="15287"/>
    <cellStyle name="표준 73 5" xfId="15288"/>
    <cellStyle name="표준 74" xfId="15289"/>
    <cellStyle name="표준 74 2" xfId="15290"/>
    <cellStyle name="표준 74 2 2" xfId="15291"/>
    <cellStyle name="표준 74 3" xfId="15292"/>
    <cellStyle name="표준 74 3 2" xfId="15293"/>
    <cellStyle name="표준 74 4" xfId="15294"/>
    <cellStyle name="표준 74 5" xfId="15295"/>
    <cellStyle name="표준 75" xfId="15296"/>
    <cellStyle name="표준 75 2" xfId="15297"/>
    <cellStyle name="표준 75 2 2" xfId="15298"/>
    <cellStyle name="표준 75 3" xfId="15299"/>
    <cellStyle name="표준 75 3 2" xfId="15300"/>
    <cellStyle name="표준 75 4" xfId="15301"/>
    <cellStyle name="표준 75 5" xfId="15302"/>
    <cellStyle name="표준 76" xfId="15303"/>
    <cellStyle name="표준 76 2" xfId="15304"/>
    <cellStyle name="표준 76 2 2" xfId="15305"/>
    <cellStyle name="표준 76 3" xfId="15306"/>
    <cellStyle name="표준 76 3 2" xfId="15307"/>
    <cellStyle name="표준 76 4" xfId="15308"/>
    <cellStyle name="표준 76 5" xfId="15309"/>
    <cellStyle name="표준 77" xfId="15310"/>
    <cellStyle name="표준 77 2" xfId="15311"/>
    <cellStyle name="표준 77 2 2" xfId="15312"/>
    <cellStyle name="표준 77 3" xfId="15313"/>
    <cellStyle name="표준 77 3 2" xfId="15314"/>
    <cellStyle name="표준 77 4" xfId="15315"/>
    <cellStyle name="표준 77 5" xfId="15316"/>
    <cellStyle name="표준 78" xfId="15317"/>
    <cellStyle name="표준 78 2" xfId="15318"/>
    <cellStyle name="표준 78 2 2" xfId="15319"/>
    <cellStyle name="표준 78 3" xfId="15320"/>
    <cellStyle name="표준 78 3 2" xfId="15321"/>
    <cellStyle name="표준 78 4" xfId="15322"/>
    <cellStyle name="표준 78 5" xfId="15323"/>
    <cellStyle name="표준 79" xfId="15324"/>
    <cellStyle name="표준 79 2" xfId="15325"/>
    <cellStyle name="표준 79 2 2" xfId="15326"/>
    <cellStyle name="표준 79 3" xfId="15327"/>
    <cellStyle name="표준 79 3 2" xfId="15328"/>
    <cellStyle name="표준 79 4" xfId="15329"/>
    <cellStyle name="표준 79 5" xfId="15330"/>
    <cellStyle name="표준 8" xfId="4243"/>
    <cellStyle name="표준 8 10" xfId="15331"/>
    <cellStyle name="표준 8 11" xfId="15332"/>
    <cellStyle name="표준 8 12" xfId="15333"/>
    <cellStyle name="표준 8 13" xfId="15334"/>
    <cellStyle name="표준 8 14" xfId="15335"/>
    <cellStyle name="표준 8 15" xfId="15336"/>
    <cellStyle name="표준 8 16" xfId="15337"/>
    <cellStyle name="표준 8 17" xfId="15338"/>
    <cellStyle name="표준 8 2" xfId="4244"/>
    <cellStyle name="표준 8 2 2" xfId="4245"/>
    <cellStyle name="표준 8 2 2 2" xfId="4246"/>
    <cellStyle name="표준 8 2 2 2 2" xfId="15339"/>
    <cellStyle name="표준 8 2 2 3" xfId="4247"/>
    <cellStyle name="표준 8 2 2 4" xfId="15340"/>
    <cellStyle name="표준 8 2 3" xfId="4248"/>
    <cellStyle name="표준 8 2 3 2" xfId="4249"/>
    <cellStyle name="표준 8 2 3 3" xfId="4250"/>
    <cellStyle name="표준 8 2 3 4" xfId="15341"/>
    <cellStyle name="표준 8 2 4" xfId="4251"/>
    <cellStyle name="표준 8 2 5" xfId="4252"/>
    <cellStyle name="표준 8 2 6" xfId="15342"/>
    <cellStyle name="표준 8 3" xfId="4253"/>
    <cellStyle name="표준 8 3 2" xfId="4254"/>
    <cellStyle name="표준 8 3 2 2" xfId="4255"/>
    <cellStyle name="표준 8 3 2 3" xfId="4256"/>
    <cellStyle name="표준 8 3 2 4" xfId="15343"/>
    <cellStyle name="표준 8 3 3" xfId="4257"/>
    <cellStyle name="표준 8 3 3 2" xfId="4258"/>
    <cellStyle name="표준 8 3 3 3" xfId="4259"/>
    <cellStyle name="표준 8 3 3 4" xfId="15344"/>
    <cellStyle name="표준 8 3 4" xfId="4260"/>
    <cellStyle name="표준 8 3 4 2" xfId="15345"/>
    <cellStyle name="표준 8 3 5" xfId="4261"/>
    <cellStyle name="표준 8 3 6" xfId="15346"/>
    <cellStyle name="표준 8 4" xfId="4262"/>
    <cellStyle name="표준 8 4 2" xfId="4263"/>
    <cellStyle name="표준 8 4 2 2" xfId="15347"/>
    <cellStyle name="표준 8 4 3" xfId="4264"/>
    <cellStyle name="표준 8 4 3 2" xfId="15348"/>
    <cellStyle name="표준 8 4 4" xfId="15349"/>
    <cellStyle name="표준 8 5" xfId="4265"/>
    <cellStyle name="표준 8 5 2" xfId="4266"/>
    <cellStyle name="표준 8 5 2 2" xfId="15350"/>
    <cellStyle name="표준 8 5 3" xfId="4267"/>
    <cellStyle name="표준 8 5 4" xfId="15351"/>
    <cellStyle name="표준 8 6" xfId="4268"/>
    <cellStyle name="표준 8 7" xfId="4269"/>
    <cellStyle name="표준 8 7 2" xfId="15352"/>
    <cellStyle name="표준 8 8" xfId="15353"/>
    <cellStyle name="표준 8 9" xfId="15354"/>
    <cellStyle name="표준 80" xfId="15355"/>
    <cellStyle name="표준 80 2" xfId="15356"/>
    <cellStyle name="표준 80 2 2" xfId="15357"/>
    <cellStyle name="표준 80 3" xfId="15358"/>
    <cellStyle name="표준 80 3 2" xfId="15359"/>
    <cellStyle name="표준 80 4" xfId="15360"/>
    <cellStyle name="표준 80 5" xfId="15361"/>
    <cellStyle name="표준 81" xfId="15362"/>
    <cellStyle name="표준 81 2" xfId="15363"/>
    <cellStyle name="표준 81 2 2" xfId="15364"/>
    <cellStyle name="표준 81 3" xfId="15365"/>
    <cellStyle name="표준 81 3 2" xfId="15366"/>
    <cellStyle name="표준 81 4" xfId="15367"/>
    <cellStyle name="표준 81 5" xfId="15368"/>
    <cellStyle name="표준 82" xfId="15369"/>
    <cellStyle name="표준 82 2" xfId="15370"/>
    <cellStyle name="표준 82 2 2" xfId="15371"/>
    <cellStyle name="표준 82 3" xfId="15372"/>
    <cellStyle name="표준 82 3 2" xfId="15373"/>
    <cellStyle name="표준 82 4" xfId="15374"/>
    <cellStyle name="표준 82 5" xfId="15375"/>
    <cellStyle name="표준 83" xfId="15376"/>
    <cellStyle name="표준 83 2" xfId="15377"/>
    <cellStyle name="표준 83 2 2" xfId="15378"/>
    <cellStyle name="표준 83 3" xfId="15379"/>
    <cellStyle name="표준 83 3 2" xfId="15380"/>
    <cellStyle name="표준 83 4" xfId="15381"/>
    <cellStyle name="표준 83 5" xfId="15382"/>
    <cellStyle name="표준 84" xfId="15383"/>
    <cellStyle name="표준 84 2" xfId="15384"/>
    <cellStyle name="표준 84 2 2" xfId="15385"/>
    <cellStyle name="표준 84 3" xfId="15386"/>
    <cellStyle name="표준 84 3 2" xfId="15387"/>
    <cellStyle name="표준 84 4" xfId="15388"/>
    <cellStyle name="표준 84 5" xfId="15389"/>
    <cellStyle name="표준 85" xfId="15390"/>
    <cellStyle name="표준 85 2" xfId="15391"/>
    <cellStyle name="표준 85 2 2" xfId="15392"/>
    <cellStyle name="표준 85 3" xfId="15393"/>
    <cellStyle name="표준 85 3 2" xfId="15394"/>
    <cellStyle name="표준 85 4" xfId="15395"/>
    <cellStyle name="표준 85 5" xfId="15396"/>
    <cellStyle name="표준 86" xfId="15397"/>
    <cellStyle name="표준 86 2" xfId="15398"/>
    <cellStyle name="표준 86 2 2" xfId="15399"/>
    <cellStyle name="표준 86 3" xfId="15400"/>
    <cellStyle name="표준 86 3 2" xfId="15401"/>
    <cellStyle name="표준 86 4" xfId="15402"/>
    <cellStyle name="표준 86 5" xfId="15403"/>
    <cellStyle name="표준 87" xfId="15404"/>
    <cellStyle name="표준 87 2" xfId="15405"/>
    <cellStyle name="표준 87 2 2" xfId="15406"/>
    <cellStyle name="표준 87 3" xfId="15407"/>
    <cellStyle name="표준 87 3 2" xfId="15408"/>
    <cellStyle name="표준 87 4" xfId="15409"/>
    <cellStyle name="표준 87 5" xfId="15410"/>
    <cellStyle name="표준 88" xfId="15411"/>
    <cellStyle name="표준 88 2" xfId="15412"/>
    <cellStyle name="표준 88 2 2" xfId="15413"/>
    <cellStyle name="표준 88 3" xfId="15414"/>
    <cellStyle name="표준 88 3 2" xfId="15415"/>
    <cellStyle name="표준 88 4" xfId="15416"/>
    <cellStyle name="표준 88 5" xfId="15417"/>
    <cellStyle name="표준 89" xfId="15418"/>
    <cellStyle name="표준 89 2" xfId="15419"/>
    <cellStyle name="표준 89 2 2" xfId="15420"/>
    <cellStyle name="표준 89 3" xfId="15421"/>
    <cellStyle name="표준 89 3 2" xfId="15422"/>
    <cellStyle name="표준 89 4" xfId="15423"/>
    <cellStyle name="표준 89 5" xfId="15424"/>
    <cellStyle name="표준 9" xfId="4270"/>
    <cellStyle name="표준 9 10" xfId="15425"/>
    <cellStyle name="표준 9 11" xfId="15426"/>
    <cellStyle name="표준 9 12" xfId="15427"/>
    <cellStyle name="표준 9 13" xfId="15428"/>
    <cellStyle name="표준 9 14" xfId="15429"/>
    <cellStyle name="표준 9 15" xfId="15430"/>
    <cellStyle name="표준 9 16" xfId="15431"/>
    <cellStyle name="표준 9 17" xfId="15432"/>
    <cellStyle name="표준 9 2" xfId="4271"/>
    <cellStyle name="표준 9 2 2" xfId="4272"/>
    <cellStyle name="표준 9 2 2 2" xfId="4273"/>
    <cellStyle name="표준 9 2 2 2 2" xfId="15433"/>
    <cellStyle name="표준 9 2 2 3" xfId="4274"/>
    <cellStyle name="표준 9 2 2 4" xfId="15434"/>
    <cellStyle name="표준 9 2 3" xfId="4275"/>
    <cellStyle name="표준 9 2 3 2" xfId="4276"/>
    <cellStyle name="표준 9 2 3 3" xfId="4277"/>
    <cellStyle name="표준 9 2 3 4" xfId="15435"/>
    <cellStyle name="표준 9 2 4" xfId="4278"/>
    <cellStyle name="표준 9 2 5" xfId="4279"/>
    <cellStyle name="표준 9 2 6" xfId="15436"/>
    <cellStyle name="표준 9 3" xfId="4280"/>
    <cellStyle name="표준 9 3 2" xfId="4281"/>
    <cellStyle name="표준 9 3 2 2" xfId="4282"/>
    <cellStyle name="표준 9 3 2 3" xfId="4283"/>
    <cellStyle name="표준 9 3 2 4" xfId="15437"/>
    <cellStyle name="표준 9 3 3" xfId="4284"/>
    <cellStyle name="표준 9 3 3 2" xfId="4285"/>
    <cellStyle name="표준 9 3 3 3" xfId="4286"/>
    <cellStyle name="표준 9 3 3 4" xfId="15438"/>
    <cellStyle name="표준 9 3 4" xfId="4287"/>
    <cellStyle name="표준 9 3 4 2" xfId="15439"/>
    <cellStyle name="표준 9 3 5" xfId="4288"/>
    <cellStyle name="표준 9 3 6" xfId="15440"/>
    <cellStyle name="표준 9 4" xfId="4289"/>
    <cellStyle name="표준 9 4 2" xfId="4290"/>
    <cellStyle name="표준 9 4 2 2" xfId="15441"/>
    <cellStyle name="표준 9 4 3" xfId="4291"/>
    <cellStyle name="표준 9 4 4" xfId="15442"/>
    <cellStyle name="표준 9 5" xfId="4292"/>
    <cellStyle name="표준 9 5 2" xfId="4293"/>
    <cellStyle name="표준 9 5 2 2" xfId="15443"/>
    <cellStyle name="표준 9 5 3" xfId="4294"/>
    <cellStyle name="표준 9 5 4" xfId="15444"/>
    <cellStyle name="표준 9 6" xfId="4295"/>
    <cellStyle name="표준 9 6 2" xfId="15445"/>
    <cellStyle name="표준 9 7" xfId="4296"/>
    <cellStyle name="표준 9 7 2" xfId="15446"/>
    <cellStyle name="표준 9 8" xfId="15447"/>
    <cellStyle name="표준 9 9" xfId="15448"/>
    <cellStyle name="표준 90" xfId="15449"/>
    <cellStyle name="표준 90 2" xfId="15450"/>
    <cellStyle name="표준 90 2 2" xfId="15451"/>
    <cellStyle name="표준 90 3" xfId="15452"/>
    <cellStyle name="표준 90 3 2" xfId="15453"/>
    <cellStyle name="표준 90 4" xfId="15454"/>
    <cellStyle name="표준 90 5" xfId="15455"/>
    <cellStyle name="표준 91" xfId="15456"/>
    <cellStyle name="표준 91 2" xfId="15457"/>
    <cellStyle name="표준 91 2 2" xfId="15458"/>
    <cellStyle name="표준 91 3" xfId="15459"/>
    <cellStyle name="표준 91 3 2" xfId="15460"/>
    <cellStyle name="표준 91 4" xfId="15461"/>
    <cellStyle name="표준 91 5" xfId="15462"/>
    <cellStyle name="표준 92" xfId="15463"/>
    <cellStyle name="표준 92 2" xfId="15464"/>
    <cellStyle name="표준 92 2 2" xfId="15465"/>
    <cellStyle name="표준 92 3" xfId="15466"/>
    <cellStyle name="표준 92 3 2" xfId="15467"/>
    <cellStyle name="표준 92 4" xfId="15468"/>
    <cellStyle name="표준 92 5" xfId="15469"/>
    <cellStyle name="표준 93" xfId="15470"/>
    <cellStyle name="표준 93 2" xfId="15471"/>
    <cellStyle name="표준 93 2 2" xfId="15472"/>
    <cellStyle name="표준 93 3" xfId="15473"/>
    <cellStyle name="표준 93 3 2" xfId="15474"/>
    <cellStyle name="표준 93 4" xfId="15475"/>
    <cellStyle name="표준 93 5" xfId="15476"/>
    <cellStyle name="표준 94" xfId="15477"/>
    <cellStyle name="표준 94 2" xfId="15478"/>
    <cellStyle name="표준 94 2 2" xfId="15479"/>
    <cellStyle name="표준 94 3" xfId="15480"/>
    <cellStyle name="표준 94 3 2" xfId="15481"/>
    <cellStyle name="표준 94 4" xfId="15482"/>
    <cellStyle name="표준 95" xfId="15483"/>
    <cellStyle name="표준 95 2" xfId="15484"/>
    <cellStyle name="표준 95 2 2" xfId="15485"/>
    <cellStyle name="표준 95 3" xfId="15486"/>
    <cellStyle name="표준 95 3 2" xfId="15487"/>
    <cellStyle name="표준 95 4" xfId="15488"/>
    <cellStyle name="표준 95 5" xfId="15489"/>
    <cellStyle name="표준 96" xfId="15490"/>
    <cellStyle name="표준 96 2" xfId="15491"/>
    <cellStyle name="표준 96 2 2" xfId="15492"/>
    <cellStyle name="표준 96 3" xfId="15493"/>
    <cellStyle name="표준 96 3 2" xfId="15494"/>
    <cellStyle name="표준 96 4" xfId="15495"/>
    <cellStyle name="표준 97" xfId="15496"/>
    <cellStyle name="표준 97 2" xfId="15497"/>
    <cellStyle name="표준 97 2 2" xfId="15498"/>
    <cellStyle name="표준 97 3" xfId="15499"/>
    <cellStyle name="표준 97 3 2" xfId="15500"/>
    <cellStyle name="표준 97 4" xfId="15501"/>
    <cellStyle name="표준 98" xfId="15502"/>
    <cellStyle name="표준 98 2" xfId="15503"/>
    <cellStyle name="표준 98 2 2" xfId="15504"/>
    <cellStyle name="표준 98 3" xfId="15505"/>
    <cellStyle name="표준 98 3 2" xfId="15506"/>
    <cellStyle name="표준 98 4" xfId="15507"/>
    <cellStyle name="표준 99" xfId="15508"/>
    <cellStyle name="표준 99 2" xfId="15509"/>
    <cellStyle name="표준 99 2 2" xfId="15510"/>
    <cellStyle name="표준 99 3" xfId="15511"/>
    <cellStyle name="표준 99 3 2" xfId="15512"/>
    <cellStyle name="표준 99 4" xfId="15513"/>
    <cellStyle name="하이퍼링크 2" xfId="15514"/>
    <cellStyle name="하이퍼링크 3" xfId="1551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1410003/Documents/&#48155;&#51008;%20&#54028;&#51068;/NH&#44204;&#51201;&#54532;&#47196;&#44536;&#47016;/1703/NH_71_14.0(&#52628;&#44032;&#48152;&#50689;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/Desktop/NH&#44204;&#51201;/201605/&#46041;&#49457;AG/NH&#52880;&#54588;&#53448;%20&#44204;&#51201;%20&#54532;&#47196;&#44536;&#47016;_BMW_&#51221;&#49345;_2016.05xlsx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0_111_200410/&#51204;&#52264;&#51333;_4&#50900;_&#45453;&#54801;&#52880;&#54588;&#53448;&#44204;&#51201;(&#52572;&#51333;)%20g80x5&#52628;&#44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구매형(일반잔가)"/>
      <sheetName val="구매형(일반잔가) 견적서(출력)"/>
      <sheetName val="임대형(고잔가)"/>
      <sheetName val="임대형(고잔가)견적서(출력)"/>
      <sheetName val="오토론"/>
      <sheetName val="오토론 견적서(출력)"/>
      <sheetName val="차량가"/>
      <sheetName val="1"/>
      <sheetName val="3"/>
      <sheetName val="-"/>
      <sheetName val="--"/>
    </sheetNames>
    <sheetDataSet>
      <sheetData sheetId="0" refreshError="1">
        <row r="3">
          <cell r="AS3" t="str">
            <v>1 Series 5-door</v>
          </cell>
          <cell r="BC3" t="str">
            <v>Hatchback 118d Joy</v>
          </cell>
        </row>
        <row r="4">
          <cell r="BC4" t="str">
            <v>520d M Sport</v>
          </cell>
        </row>
        <row r="5">
          <cell r="BC5" t="str">
            <v>520d M Sport Plus</v>
          </cell>
        </row>
        <row r="6">
          <cell r="BC6" t="str">
            <v>520d xDrive M Sport</v>
          </cell>
        </row>
        <row r="7">
          <cell r="BC7" t="str">
            <v>520d xDrive M Sport Plus</v>
          </cell>
        </row>
        <row r="8">
          <cell r="BC8" t="str">
            <v>528i xDrive M Aerodynamic Pro</v>
          </cell>
        </row>
        <row r="9">
          <cell r="BC9" t="str">
            <v>530d M Sport Package</v>
          </cell>
        </row>
        <row r="10">
          <cell r="BC10" t="str">
            <v>530i M Sport</v>
          </cell>
        </row>
        <row r="11">
          <cell r="BC11" t="str">
            <v>530i M Sport Plus</v>
          </cell>
        </row>
        <row r="12">
          <cell r="BC12" t="str">
            <v>530i xDrive M Sport</v>
          </cell>
        </row>
        <row r="13">
          <cell r="BC13" t="str">
            <v>530i xDrive M Sport Plus</v>
          </cell>
        </row>
        <row r="14">
          <cell r="BC14" t="str">
            <v>M550d xDrive Aerodynamic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  <row r="60">
          <cell r="Y60" t="str">
            <v>잔가(최소가)</v>
          </cell>
        </row>
        <row r="61">
          <cell r="Y61">
            <v>0.2</v>
          </cell>
        </row>
        <row r="62">
          <cell r="Y62">
            <v>0.21000000000000002</v>
          </cell>
        </row>
        <row r="63">
          <cell r="Y63">
            <v>0.22000000000000003</v>
          </cell>
        </row>
        <row r="64">
          <cell r="Y64">
            <v>0.23000000000000004</v>
          </cell>
        </row>
        <row r="65">
          <cell r="Y65">
            <v>0.24000000000000005</v>
          </cell>
        </row>
        <row r="66">
          <cell r="Y66">
            <v>0.25000000000000006</v>
          </cell>
        </row>
        <row r="67">
          <cell r="Y67">
            <v>0.26000000000000006</v>
          </cell>
        </row>
        <row r="68">
          <cell r="Y68">
            <v>0.27000000000000007</v>
          </cell>
        </row>
        <row r="69">
          <cell r="Y69">
            <v>0.28000000000000008</v>
          </cell>
        </row>
        <row r="70">
          <cell r="Y70">
            <v>0.29000000000000009</v>
          </cell>
        </row>
        <row r="71">
          <cell r="Y71">
            <v>0.3000000000000001</v>
          </cell>
        </row>
        <row r="72">
          <cell r="Y72">
            <v>0.31000000000000011</v>
          </cell>
        </row>
        <row r="73">
          <cell r="Y73">
            <v>0.32000000000000012</v>
          </cell>
        </row>
        <row r="74">
          <cell r="Y74">
            <v>0.33000000000000013</v>
          </cell>
        </row>
        <row r="75">
          <cell r="Y75">
            <v>0.34000000000000014</v>
          </cell>
        </row>
        <row r="76">
          <cell r="Y76">
            <v>0.35000000000000014</v>
          </cell>
        </row>
        <row r="77">
          <cell r="Y77">
            <v>0.36000000000000015</v>
          </cell>
        </row>
        <row r="78">
          <cell r="Y78">
            <v>0.37</v>
          </cell>
        </row>
        <row r="79">
          <cell r="Y79">
            <v>0</v>
          </cell>
        </row>
        <row r="80">
          <cell r="Y80">
            <v>0</v>
          </cell>
        </row>
        <row r="81">
          <cell r="Y81">
            <v>0</v>
          </cell>
        </row>
        <row r="82">
          <cell r="Y82">
            <v>0</v>
          </cell>
        </row>
        <row r="83">
          <cell r="Y83">
            <v>0</v>
          </cell>
        </row>
        <row r="84">
          <cell r="Y84">
            <v>0</v>
          </cell>
        </row>
        <row r="85">
          <cell r="Y85">
            <v>0</v>
          </cell>
        </row>
        <row r="86">
          <cell r="Y86">
            <v>0</v>
          </cell>
        </row>
        <row r="87">
          <cell r="Y87">
            <v>0</v>
          </cell>
        </row>
        <row r="88">
          <cell r="Y88">
            <v>0</v>
          </cell>
        </row>
        <row r="89">
          <cell r="Y89">
            <v>0</v>
          </cell>
        </row>
        <row r="90">
          <cell r="Y90">
            <v>0</v>
          </cell>
        </row>
        <row r="91">
          <cell r="Y91">
            <v>0</v>
          </cell>
        </row>
        <row r="92">
          <cell r="Y92">
            <v>0</v>
          </cell>
        </row>
        <row r="93">
          <cell r="Y93">
            <v>0</v>
          </cell>
        </row>
        <row r="94">
          <cell r="Y94">
            <v>0</v>
          </cell>
        </row>
        <row r="95">
          <cell r="Y95">
            <v>0</v>
          </cell>
        </row>
        <row r="96">
          <cell r="Y9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2" t="str">
            <v>기아자동차</v>
          </cell>
          <cell r="F2" t="str">
            <v>국산제조사</v>
          </cell>
        </row>
        <row r="3">
          <cell r="F3" t="str">
            <v>수입제조사</v>
          </cell>
        </row>
        <row r="8">
          <cell r="F8" t="str">
            <v>특판할인</v>
          </cell>
        </row>
        <row r="9">
          <cell r="F9" t="str">
            <v>특판할인x</v>
          </cell>
        </row>
        <row r="80">
          <cell r="E80" t="str">
            <v>일반</v>
          </cell>
          <cell r="F80" t="str">
            <v>일반</v>
          </cell>
        </row>
        <row r="81">
          <cell r="E81" t="str">
            <v>SGM_본인</v>
          </cell>
          <cell r="F81" t="str">
            <v>SGM_본인</v>
          </cell>
        </row>
        <row r="82">
          <cell r="E82" t="str">
            <v>SGM_추천</v>
          </cell>
          <cell r="F82" t="str">
            <v>SGM_추천</v>
          </cell>
        </row>
        <row r="83">
          <cell r="E83" t="str">
            <v>은행</v>
          </cell>
          <cell r="F83" t="str">
            <v>은행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"/>
      <sheetName val="금융"/>
      <sheetName val="할부"/>
      <sheetName val="시승차"/>
      <sheetName val="차량정보"/>
      <sheetName val="딜러정보"/>
      <sheetName val="잔가표"/>
      <sheetName val="운용-30,000km"/>
      <sheetName val="운용-20,000km"/>
      <sheetName val="고잔가운용리스-30,000km"/>
      <sheetName val="최대표"/>
      <sheetName val="고잔가운용리스-20,000km"/>
      <sheetName val="추가표"/>
      <sheetName val="차량가격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반잔가"/>
      <sheetName val="운용리스"/>
      <sheetName val="오토론금융리스"/>
      <sheetName val="차량가"/>
      <sheetName val="1"/>
      <sheetName val="Cash-F.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기아자동차</v>
          </cell>
          <cell r="C2">
            <v>1</v>
          </cell>
          <cell r="D2" t="str">
            <v>0001</v>
          </cell>
        </row>
        <row r="3">
          <cell r="B3" t="str">
            <v>삼성자동차</v>
          </cell>
          <cell r="C3">
            <v>2</v>
          </cell>
          <cell r="D3" t="str">
            <v>0002</v>
          </cell>
        </row>
        <row r="4">
          <cell r="B4" t="str">
            <v>쌍용자동차</v>
          </cell>
          <cell r="C4">
            <v>3</v>
          </cell>
          <cell r="D4" t="str">
            <v>0003</v>
          </cell>
        </row>
        <row r="5">
          <cell r="B5" t="str">
            <v>한국지엠/쉐보레 코리아</v>
          </cell>
          <cell r="C5">
            <v>4</v>
          </cell>
          <cell r="D5" t="str">
            <v>0004</v>
          </cell>
        </row>
        <row r="6">
          <cell r="B6" t="str">
            <v>현대자동차</v>
          </cell>
          <cell r="C6">
            <v>5</v>
          </cell>
          <cell r="D6" t="str">
            <v>0005</v>
          </cell>
        </row>
        <row r="7">
          <cell r="B7" t="str">
            <v>AUDI</v>
          </cell>
          <cell r="C7">
            <v>6</v>
          </cell>
          <cell r="D7" t="str">
            <v>0006</v>
          </cell>
        </row>
        <row r="8">
          <cell r="B8" t="str">
            <v>BENTLEY</v>
          </cell>
          <cell r="C8">
            <v>7</v>
          </cell>
          <cell r="D8" t="str">
            <v>0007</v>
          </cell>
        </row>
        <row r="9">
          <cell r="B9" t="str">
            <v>BMW</v>
          </cell>
          <cell r="C9">
            <v>8</v>
          </cell>
          <cell r="D9" t="str">
            <v>0008</v>
          </cell>
        </row>
        <row r="10">
          <cell r="B10" t="str">
            <v>CADILLAC</v>
          </cell>
          <cell r="C10">
            <v>9</v>
          </cell>
          <cell r="D10" t="str">
            <v>0009</v>
          </cell>
        </row>
        <row r="11">
          <cell r="B11" t="str">
            <v>CHRYSLER</v>
          </cell>
          <cell r="C11">
            <v>10</v>
          </cell>
          <cell r="D11" t="str">
            <v>0010</v>
          </cell>
        </row>
        <row r="12">
          <cell r="B12" t="str">
            <v>Citroen</v>
          </cell>
          <cell r="C12">
            <v>11</v>
          </cell>
          <cell r="D12" t="str">
            <v>0011</v>
          </cell>
        </row>
        <row r="13">
          <cell r="B13" t="str">
            <v>Ferrari</v>
          </cell>
          <cell r="C13">
            <v>12</v>
          </cell>
          <cell r="D13" t="str">
            <v>0012</v>
          </cell>
        </row>
        <row r="14">
          <cell r="B14" t="str">
            <v>FIAT</v>
          </cell>
          <cell r="C14">
            <v>13</v>
          </cell>
          <cell r="D14" t="str">
            <v>0013</v>
          </cell>
        </row>
        <row r="15">
          <cell r="B15" t="str">
            <v>FORD</v>
          </cell>
          <cell r="C15">
            <v>14</v>
          </cell>
          <cell r="D15" t="str">
            <v>0014</v>
          </cell>
        </row>
        <row r="16">
          <cell r="B16" t="str">
            <v>Aston martin</v>
          </cell>
          <cell r="C16">
            <v>15</v>
          </cell>
          <cell r="D16" t="str">
            <v>0015</v>
          </cell>
        </row>
        <row r="17">
          <cell r="B17" t="str">
            <v>HONDA</v>
          </cell>
          <cell r="C17">
            <v>16</v>
          </cell>
          <cell r="D17" t="str">
            <v>0016</v>
          </cell>
        </row>
        <row r="18">
          <cell r="B18" t="str">
            <v>INFINITI</v>
          </cell>
          <cell r="C18">
            <v>17</v>
          </cell>
          <cell r="D18" t="str">
            <v>0017</v>
          </cell>
        </row>
        <row r="19">
          <cell r="B19" t="str">
            <v>JAGUAR&amp;LANDROVER</v>
          </cell>
          <cell r="C19">
            <v>18</v>
          </cell>
          <cell r="D19" t="str">
            <v>0018</v>
          </cell>
        </row>
        <row r="20">
          <cell r="B20" t="str">
            <v>JEEP</v>
          </cell>
          <cell r="C20">
            <v>19</v>
          </cell>
          <cell r="D20" t="str">
            <v>0019</v>
          </cell>
        </row>
        <row r="21">
          <cell r="B21" t="str">
            <v>Lamborghini</v>
          </cell>
          <cell r="C21">
            <v>20</v>
          </cell>
          <cell r="D21" t="str">
            <v>0020</v>
          </cell>
        </row>
        <row r="22">
          <cell r="B22" t="str">
            <v>LANDROVER</v>
          </cell>
          <cell r="C22">
            <v>21</v>
          </cell>
          <cell r="D22" t="str">
            <v>0021</v>
          </cell>
        </row>
        <row r="23">
          <cell r="B23" t="str">
            <v>LEXUS</v>
          </cell>
          <cell r="C23">
            <v>22</v>
          </cell>
          <cell r="D23" t="str">
            <v>0022</v>
          </cell>
        </row>
        <row r="24">
          <cell r="B24" t="str">
            <v>LINCOLN</v>
          </cell>
          <cell r="C24">
            <v>23</v>
          </cell>
          <cell r="D24" t="str">
            <v>0023</v>
          </cell>
        </row>
        <row r="25">
          <cell r="B25" t="str">
            <v>MASERATI</v>
          </cell>
          <cell r="C25">
            <v>24</v>
          </cell>
          <cell r="D25" t="str">
            <v>0024</v>
          </cell>
        </row>
        <row r="26">
          <cell r="B26" t="str">
            <v>MercedesBenz</v>
          </cell>
          <cell r="C26">
            <v>25</v>
          </cell>
          <cell r="D26" t="str">
            <v>0025</v>
          </cell>
        </row>
        <row r="27">
          <cell r="B27" t="str">
            <v>MINI</v>
          </cell>
          <cell r="C27">
            <v>26</v>
          </cell>
          <cell r="D27" t="str">
            <v>0026</v>
          </cell>
        </row>
        <row r="28">
          <cell r="B28" t="str">
            <v>Mclaren</v>
          </cell>
          <cell r="C28">
            <v>27</v>
          </cell>
          <cell r="D28" t="str">
            <v>0027</v>
          </cell>
        </row>
        <row r="29">
          <cell r="B29" t="str">
            <v>NISSAN</v>
          </cell>
          <cell r="C29">
            <v>28</v>
          </cell>
          <cell r="D29" t="str">
            <v>0028</v>
          </cell>
        </row>
        <row r="30">
          <cell r="B30" t="str">
            <v>PEUGEOT</v>
          </cell>
          <cell r="C30">
            <v>29</v>
          </cell>
          <cell r="D30" t="str">
            <v>0029</v>
          </cell>
        </row>
        <row r="31">
          <cell r="B31" t="str">
            <v>PORSCHE</v>
          </cell>
          <cell r="C31">
            <v>30</v>
          </cell>
          <cell r="D31" t="str">
            <v>0030</v>
          </cell>
        </row>
        <row r="32">
          <cell r="B32" t="str">
            <v>ROLLSROYCE</v>
          </cell>
          <cell r="C32">
            <v>31</v>
          </cell>
          <cell r="D32" t="str">
            <v>0031</v>
          </cell>
        </row>
        <row r="33">
          <cell r="B33" t="str">
            <v>SMART</v>
          </cell>
          <cell r="C33">
            <v>32</v>
          </cell>
          <cell r="D33" t="str">
            <v>0032</v>
          </cell>
        </row>
        <row r="34">
          <cell r="B34" t="str">
            <v>SUBARU</v>
          </cell>
          <cell r="C34">
            <v>33</v>
          </cell>
          <cell r="D34" t="str">
            <v>0033</v>
          </cell>
        </row>
        <row r="35">
          <cell r="B35" t="str">
            <v>TOYOTA</v>
          </cell>
          <cell r="C35">
            <v>34</v>
          </cell>
          <cell r="D35" t="str">
            <v>0034</v>
          </cell>
        </row>
        <row r="36">
          <cell r="B36" t="str">
            <v>VOLKSWAGEN</v>
          </cell>
          <cell r="C36">
            <v>35</v>
          </cell>
          <cell r="D36" t="str">
            <v>0035</v>
          </cell>
        </row>
        <row r="37">
          <cell r="B37" t="str">
            <v>VOLVO</v>
          </cell>
          <cell r="C37">
            <v>36</v>
          </cell>
          <cell r="D37" t="str">
            <v>0036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K373"/>
  <sheetViews>
    <sheetView showGridLines="0" tabSelected="1" zoomScale="85" zoomScaleNormal="85" workbookViewId="0">
      <selection activeCell="A11" sqref="A11"/>
    </sheetView>
  </sheetViews>
  <sheetFormatPr defaultColWidth="9" defaultRowHeight="16.5"/>
  <cols>
    <col min="1" max="2" width="2.125" style="70" customWidth="1"/>
    <col min="3" max="4" width="2.25" style="70" customWidth="1"/>
    <col min="5" max="5" width="3.875" style="70" customWidth="1"/>
    <col min="6" max="7" width="2.25" style="70" customWidth="1"/>
    <col min="8" max="8" width="4.75" style="70" customWidth="1"/>
    <col min="9" max="12" width="2.25" style="70" customWidth="1"/>
    <col min="13" max="13" width="5" style="70" customWidth="1"/>
    <col min="14" max="23" width="2.25" style="70" customWidth="1"/>
    <col min="24" max="24" width="4" style="70" customWidth="1"/>
    <col min="25" max="29" width="2.75" style="70" customWidth="1"/>
    <col min="30" max="40" width="2.25" style="70" customWidth="1"/>
    <col min="41" max="43" width="4.25" style="70" customWidth="1"/>
    <col min="44" max="44" width="4.625" style="70" customWidth="1"/>
    <col min="45" max="45" width="2.25" style="70" customWidth="1"/>
    <col min="46" max="46" width="3.125" style="70" customWidth="1"/>
    <col min="47" max="47" width="4.5" style="70" customWidth="1"/>
    <col min="48" max="49" width="2.125" style="70" customWidth="1"/>
    <col min="50" max="50" width="24.125" style="71" customWidth="1"/>
    <col min="51" max="54" width="10.5" style="70" customWidth="1"/>
    <col min="55" max="55" width="47.5" style="70" customWidth="1"/>
    <col min="56" max="56" width="24" style="557" customWidth="1"/>
    <col min="57" max="57" width="12" style="70" customWidth="1"/>
    <col min="58" max="58" width="18" style="126" customWidth="1"/>
    <col min="59" max="59" width="9" style="126" customWidth="1"/>
    <col min="60" max="60" width="24.5" style="126" customWidth="1"/>
    <col min="61" max="61" width="14.625" style="126" customWidth="1"/>
    <col min="62" max="62" width="25.5" style="126" customWidth="1"/>
    <col min="63" max="63" width="20.625" style="126" customWidth="1"/>
    <col min="64" max="64" width="29.375" style="126" customWidth="1"/>
    <col min="65" max="65" width="14.625" style="126" customWidth="1"/>
    <col min="66" max="66" width="24.125" style="126" customWidth="1"/>
    <col min="67" max="67" width="20" style="126" customWidth="1"/>
    <col min="68" max="68" width="21.75" style="126" customWidth="1"/>
    <col min="69" max="69" width="22.125" style="126" customWidth="1"/>
    <col min="70" max="70" width="21.25" style="126" customWidth="1"/>
    <col min="71" max="71" width="18.5" style="21" customWidth="1"/>
    <col min="72" max="72" width="21" style="26" customWidth="1"/>
    <col min="73" max="73" width="21.375" style="21" customWidth="1"/>
    <col min="74" max="74" width="25.25" style="21" customWidth="1"/>
    <col min="75" max="75" width="8.5" style="21" customWidth="1"/>
    <col min="76" max="76" width="13.5" style="21" customWidth="1"/>
    <col min="77" max="77" width="12.875" style="21" customWidth="1"/>
    <col min="78" max="78" width="18.625" style="21" customWidth="1"/>
    <col min="79" max="79" width="10" style="21" customWidth="1"/>
    <col min="80" max="80" width="26.5" style="21" customWidth="1"/>
    <col min="81" max="81" width="14.25" style="21" customWidth="1"/>
    <col min="82" max="82" width="10" style="21" customWidth="1"/>
    <col min="83" max="85" width="11.625" style="21" customWidth="1"/>
    <col min="86" max="86" width="12.75" style="21" customWidth="1"/>
    <col min="87" max="87" width="32" style="21" customWidth="1"/>
    <col min="88" max="88" width="10" style="21" customWidth="1"/>
    <col min="89" max="89" width="18.625" style="21" customWidth="1"/>
    <col min="90" max="90" width="35.125" style="21" customWidth="1"/>
    <col min="91" max="91" width="11.625" style="21" customWidth="1"/>
    <col min="92" max="92" width="14.875" style="21" customWidth="1"/>
    <col min="93" max="93" width="15.125" style="126" customWidth="1"/>
    <col min="94" max="94" width="9" style="126" customWidth="1"/>
    <col min="95" max="95" width="11" style="126" customWidth="1"/>
    <col min="96" max="96" width="16.625" style="126" customWidth="1"/>
    <col min="97" max="97" width="9" style="126" customWidth="1"/>
    <col min="98" max="101" width="9" style="70" customWidth="1"/>
    <col min="102" max="102" width="17.5" style="70" customWidth="1"/>
    <col min="103" max="103" width="28.375" style="70" customWidth="1"/>
    <col min="104" max="104" width="17.25" style="70" customWidth="1"/>
    <col min="105" max="105" width="21.875" style="70" customWidth="1"/>
    <col min="106" max="108" width="9" style="70" customWidth="1"/>
    <col min="109" max="109" width="20.375" style="70" customWidth="1"/>
    <col min="110" max="113" width="9" style="70" customWidth="1"/>
    <col min="114" max="114" width="19.125" style="70" customWidth="1"/>
    <col min="115" max="174" width="9" style="70" customWidth="1"/>
    <col min="175" max="16384" width="9" style="70"/>
  </cols>
  <sheetData>
    <row r="1" spans="1:99" ht="12.75" customHeight="1">
      <c r="AV1" s="712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25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54"/>
      <c r="CP1" s="54"/>
      <c r="CQ1" s="54"/>
      <c r="CR1" s="54"/>
      <c r="CS1" s="54"/>
      <c r="CT1" s="72"/>
      <c r="CU1" s="72"/>
    </row>
    <row r="2" spans="1:99" ht="23.25" customHeight="1" thickBot="1">
      <c r="A2" s="73"/>
      <c r="C2" s="74" t="s">
        <v>42</v>
      </c>
      <c r="D2" s="75"/>
      <c r="E2" s="75"/>
      <c r="F2" s="75"/>
      <c r="G2" s="75"/>
      <c r="H2" s="76"/>
      <c r="I2" s="77"/>
      <c r="J2" s="77"/>
      <c r="K2" s="77"/>
      <c r="L2" s="77"/>
      <c r="M2" s="77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  <c r="AD2" s="79"/>
      <c r="AE2" s="79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6"/>
      <c r="AR2" s="76"/>
      <c r="AS2" s="76"/>
      <c r="AT2" s="76"/>
      <c r="AU2" s="76"/>
      <c r="AV2" s="712"/>
      <c r="AW2" s="73"/>
      <c r="AX2" s="81" t="s">
        <v>43</v>
      </c>
      <c r="AY2" s="674" t="s">
        <v>1146</v>
      </c>
      <c r="AZ2" s="674"/>
      <c r="BA2" s="674"/>
      <c r="BB2" s="674"/>
      <c r="BH2" s="42" t="s">
        <v>57</v>
      </c>
      <c r="BI2" s="42" t="s">
        <v>58</v>
      </c>
      <c r="BJ2" s="672" t="s">
        <v>14</v>
      </c>
      <c r="BK2" s="673"/>
      <c r="BL2" s="42" t="s">
        <v>59</v>
      </c>
      <c r="BM2" s="42" t="s">
        <v>27</v>
      </c>
      <c r="BN2" s="54"/>
      <c r="BO2" s="54"/>
      <c r="BP2" s="54"/>
      <c r="BQ2" s="54"/>
      <c r="BR2" s="54"/>
      <c r="BS2" s="23"/>
      <c r="BT2" s="25" t="str">
        <f>BT10&amp;BT3</f>
        <v>220</v>
      </c>
      <c r="BU2" s="23">
        <v>15</v>
      </c>
      <c r="BV2" s="23" t="str">
        <f>BV3&amp;BV5</f>
        <v>0</v>
      </c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43"/>
      <c r="CJ2" s="43"/>
      <c r="CK2" s="43"/>
      <c r="CL2" s="43"/>
      <c r="CM2" s="23"/>
      <c r="CN2" s="23"/>
      <c r="CO2" s="54"/>
      <c r="CP2" s="54" t="e">
        <f ca="1">OFFSET(운용리스!$CL$3,1,0,운용리스!$CQ$3,1)</f>
        <v>#VALUE!</v>
      </c>
      <c r="CQ2" s="54"/>
      <c r="CR2" s="54"/>
      <c r="CS2" s="54"/>
      <c r="CT2" s="72"/>
      <c r="CU2" s="72"/>
    </row>
    <row r="3" spans="1:99" ht="29.25" customHeight="1" thickBot="1">
      <c r="A3" s="73"/>
      <c r="C3" s="697" t="s">
        <v>43</v>
      </c>
      <c r="D3" s="698"/>
      <c r="E3" s="698"/>
      <c r="F3" s="698"/>
      <c r="G3" s="698"/>
      <c r="H3" s="698"/>
      <c r="I3" s="698"/>
      <c r="J3" s="699" t="str">
        <f>AY2</f>
        <v>VVIP</v>
      </c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1"/>
      <c r="Y3" s="702" t="s">
        <v>44</v>
      </c>
      <c r="Z3" s="703"/>
      <c r="AA3" s="703"/>
      <c r="AB3" s="703"/>
      <c r="AC3" s="703"/>
      <c r="AD3" s="703"/>
      <c r="AE3" s="703"/>
      <c r="AF3" s="703"/>
      <c r="AG3" s="704">
        <f ca="1">TODAY()</f>
        <v>45500</v>
      </c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12"/>
      <c r="AW3" s="73"/>
      <c r="AX3" s="82" t="s">
        <v>1945</v>
      </c>
      <c r="AY3" s="709"/>
      <c r="AZ3" s="710"/>
      <c r="BA3" s="710"/>
      <c r="BB3" s="711"/>
      <c r="BC3" s="83" t="s">
        <v>1952</v>
      </c>
      <c r="BD3" s="558"/>
      <c r="BE3" s="83"/>
      <c r="BH3" s="127" t="str">
        <f>BS4</f>
        <v>MercedesBenz</v>
      </c>
      <c r="BI3" s="127" t="str">
        <f>BS5</f>
        <v>A-Class</v>
      </c>
      <c r="BJ3" s="707" t="str">
        <f>BS6</f>
        <v>A 220 해치백</v>
      </c>
      <c r="BK3" s="707"/>
      <c r="BL3" s="127">
        <f>BS8</f>
        <v>40600000</v>
      </c>
      <c r="BM3" s="128">
        <f>BS7</f>
        <v>1991</v>
      </c>
      <c r="BN3" s="129"/>
      <c r="BO3" s="129"/>
      <c r="BP3" s="54"/>
      <c r="BQ3" s="54"/>
      <c r="BR3" s="54"/>
      <c r="BS3" s="54" t="s">
        <v>1106</v>
      </c>
      <c r="BT3" s="25">
        <v>20</v>
      </c>
      <c r="BU3" s="23"/>
      <c r="BV3" s="23"/>
      <c r="BW3" s="23">
        <v>1</v>
      </c>
      <c r="BX3" s="23">
        <v>1</v>
      </c>
      <c r="BY3" s="23" t="str">
        <f>TEXT(VLOOKUP(BT4,차량가!F$2:G$7549,2,0),"0000")</f>
        <v>0121</v>
      </c>
      <c r="BZ3" s="23" t="str">
        <f>IF(ISERROR(VLOOKUP(BY3,차량가!G$2:K$6501,5,0)),"",VLOOKUP(BY3,차량가!G$2:K$6501,5,0))</f>
        <v>A-Class</v>
      </c>
      <c r="CA3" s="23" t="str">
        <f>TEXT(VLOOKUP(BT4,차량가!F$2:G$7549,2,0),"0000")</f>
        <v>0121</v>
      </c>
      <c r="CB3" s="23"/>
      <c r="CC3" s="23"/>
      <c r="CD3" s="23"/>
      <c r="CE3" s="23"/>
      <c r="CF3" s="23"/>
      <c r="CG3" s="23"/>
      <c r="CH3" s="23"/>
      <c r="CI3" s="43" t="str">
        <f>TEXT(VLOOKUP(VLOOKUP(BT2,'1'!H43:I78,2,0),차량가!J2:AA7549,18,0),"0000")</f>
        <v>0972</v>
      </c>
      <c r="CJ3" s="43" t="str">
        <f>TEXT($BT$4,"000")</f>
        <v>025</v>
      </c>
      <c r="CK3" s="43" t="str">
        <f>VLOOKUP(CI3,차량가!$I$2:$K$7549,3,0)</f>
        <v>A-Class</v>
      </c>
      <c r="CL3" s="43" t="str">
        <f>VLOOKUP(CI3,차량가!$I$2:$L$7549,4,0)</f>
        <v>A200d 세단</v>
      </c>
      <c r="CM3" s="23"/>
      <c r="CN3" s="23"/>
      <c r="CO3" s="54"/>
      <c r="CP3" s="54"/>
      <c r="CQ3" s="468">
        <f>COUNTIF(차량가!K:K,BI3)</f>
        <v>6</v>
      </c>
      <c r="CR3" s="324" t="s">
        <v>1997</v>
      </c>
      <c r="CS3" s="54"/>
      <c r="CT3" s="72"/>
      <c r="CU3" s="72"/>
    </row>
    <row r="4" spans="1:99" ht="30.75" customHeight="1">
      <c r="A4" s="73"/>
      <c r="C4" s="84"/>
      <c r="D4" s="84"/>
      <c r="E4" s="84"/>
      <c r="F4" s="84"/>
      <c r="G4" s="84"/>
      <c r="H4" s="84"/>
      <c r="I4" s="84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708"/>
      <c r="AH4" s="708"/>
      <c r="AI4" s="708"/>
      <c r="AJ4" s="708"/>
      <c r="AK4" s="708"/>
      <c r="AL4" s="708"/>
      <c r="AM4" s="708"/>
      <c r="AN4" s="708"/>
      <c r="AO4" s="708"/>
      <c r="AP4" s="708"/>
      <c r="AQ4" s="708"/>
      <c r="AR4" s="708"/>
      <c r="AS4" s="708"/>
      <c r="AT4" s="708"/>
      <c r="AU4" s="708"/>
      <c r="AV4" s="712"/>
      <c r="AW4" s="73"/>
      <c r="AX4" s="86" t="s">
        <v>19</v>
      </c>
      <c r="AY4" s="706" t="s">
        <v>1117</v>
      </c>
      <c r="AZ4" s="706"/>
      <c r="BA4" s="706"/>
      <c r="BB4" s="706"/>
      <c r="BC4" s="83" t="s">
        <v>1953</v>
      </c>
      <c r="BD4" s="558"/>
      <c r="BE4" s="83"/>
      <c r="BF4" s="501"/>
      <c r="BG4" s="490"/>
      <c r="BH4" s="488"/>
      <c r="BI4" s="305"/>
      <c r="BJ4" s="388"/>
      <c r="BK4" s="880"/>
      <c r="BL4" s="880"/>
      <c r="BM4" s="880"/>
      <c r="BN4" s="129"/>
      <c r="BO4" s="129"/>
      <c r="BP4" s="54"/>
      <c r="BQ4" s="54"/>
      <c r="BR4" s="54"/>
      <c r="BS4" s="31" t="str">
        <f>VLOOKUP(BT2,'1'!H43:I78,2,0)</f>
        <v>MercedesBenz</v>
      </c>
      <c r="BT4" s="25" t="str">
        <f>TEXT(VLOOKUP(BT2,'1'!H43:J78,3,0),"0000")</f>
        <v>0025</v>
      </c>
      <c r="BU4" s="23" t="s">
        <v>1210</v>
      </c>
      <c r="BV4" s="23">
        <f>VLOOKUP($BT$7,차량가!$X$2:$AE$2099,7,0)</f>
        <v>2</v>
      </c>
      <c r="BW4" s="23"/>
      <c r="BX4" s="23">
        <v>2</v>
      </c>
      <c r="BY4" s="23" t="str">
        <f>IF(VLOOKUP(TEXT(INT(BY3+1),"0000"),차량가!G$2:J$7549,4,0)=BS4,TEXT(BY3+1,"0000"),"")</f>
        <v>0122</v>
      </c>
      <c r="BZ4" s="23" t="str">
        <f>IF(ISERROR(VLOOKUP(BY4,차량가!G$2:K$6501,5,0)),"",VLOOKUP(BY4,차량가!G$2:K$6501,5,0))</f>
        <v>AMG GT 4door</v>
      </c>
      <c r="CA4" s="23" t="str">
        <f>IF(VLOOKUP(TEXT(INT(BY3+1),"0000"),차량가!G$2:J$7549,4,0)=BS4,TEXT(BY3+1,"0000"),"")</f>
        <v>0122</v>
      </c>
      <c r="CB4" s="23"/>
      <c r="CC4" s="23"/>
      <c r="CD4" s="23"/>
      <c r="CE4" s="23"/>
      <c r="CF4" s="23"/>
      <c r="CG4" s="23"/>
      <c r="CH4" s="23"/>
      <c r="CI4" s="43" t="str">
        <f>TEXT(VLOOKUP(TEXT(BT5,"0000"),차량가!G2:I7549,3,0),"0000")</f>
        <v>0972</v>
      </c>
      <c r="CJ4" s="43" t="str">
        <f t="shared" ref="CJ4:CJ65" si="0">TEXT($BT$4,"000")</f>
        <v>025</v>
      </c>
      <c r="CK4" s="43" t="str">
        <f>VLOOKUP(CI4,차량가!$I$2:$K$7549,3,0)</f>
        <v>A-Class</v>
      </c>
      <c r="CL4" s="43" t="str">
        <f>VLOOKUP(CI4,차량가!$I$2:$L$7549,4,0)</f>
        <v>A200d 세단</v>
      </c>
      <c r="CM4" s="23" t="str">
        <f>TEXT(CI4,"0000")</f>
        <v>0972</v>
      </c>
      <c r="CN4" s="325">
        <f>VLOOKUP(CI4,차량가!I$2:M$7549,5,0)</f>
        <v>41600000</v>
      </c>
      <c r="CO4" s="54"/>
      <c r="CP4" s="54"/>
      <c r="CQ4" s="54"/>
      <c r="CR4" s="54">
        <f>COUNTIF(CR5:CR10,BT5)</f>
        <v>0</v>
      </c>
      <c r="CS4" s="54"/>
      <c r="CT4" s="72"/>
      <c r="CU4" s="72"/>
    </row>
    <row r="5" spans="1:99" ht="31.5" customHeight="1">
      <c r="A5" s="73"/>
      <c r="C5" s="74" t="s">
        <v>13</v>
      </c>
      <c r="D5" s="75"/>
      <c r="E5" s="75"/>
      <c r="F5" s="75"/>
      <c r="G5" s="75"/>
      <c r="H5" s="76"/>
      <c r="I5" s="77"/>
      <c r="J5" s="77"/>
      <c r="K5" s="77"/>
      <c r="L5" s="77"/>
      <c r="M5" s="77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9"/>
      <c r="AD5" s="79"/>
      <c r="AE5" s="79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76"/>
      <c r="AR5" s="76"/>
      <c r="AS5" s="76"/>
      <c r="AT5" s="76"/>
      <c r="AU5" s="76"/>
      <c r="AV5" s="712"/>
      <c r="AW5" s="73"/>
      <c r="AX5" s="87" t="s">
        <v>56</v>
      </c>
      <c r="AY5" s="641"/>
      <c r="AZ5" s="641"/>
      <c r="BA5" s="641"/>
      <c r="BB5" s="641"/>
      <c r="BC5" s="216" t="s">
        <v>3524</v>
      </c>
      <c r="BD5" s="559"/>
      <c r="BE5" s="518"/>
      <c r="BF5" s="487"/>
      <c r="BG5" s="236"/>
      <c r="BH5" s="489"/>
      <c r="BI5" s="370"/>
      <c r="BJ5" s="370"/>
      <c r="BK5" s="499"/>
      <c r="BL5" s="499"/>
      <c r="BM5" s="499"/>
      <c r="BN5" s="129"/>
      <c r="BO5" s="129"/>
      <c r="BP5" s="54"/>
      <c r="BQ5" s="54"/>
      <c r="BR5" s="54"/>
      <c r="BS5" s="31" t="str">
        <f>VLOOKUP(BT9,BX3:BZ41,3,0)</f>
        <v>A-Class</v>
      </c>
      <c r="BT5" s="25" t="str">
        <f>TEXT(VLOOKUP(BS5,BZ3:CA41,2,0),"0000")</f>
        <v>0121</v>
      </c>
      <c r="BU5" s="23" t="s">
        <v>1211</v>
      </c>
      <c r="BV5" s="23">
        <f>VLOOKUP($BT$7,차량가!$X$2:$AE$2099,8,0)</f>
        <v>0</v>
      </c>
      <c r="BW5" s="23"/>
      <c r="BX5" s="23">
        <v>3</v>
      </c>
      <c r="BY5" s="23" t="str">
        <f>IF(VLOOKUP(TEXT(INT(BY4+1),"0000"),차량가!G$2:J$7549,4,0)=$BS$4,TEXT(BY4+1,"0000"),"")</f>
        <v>0123</v>
      </c>
      <c r="BZ5" s="23" t="str">
        <f>IF(ISERROR(VLOOKUP(BY5,차량가!G$2:K$6501,5,0)),"",VLOOKUP(BY5,차량가!G$2:K$6501,5,0))</f>
        <v>C-Class</v>
      </c>
      <c r="CA5" s="23" t="str">
        <f>IF(BY5="","",IF(VLOOKUP(TEXT(INT(BY4+1),"0000"),차량가!G$2:J$7549,4,0)=$BS$4,TEXT(BY4+1,"0000"),""))</f>
        <v>0123</v>
      </c>
      <c r="CB5" s="23"/>
      <c r="CC5" s="23"/>
      <c r="CD5" s="23"/>
      <c r="CE5" s="23"/>
      <c r="CF5" s="23"/>
      <c r="CG5" s="23"/>
      <c r="CH5" s="23"/>
      <c r="CI5" s="44" t="str">
        <f>IF(VLOOKUP(TEXT(INT(CI4+1),"0000"),차량가!I$2:K$7549,3,0)=CK4,TEXT(CI4+1,"0000"),"")</f>
        <v>0973</v>
      </c>
      <c r="CJ5" s="43" t="str">
        <f t="shared" si="0"/>
        <v>025</v>
      </c>
      <c r="CK5" s="43" t="str">
        <f>IF(CI5="","",(VLOOKUP(CI5,차량가!$I$2:$K$7549,3,0)))</f>
        <v>A-Class</v>
      </c>
      <c r="CL5" s="43" t="str">
        <f>IF(CI5="","",VLOOKUP(CI5,차량가!$I$2:$L$7549,4,0))</f>
        <v>A 220 세단</v>
      </c>
      <c r="CM5" s="23" t="str">
        <f>TEXT(CI5,"0000")</f>
        <v>0973</v>
      </c>
      <c r="CN5" s="325">
        <f>VLOOKUP(CI5,차량가!I$2:M$7549,5,0)</f>
        <v>40600000</v>
      </c>
      <c r="CO5" s="54"/>
      <c r="CP5" s="54"/>
      <c r="CQ5" s="54"/>
      <c r="CR5" s="54" t="s">
        <v>1998</v>
      </c>
      <c r="CS5" s="54"/>
      <c r="CT5" s="72"/>
      <c r="CU5" s="72"/>
    </row>
    <row r="6" spans="1:99" ht="40.5" customHeight="1">
      <c r="A6" s="73"/>
      <c r="C6" s="738" t="s">
        <v>58</v>
      </c>
      <c r="D6" s="738"/>
      <c r="E6" s="738"/>
      <c r="F6" s="738"/>
      <c r="G6" s="738"/>
      <c r="H6" s="739" t="str">
        <f>BI3</f>
        <v>A-Class</v>
      </c>
      <c r="I6" s="739"/>
      <c r="J6" s="739"/>
      <c r="K6" s="739"/>
      <c r="L6" s="739"/>
      <c r="M6" s="739"/>
      <c r="N6" s="740"/>
      <c r="O6" s="469" t="s">
        <v>3135</v>
      </c>
      <c r="P6" s="470"/>
      <c r="Q6" s="470"/>
      <c r="R6" s="470"/>
      <c r="S6" s="470"/>
      <c r="T6" s="744" t="str">
        <f>BJ3</f>
        <v>A 220 해치백</v>
      </c>
      <c r="U6" s="744"/>
      <c r="V6" s="744"/>
      <c r="W6" s="744"/>
      <c r="X6" s="744"/>
      <c r="Y6" s="744"/>
      <c r="Z6" s="744"/>
      <c r="AA6" s="744"/>
      <c r="AB6" s="744"/>
      <c r="AC6" s="744"/>
      <c r="AD6" s="744"/>
      <c r="AE6" s="744"/>
      <c r="AF6" s="744"/>
      <c r="AG6" s="744"/>
      <c r="AH6" s="744"/>
      <c r="AI6" s="744"/>
      <c r="AJ6" s="745"/>
      <c r="AK6" s="733" t="s">
        <v>27</v>
      </c>
      <c r="AL6" s="734"/>
      <c r="AM6" s="734"/>
      <c r="AN6" s="734"/>
      <c r="AO6" s="735"/>
      <c r="AP6" s="736">
        <f>BH13</f>
        <v>1991</v>
      </c>
      <c r="AQ6" s="737"/>
      <c r="AR6" s="737"/>
      <c r="AS6" s="737"/>
      <c r="AT6" s="737"/>
      <c r="AU6" s="737"/>
      <c r="AV6" s="712"/>
      <c r="AW6" s="73"/>
      <c r="AX6" s="87" t="s">
        <v>57</v>
      </c>
      <c r="AY6" s="641"/>
      <c r="AZ6" s="641"/>
      <c r="BA6" s="641"/>
      <c r="BB6" s="641"/>
      <c r="BC6" s="94" t="s">
        <v>3525</v>
      </c>
      <c r="BF6" s="487"/>
      <c r="BG6" s="236"/>
      <c r="BH6" s="498"/>
      <c r="BI6" s="371"/>
      <c r="BJ6" s="371"/>
      <c r="BK6" s="500"/>
      <c r="BL6" s="500"/>
      <c r="BM6" s="500"/>
      <c r="BN6" s="191"/>
      <c r="BO6" s="129"/>
      <c r="BP6" s="54"/>
      <c r="BQ6" s="54"/>
      <c r="BR6" s="54"/>
      <c r="BS6" s="31" t="str">
        <f>VLOOKUP(BT6,$CI:$CN,4,FALSE)</f>
        <v>A 220 해치백</v>
      </c>
      <c r="BT6" s="605" t="str">
        <f>INDEX(CM3:CM873,1+BT11,0)</f>
        <v>0974</v>
      </c>
      <c r="BU6" s="23" t="s">
        <v>3019</v>
      </c>
      <c r="BV6" s="49">
        <f>VLOOKUP(BT7,차량가!B2:X8776,18,0)</f>
        <v>4</v>
      </c>
      <c r="BW6" s="23"/>
      <c r="BX6" s="23">
        <v>4</v>
      </c>
      <c r="BY6" s="23" t="str">
        <f>IF(BY5="","",IF(VLOOKUP(TEXT(INT(BY5+1),"0000"),차량가!G$2:J$7549,4,0)=$BS$4,TEXT(BY5+1,"0000"),""))</f>
        <v>0124</v>
      </c>
      <c r="BZ6" s="23" t="str">
        <f>IF(ISERROR(VLOOKUP(BY6,차량가!G$2:K$6501,5,0)),"",VLOOKUP(BY6,차량가!G$2:K$6501,5,0))</f>
        <v>CLA-Class</v>
      </c>
      <c r="CA6" s="23" t="str">
        <f>IF(BY6="","",IF(VLOOKUP(TEXT(INT(BY5+1),"0000"),차량가!G$2:J$7549,4,0)=$BS$4,TEXT(BY5+1,"0000"),""))</f>
        <v>0124</v>
      </c>
      <c r="CB6" s="23"/>
      <c r="CC6" s="23"/>
      <c r="CD6" s="23"/>
      <c r="CE6" s="23"/>
      <c r="CF6" s="23"/>
      <c r="CG6" s="23"/>
      <c r="CH6" s="23"/>
      <c r="CI6" s="44" t="str">
        <f>IF(CI5="","",IF(VLOOKUP(TEXT(INT(CI5+1),"0000"),차량가!I$2:K$7549,3,0)=$BS$5,TEXT(CI5+1,"0000"),""))</f>
        <v>0974</v>
      </c>
      <c r="CJ6" s="43" t="str">
        <f t="shared" si="0"/>
        <v>025</v>
      </c>
      <c r="CK6" s="43" t="str">
        <f>IF(CI6="","",(VLOOKUP(CI6,차량가!$I$2:$K$7549,3,0)))</f>
        <v>A-Class</v>
      </c>
      <c r="CL6" s="43" t="str">
        <f>IF(CI6="","",VLOOKUP(CI6,차량가!$I$2:$L$7549,4,0))</f>
        <v>A 220 해치백</v>
      </c>
      <c r="CM6" s="23" t="str">
        <f t="shared" ref="CM6:CM21" si="1">TEXT(CI6,"0000")</f>
        <v>0974</v>
      </c>
      <c r="CN6" s="325">
        <f>VLOOKUP(CI6,차량가!I$2:M$7549,5,0)</f>
        <v>40600000</v>
      </c>
      <c r="CO6" s="54"/>
      <c r="CP6" s="54"/>
      <c r="CQ6" s="54"/>
      <c r="CR6" s="54" t="s">
        <v>1999</v>
      </c>
      <c r="CS6" s="54"/>
      <c r="CT6" s="72"/>
      <c r="CU6" s="72"/>
    </row>
    <row r="7" spans="1:99" ht="31.5" customHeight="1">
      <c r="A7" s="73"/>
      <c r="C7" s="803" t="s">
        <v>29</v>
      </c>
      <c r="D7" s="803"/>
      <c r="E7" s="803"/>
      <c r="F7" s="803"/>
      <c r="G7" s="803"/>
      <c r="H7" s="741">
        <f>IF(AY9&lt;=0,BS8,AY9)</f>
        <v>40600000</v>
      </c>
      <c r="I7" s="741"/>
      <c r="J7" s="741"/>
      <c r="K7" s="741"/>
      <c r="L7" s="741"/>
      <c r="M7" s="741"/>
      <c r="N7" s="742"/>
      <c r="O7" s="471" t="s">
        <v>2096</v>
      </c>
      <c r="P7" s="472"/>
      <c r="Q7" s="472"/>
      <c r="R7" s="472"/>
      <c r="S7" s="472"/>
      <c r="T7" s="746">
        <f>AY10</f>
        <v>0</v>
      </c>
      <c r="U7" s="746"/>
      <c r="V7" s="746"/>
      <c r="W7" s="746"/>
      <c r="X7" s="747"/>
      <c r="Y7" s="793" t="s">
        <v>2097</v>
      </c>
      <c r="Z7" s="794"/>
      <c r="AA7" s="794"/>
      <c r="AB7" s="794"/>
      <c r="AC7" s="795"/>
      <c r="AD7" s="749">
        <f>AY11</f>
        <v>0</v>
      </c>
      <c r="AE7" s="797"/>
      <c r="AF7" s="797"/>
      <c r="AG7" s="797"/>
      <c r="AH7" s="797"/>
      <c r="AI7" s="797"/>
      <c r="AJ7" s="798"/>
      <c r="AK7" s="796" t="s">
        <v>26</v>
      </c>
      <c r="AL7" s="794"/>
      <c r="AM7" s="794"/>
      <c r="AN7" s="794"/>
      <c r="AO7" s="795"/>
      <c r="AP7" s="749">
        <f>AY12</f>
        <v>0</v>
      </c>
      <c r="AQ7" s="750"/>
      <c r="AR7" s="750"/>
      <c r="AS7" s="750"/>
      <c r="AT7" s="750"/>
      <c r="AU7" s="751"/>
      <c r="AV7" s="712"/>
      <c r="AW7" s="73"/>
      <c r="AX7" s="87" t="s">
        <v>58</v>
      </c>
      <c r="AY7" s="641"/>
      <c r="AZ7" s="641"/>
      <c r="BA7" s="641"/>
      <c r="BB7" s="641"/>
      <c r="BG7" s="126" t="s">
        <v>2117</v>
      </c>
      <c r="BH7" s="88" t="s">
        <v>19</v>
      </c>
      <c r="BI7" s="88" t="s">
        <v>65</v>
      </c>
      <c r="BJ7" s="88" t="s">
        <v>66</v>
      </c>
      <c r="BK7" s="88" t="s">
        <v>67</v>
      </c>
      <c r="BL7" s="88" t="s">
        <v>1132</v>
      </c>
      <c r="BM7" s="88" t="s">
        <v>1107</v>
      </c>
      <c r="BN7" s="88" t="s">
        <v>68</v>
      </c>
      <c r="BO7" s="88" t="s">
        <v>1121</v>
      </c>
      <c r="BP7" s="88" t="s">
        <v>1108</v>
      </c>
      <c r="BQ7" s="88" t="s">
        <v>1143</v>
      </c>
      <c r="BR7" s="72" t="s">
        <v>1238</v>
      </c>
      <c r="BS7" s="43">
        <f>VLOOKUP(BT6,차량가!I2:N7549,6,0)</f>
        <v>1991</v>
      </c>
      <c r="BT7" s="594">
        <f>VLOOKUP(BS4&amp;BS5&amp;BS6&amp;BS8,차량가!W2:X7549,2,0)</f>
        <v>4749</v>
      </c>
      <c r="BU7" s="23" t="s">
        <v>3018</v>
      </c>
      <c r="BV7" s="23">
        <f>VLOOKUP($BT$7,차량가!$X$2:$AE$2099,6,0)</f>
        <v>0</v>
      </c>
      <c r="BW7" s="23"/>
      <c r="BX7" s="23">
        <v>5</v>
      </c>
      <c r="BY7" s="23" t="str">
        <f>IF(BY6="","",IF(VLOOKUP(TEXT(INT(BY6+1),"0000"),차량가!G$2:J$7549,4,0)=$BS$4,TEXT(BY6+1,"0000"),""))</f>
        <v>0125</v>
      </c>
      <c r="BZ7" s="23" t="str">
        <f>IF(ISERROR(VLOOKUP(BY7,차량가!G$2:K$6501,5,0)),"",VLOOKUP(BY7,차량가!G$2:K$6501,5,0))</f>
        <v>CLS-Class</v>
      </c>
      <c r="CA7" s="23" t="str">
        <f>IF(BY7="","",IF(VLOOKUP(TEXT(INT(BY6+1),"0000"),차량가!G$2:J$7549,4,0)=$BS$4,TEXT(BY6+1,"0000"),""))</f>
        <v>0125</v>
      </c>
      <c r="CB7" s="23"/>
      <c r="CC7" s="23"/>
      <c r="CD7" s="23"/>
      <c r="CE7" s="23"/>
      <c r="CF7" s="23"/>
      <c r="CG7" s="23"/>
      <c r="CH7" s="23"/>
      <c r="CI7" s="44" t="str">
        <f>IF(CI6="","",IF(VLOOKUP(TEXT(INT(CI6+1),"0000"),차량가!I$2:K$7549,3,0)=$BS$5,TEXT(CI6+1,"0000"),""))</f>
        <v>0975</v>
      </c>
      <c r="CJ7" s="43" t="str">
        <f t="shared" si="0"/>
        <v>025</v>
      </c>
      <c r="CK7" s="43" t="str">
        <f>IF(CI7="","",(VLOOKUP(CI7,차량가!$I$2:$K$7549,3,0)))</f>
        <v>A-Class</v>
      </c>
      <c r="CL7" s="43" t="str">
        <f>IF(CI7="","",VLOOKUP(CI7,차량가!$I$2:$L$7549,4,0))</f>
        <v>A250 4matic  세단</v>
      </c>
      <c r="CM7" s="23" t="str">
        <f t="shared" si="1"/>
        <v>0975</v>
      </c>
      <c r="CN7" s="325">
        <f>VLOOKUP(CI7,차량가!I$2:M$7549,5,0)</f>
        <v>50900000</v>
      </c>
      <c r="CO7" s="54"/>
      <c r="CP7" s="54"/>
      <c r="CQ7" s="54"/>
      <c r="CR7" s="54" t="s">
        <v>2000</v>
      </c>
      <c r="CS7" s="54"/>
      <c r="CT7" s="72"/>
      <c r="CU7" s="72"/>
    </row>
    <row r="8" spans="1:99" ht="31.5" customHeight="1">
      <c r="A8" s="89"/>
      <c r="C8" s="752" t="s">
        <v>2124</v>
      </c>
      <c r="D8" s="752"/>
      <c r="E8" s="752"/>
      <c r="F8" s="752"/>
      <c r="G8" s="752"/>
      <c r="H8" s="743" t="str">
        <f>IF(BV12="전기차","Y","N")</f>
        <v>N</v>
      </c>
      <c r="I8" s="743"/>
      <c r="J8" s="743"/>
      <c r="K8" s="743"/>
      <c r="L8" s="743"/>
      <c r="M8" s="743"/>
      <c r="N8" s="743"/>
      <c r="O8" s="90"/>
      <c r="P8" s="90"/>
      <c r="Q8" s="90"/>
      <c r="R8" s="85"/>
      <c r="S8" s="85"/>
      <c r="T8" s="85"/>
      <c r="U8" s="85"/>
      <c r="V8" s="85"/>
      <c r="W8" s="85"/>
      <c r="X8" s="85"/>
      <c r="Y8" s="90"/>
      <c r="Z8" s="90"/>
      <c r="AA8" s="90"/>
      <c r="AB8" s="90"/>
      <c r="AC8" s="90"/>
      <c r="AD8" s="90"/>
      <c r="AE8" s="90"/>
      <c r="AF8" s="90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712"/>
      <c r="AW8" s="73"/>
      <c r="AX8" s="87" t="s">
        <v>14</v>
      </c>
      <c r="AY8" s="641"/>
      <c r="AZ8" s="641"/>
      <c r="BA8" s="641"/>
      <c r="BB8" s="641"/>
      <c r="BC8" s="380"/>
      <c r="BD8" s="560"/>
      <c r="BE8" s="545"/>
      <c r="BF8" s="130" t="e">
        <f>+AK7/G7</f>
        <v>#VALUE!</v>
      </c>
      <c r="BG8" s="126" t="s">
        <v>2126</v>
      </c>
      <c r="BH8" s="88" t="s">
        <v>1117</v>
      </c>
      <c r="BI8" s="88" t="s">
        <v>1109</v>
      </c>
      <c r="BJ8" s="88" t="s">
        <v>1109</v>
      </c>
      <c r="BK8" s="88" t="str">
        <f>IF(BT10=1,"국산탁송대행","포함")</f>
        <v>포함</v>
      </c>
      <c r="BL8" s="88" t="s">
        <v>1109</v>
      </c>
      <c r="BM8" s="88" t="s">
        <v>1119</v>
      </c>
      <c r="BN8" s="88" t="s">
        <v>1109</v>
      </c>
      <c r="BO8" s="88" t="s">
        <v>2015</v>
      </c>
      <c r="BP8" s="88" t="s">
        <v>1109</v>
      </c>
      <c r="BQ8" s="88" t="s">
        <v>1144</v>
      </c>
      <c r="BR8" s="72" t="s">
        <v>1238</v>
      </c>
      <c r="BS8" s="46">
        <f>VLOOKUP(BT6,차량가!I$2:M$7549,5,0)</f>
        <v>40600000</v>
      </c>
      <c r="BT8" s="25"/>
      <c r="BU8" s="23" t="s">
        <v>2903</v>
      </c>
      <c r="BV8" s="23">
        <f>VLOOKUP(BT7,차량가!$X$2:$AK$1413,14,0)</f>
        <v>7</v>
      </c>
      <c r="BW8" s="23"/>
      <c r="BX8" s="23">
        <v>6</v>
      </c>
      <c r="BY8" s="23" t="str">
        <f>IF(BY7="","",IF(VLOOKUP(TEXT(INT(BY7+1),"0000"),차량가!G$2:J$7549,4,0)=$BS$4,TEXT(BY7+1,"0000"),""))</f>
        <v>0126</v>
      </c>
      <c r="BZ8" s="23" t="str">
        <f>IF(ISERROR(VLOOKUP(BY8,차량가!G$2:K$6501,5,0)),"",VLOOKUP(BY8,차량가!G$2:K$6501,5,0))</f>
        <v>CLE</v>
      </c>
      <c r="CA8" s="23" t="str">
        <f>IF(BY8="","",IF(VLOOKUP(TEXT(INT(BY7+1),"0000"),차량가!G$2:J$7549,4,0)=$BS$4,TEXT(BY7+1,"0000"),""))</f>
        <v>0126</v>
      </c>
      <c r="CB8" s="23"/>
      <c r="CC8" s="23"/>
      <c r="CD8" s="23"/>
      <c r="CE8" s="23"/>
      <c r="CF8" s="23"/>
      <c r="CG8" s="23"/>
      <c r="CH8" s="23"/>
      <c r="CI8" s="44" t="str">
        <f>IF(CI7="","",IF(VLOOKUP(TEXT(INT(CI7+1),"0000"),차량가!I$2:K$7549,3,0)=$BS$5,TEXT(CI7+1,"0000"),""))</f>
        <v>0976</v>
      </c>
      <c r="CJ8" s="43" t="str">
        <f t="shared" si="0"/>
        <v>025</v>
      </c>
      <c r="CK8" s="43" t="str">
        <f>IF(CI8="","",(VLOOKUP(CI8,차량가!$I$2:$K$7549,3,0)))</f>
        <v>A-Class</v>
      </c>
      <c r="CL8" s="43" t="str">
        <f>IF(CI8="","",VLOOKUP(CI8,차량가!$I$2:$L$7549,4,0))</f>
        <v>AMG A 35 4매틱 세단</v>
      </c>
      <c r="CM8" s="23" t="str">
        <f t="shared" si="1"/>
        <v>0976</v>
      </c>
      <c r="CN8" s="325">
        <f>VLOOKUP(CI8,차량가!I$2:M$7549,5,0)</f>
        <v>62700000</v>
      </c>
      <c r="CO8" s="54"/>
      <c r="CP8" s="54"/>
      <c r="CQ8" s="54"/>
      <c r="CR8" s="54" t="s">
        <v>2001</v>
      </c>
      <c r="CS8" s="54"/>
      <c r="CT8" s="72"/>
      <c r="CU8" s="72"/>
    </row>
    <row r="9" spans="1:99" ht="29.25" customHeight="1">
      <c r="A9" s="73"/>
      <c r="C9" s="74" t="s">
        <v>15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4" t="s">
        <v>16</v>
      </c>
      <c r="AA9" s="78"/>
      <c r="AB9" s="78"/>
      <c r="AC9" s="78"/>
      <c r="AD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48">
        <f ca="1">TODAY()</f>
        <v>45500</v>
      </c>
      <c r="AS9" s="748"/>
      <c r="AT9" s="748"/>
      <c r="AU9" s="748"/>
      <c r="AV9" s="712"/>
      <c r="AW9" s="73"/>
      <c r="AX9" s="87" t="s">
        <v>59</v>
      </c>
      <c r="AY9" s="719"/>
      <c r="AZ9" s="719"/>
      <c r="BA9" s="719"/>
      <c r="BB9" s="719"/>
      <c r="BC9" s="70" t="s">
        <v>1978</v>
      </c>
      <c r="BD9" s="561"/>
      <c r="BE9" s="546"/>
      <c r="BF9" s="532"/>
      <c r="BG9" s="126" t="s">
        <v>2127</v>
      </c>
      <c r="BH9" s="88" t="s">
        <v>1118</v>
      </c>
      <c r="BI9" s="88" t="s">
        <v>1110</v>
      </c>
      <c r="BJ9" s="88" t="s">
        <v>1110</v>
      </c>
      <c r="BK9" s="88" t="s">
        <v>1110</v>
      </c>
      <c r="BL9" s="88" t="s">
        <v>1110</v>
      </c>
      <c r="BM9" s="88" t="s">
        <v>1120</v>
      </c>
      <c r="BN9" s="88" t="s">
        <v>1110</v>
      </c>
      <c r="BO9" s="88" t="s">
        <v>1122</v>
      </c>
      <c r="BP9" s="88" t="s">
        <v>1110</v>
      </c>
      <c r="BQ9" s="88" t="s">
        <v>1145</v>
      </c>
      <c r="BR9" s="72" t="s">
        <v>1418</v>
      </c>
      <c r="BS9" s="273" t="s">
        <v>1105</v>
      </c>
      <c r="BT9" s="25">
        <v>1</v>
      </c>
      <c r="BU9" s="23" t="s">
        <v>3017</v>
      </c>
      <c r="BV9" s="47"/>
      <c r="BW9" s="23"/>
      <c r="BX9" s="23">
        <v>7</v>
      </c>
      <c r="BY9" s="23" t="str">
        <f>IF(BY8="","",IF(VLOOKUP(TEXT(INT(BY8+1),"0000"),차량가!G$2:J$7549,4,0)=$BS$4,TEXT(BY8+1,"0000"),""))</f>
        <v>0127</v>
      </c>
      <c r="BZ9" s="23" t="str">
        <f>IF(ISERROR(VLOOKUP(BY9,차량가!G$2:K$6501,5,0)),"",VLOOKUP(BY9,차량가!G$2:K$6501,5,0))</f>
        <v>E-Class</v>
      </c>
      <c r="CA9" s="23" t="str">
        <f>IF(BY9="","",IF(VLOOKUP(TEXT(INT(BY8+1),"0000"),차량가!G$2:J$7549,4,0)=$BS$4,TEXT(BY8+1,"0000"),""))</f>
        <v>0127</v>
      </c>
      <c r="CB9" s="23"/>
      <c r="CC9" s="23"/>
      <c r="CD9" s="23"/>
      <c r="CE9" s="23"/>
      <c r="CF9" s="23"/>
      <c r="CG9" s="23"/>
      <c r="CH9" s="23"/>
      <c r="CI9" s="44" t="str">
        <f>IF(CI8="","",IF(VLOOKUP(TEXT(INT(CI8+1),"0000"),차량가!I$2:K$7549,3,0)=$BS$5,TEXT(CI8+1,"0000"),""))</f>
        <v>0977</v>
      </c>
      <c r="CJ9" s="43" t="str">
        <f t="shared" si="0"/>
        <v>025</v>
      </c>
      <c r="CK9" s="43" t="str">
        <f>IF(CI9="","",(VLOOKUP(CI9,차량가!$I$2:$K$7549,3,0)))</f>
        <v>A-Class</v>
      </c>
      <c r="CL9" s="43" t="str">
        <f>IF(CI9="","",VLOOKUP(CI9,차량가!$I$2:$L$7549,4,0))</f>
        <v>AMG A 45 4매틱+</v>
      </c>
      <c r="CM9" s="23" t="str">
        <f t="shared" si="1"/>
        <v>0977</v>
      </c>
      <c r="CN9" s="325">
        <f>VLOOKUP(CI9,차량가!I$2:M$7549,5,0)</f>
        <v>70900000</v>
      </c>
      <c r="CO9" s="54"/>
      <c r="CP9" s="54"/>
      <c r="CQ9" s="54"/>
      <c r="CR9" s="54" t="s">
        <v>2002</v>
      </c>
      <c r="CS9" s="54"/>
      <c r="CT9" s="72"/>
      <c r="CU9" s="72"/>
    </row>
    <row r="10" spans="1:99" ht="30" customHeight="1">
      <c r="A10" s="73"/>
      <c r="C10" s="725" t="s">
        <v>30</v>
      </c>
      <c r="D10" s="726"/>
      <c r="E10" s="819" t="s">
        <v>28</v>
      </c>
      <c r="F10" s="819"/>
      <c r="G10" s="819"/>
      <c r="H10" s="819"/>
      <c r="I10" s="819"/>
      <c r="J10" s="819"/>
      <c r="K10" s="822">
        <f>H7+T7+AD7-AP7</f>
        <v>40600000</v>
      </c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695" t="s">
        <v>17</v>
      </c>
      <c r="AA10" s="696"/>
      <c r="AB10" s="696"/>
      <c r="AC10" s="696"/>
      <c r="AD10" s="696"/>
      <c r="AE10" s="696"/>
      <c r="AF10" s="696"/>
      <c r="AG10" s="820" t="str">
        <f>IF(AND(CY187=TRUE,CZ187=1,DA187=1),"운용리스 플릿상품전용","운용리스")</f>
        <v>운용리스</v>
      </c>
      <c r="AH10" s="820"/>
      <c r="AI10" s="820"/>
      <c r="AJ10" s="820"/>
      <c r="AK10" s="820"/>
      <c r="AL10" s="820"/>
      <c r="AM10" s="820"/>
      <c r="AN10" s="820"/>
      <c r="AO10" s="820"/>
      <c r="AP10" s="820"/>
      <c r="AQ10" s="820"/>
      <c r="AR10" s="820"/>
      <c r="AS10" s="820"/>
      <c r="AT10" s="820"/>
      <c r="AU10" s="821"/>
      <c r="AV10" s="712"/>
      <c r="AW10" s="73"/>
      <c r="AX10" s="81" t="s">
        <v>60</v>
      </c>
      <c r="AY10" s="753"/>
      <c r="AZ10" s="753"/>
      <c r="BA10" s="753"/>
      <c r="BB10" s="753"/>
      <c r="BD10" s="618">
        <f>(19350000*1.5%)/60</f>
        <v>4837.5</v>
      </c>
      <c r="BE10" s="544">
        <v>0</v>
      </c>
      <c r="BF10" s="531"/>
      <c r="BG10" s="126">
        <v>1</v>
      </c>
      <c r="BH10" s="88">
        <v>1</v>
      </c>
      <c r="BI10" s="88">
        <v>1</v>
      </c>
      <c r="BJ10" s="88">
        <v>2</v>
      </c>
      <c r="BK10" s="88">
        <v>2</v>
      </c>
      <c r="BL10" s="88">
        <v>2</v>
      </c>
      <c r="BM10" s="88">
        <v>1</v>
      </c>
      <c r="BN10" s="88">
        <v>2</v>
      </c>
      <c r="BO10" s="88" t="str">
        <f>IF(BT11=1,"3만km","3만km")</f>
        <v>3만km</v>
      </c>
      <c r="BP10" s="88">
        <v>2</v>
      </c>
      <c r="BQ10" s="88">
        <v>2</v>
      </c>
      <c r="BR10" s="72">
        <v>2</v>
      </c>
      <c r="BS10" s="22" t="s">
        <v>1226</v>
      </c>
      <c r="BT10" s="25">
        <v>2</v>
      </c>
      <c r="BU10" s="23"/>
      <c r="BV10" s="48"/>
      <c r="BW10" s="23"/>
      <c r="BX10" s="23">
        <v>8</v>
      </c>
      <c r="BY10" s="23" t="str">
        <f>IF(BY9="","",IF(VLOOKUP(TEXT(INT(BY9+1),"0000"),차량가!G$2:J$7549,4,0)=$BS$4,TEXT(BY9+1,"0000"),""))</f>
        <v>0128</v>
      </c>
      <c r="BZ10" s="23" t="str">
        <f>IF(ISERROR(VLOOKUP(BY10,차량가!G$2:K$6501,5,0)),"",VLOOKUP(BY10,차량가!G$2:K$6501,5,0))</f>
        <v>EQA</v>
      </c>
      <c r="CA10" s="23" t="str">
        <f>IF(BY10="","",IF(VLOOKUP(TEXT(INT(BY9+1),"0000"),차량가!G$2:J$7549,4,0)=$BS$4,TEXT(BY9+1,"0000"),""))</f>
        <v>0128</v>
      </c>
      <c r="CB10" s="23"/>
      <c r="CC10" s="23"/>
      <c r="CD10" s="23"/>
      <c r="CE10" s="23"/>
      <c r="CF10" s="23"/>
      <c r="CG10" s="23"/>
      <c r="CH10" s="23"/>
      <c r="CI10" s="44" t="str">
        <f>IF(CI9="","",IF(VLOOKUP(TEXT(INT(CI9+1),"0000"),차량가!I$2:K$7549,3,0)=$BS$5,TEXT(CI9+1,"0000"),""))</f>
        <v/>
      </c>
      <c r="CJ10" s="43" t="str">
        <f t="shared" si="0"/>
        <v>025</v>
      </c>
      <c r="CK10" s="43" t="str">
        <f>IF(CI10="","",(VLOOKUP(CI10,차량가!$I$2:$K$7549,3,0)))</f>
        <v/>
      </c>
      <c r="CL10" s="43" t="str">
        <f>IF(CI10="","",VLOOKUP(CI10,차량가!$I$2:$L$7549,4,0))</f>
        <v/>
      </c>
      <c r="CM10" s="23" t="str">
        <f t="shared" si="1"/>
        <v/>
      </c>
      <c r="CN10" s="325" t="e">
        <f>VLOOKUP(CI10,차량가!I$2:M$7549,5,0)</f>
        <v>#N/A</v>
      </c>
      <c r="CO10" s="326"/>
      <c r="CP10" s="54"/>
      <c r="CQ10" s="54"/>
      <c r="CR10" s="54" t="s">
        <v>2003</v>
      </c>
      <c r="CS10" s="54"/>
      <c r="CT10" s="72"/>
      <c r="CU10" s="72"/>
    </row>
    <row r="11" spans="1:99" ht="35.25" customHeight="1">
      <c r="A11" s="73"/>
      <c r="C11" s="727"/>
      <c r="D11" s="728"/>
      <c r="E11" s="636" t="s">
        <v>31</v>
      </c>
      <c r="F11" s="636"/>
      <c r="G11" s="636"/>
      <c r="H11" s="636"/>
      <c r="I11" s="636"/>
      <c r="J11" s="636"/>
      <c r="K11" s="786" t="str">
        <f>IF(BI10=1,"포함","미포함")</f>
        <v>포함</v>
      </c>
      <c r="L11" s="786"/>
      <c r="M11" s="786"/>
      <c r="N11" s="731">
        <f>IF(BV12="전기차",BC13,BT20)</f>
        <v>2583630</v>
      </c>
      <c r="O11" s="732"/>
      <c r="P11" s="732"/>
      <c r="Q11" s="732"/>
      <c r="R11" s="732"/>
      <c r="S11" s="732"/>
      <c r="T11" s="732"/>
      <c r="U11" s="732"/>
      <c r="V11" s="732"/>
      <c r="W11" s="732"/>
      <c r="X11" s="732"/>
      <c r="Y11" s="732"/>
      <c r="Z11" s="667" t="s">
        <v>18</v>
      </c>
      <c r="AA11" s="668"/>
      <c r="AB11" s="668"/>
      <c r="AC11" s="668"/>
      <c r="AD11" s="668"/>
      <c r="AE11" s="668"/>
      <c r="AF11" s="668"/>
      <c r="AG11" s="802">
        <f>IF(BG27=1,24,0)+IF(BG27=2,36,0)+IF(BG27=3,48,0)+IF(BG27=4,60,0)</f>
        <v>60</v>
      </c>
      <c r="AH11" s="800"/>
      <c r="AI11" s="800"/>
      <c r="AJ11" s="800"/>
      <c r="AK11" s="800"/>
      <c r="AL11" s="800"/>
      <c r="AM11" s="800"/>
      <c r="AN11" s="800"/>
      <c r="AO11" s="800"/>
      <c r="AP11" s="800"/>
      <c r="AQ11" s="800"/>
      <c r="AR11" s="800"/>
      <c r="AS11" s="800"/>
      <c r="AT11" s="800"/>
      <c r="AU11" s="801"/>
      <c r="AV11" s="712"/>
      <c r="AW11" s="73"/>
      <c r="AX11" s="235" t="s">
        <v>2098</v>
      </c>
      <c r="AY11" s="683"/>
      <c r="AZ11" s="684"/>
      <c r="BA11" s="684"/>
      <c r="BB11" s="684"/>
      <c r="BD11" s="570"/>
      <c r="BE11" s="231" t="s">
        <v>3543</v>
      </c>
      <c r="BF11" s="126">
        <f>IF(BG27=4,IF(BO10=1,IF(BT7=4749,IF(BF8&gt;=7%,0,IF(BF8&gt;=5%,1%,IF(BF8&gt;=3%,2%,4%))),0),0),0)</f>
        <v>0</v>
      </c>
      <c r="BH11" s="129"/>
      <c r="BI11" s="129"/>
      <c r="BJ11" s="129"/>
      <c r="BK11" s="129"/>
      <c r="BL11" s="129"/>
      <c r="BM11" s="129"/>
      <c r="BN11" s="129"/>
      <c r="BO11" s="3">
        <v>2</v>
      </c>
      <c r="BP11" s="54" t="str">
        <f>IF(BO11=1,"1.5만km",IF(BO11=2,"2만km",IF(BO11=3,"3만km",0)))</f>
        <v>2만km</v>
      </c>
      <c r="BQ11" s="54"/>
      <c r="BR11" s="54"/>
      <c r="BS11" s="22" t="s">
        <v>1206</v>
      </c>
      <c r="BT11" s="25">
        <v>3</v>
      </c>
      <c r="BU11" s="23"/>
      <c r="BV11" s="23"/>
      <c r="BW11" s="23"/>
      <c r="BX11" s="23">
        <v>9</v>
      </c>
      <c r="BY11" s="23" t="str">
        <f>IF(BY10="","",IF(VLOOKUP(TEXT(INT(BY10+1),"0000"),차량가!G$2:J$7549,4,0)=$BS$4,TEXT(BY10+1,"0000"),""))</f>
        <v>0129</v>
      </c>
      <c r="BZ11" s="23" t="str">
        <f>IF(ISERROR(VLOOKUP(BY11,차량가!G$2:K$6501,5,0)),"",VLOOKUP(BY11,차량가!G$2:K$6501,5,0))</f>
        <v>EQB</v>
      </c>
      <c r="CA11" s="23" t="str">
        <f>IF(BY11="","",IF(VLOOKUP(TEXT(INT(BY10+1),"0000"),차량가!G$2:J$7549,4,0)=$BS$4,TEXT(BY10+1,"0000"),""))</f>
        <v>0129</v>
      </c>
      <c r="CB11" s="23"/>
      <c r="CC11" s="23"/>
      <c r="CD11" s="23"/>
      <c r="CE11" s="23"/>
      <c r="CF11" s="23"/>
      <c r="CG11" s="23"/>
      <c r="CH11" s="23"/>
      <c r="CI11" s="44" t="str">
        <f>IF(CI10="","",IF(VLOOKUP(TEXT(INT(CI10+1),"0000"),차량가!I$2:K$7549,3,0)=$BS$5,TEXT(CI10+1,"0000"),""))</f>
        <v/>
      </c>
      <c r="CJ11" s="43" t="str">
        <f t="shared" si="0"/>
        <v>025</v>
      </c>
      <c r="CK11" s="43" t="str">
        <f>IF(CI11="","",(VLOOKUP(CI11,차량가!$I$2:$K$7549,3,0)))</f>
        <v/>
      </c>
      <c r="CL11" s="43" t="str">
        <f>IF(CI11="","",VLOOKUP(CI11,차량가!$I$2:$L$7549,4,0))</f>
        <v/>
      </c>
      <c r="CM11" s="23" t="str">
        <f t="shared" si="1"/>
        <v/>
      </c>
      <c r="CN11" s="325" t="e">
        <f>VLOOKUP(CI11,차량가!I$2:M$7549,5,0)</f>
        <v>#N/A</v>
      </c>
      <c r="CO11" s="54"/>
      <c r="CP11" s="54"/>
      <c r="CQ11" s="54"/>
      <c r="CR11" s="54"/>
      <c r="CS11" s="54"/>
      <c r="CT11" s="72"/>
      <c r="CU11" s="72"/>
    </row>
    <row r="12" spans="1:99" ht="30" customHeight="1">
      <c r="A12" s="73"/>
      <c r="C12" s="727"/>
      <c r="D12" s="728"/>
      <c r="E12" s="636" t="s">
        <v>32</v>
      </c>
      <c r="F12" s="636"/>
      <c r="G12" s="636"/>
      <c r="H12" s="636"/>
      <c r="I12" s="636"/>
      <c r="J12" s="636"/>
      <c r="K12" s="786" t="str">
        <f>IF(BJ10=1,"포함","미포함")</f>
        <v>미포함</v>
      </c>
      <c r="L12" s="786"/>
      <c r="M12" s="786"/>
      <c r="N12" s="731">
        <f>IF(OR(BT16=1,BT17=1),0,IF(BB15&lt;=0,AY16,IF(BT23=TRUE,MAX(0,TRUNC((K10/1.1*BJ15-1500000)*BB15,-1)),ROUNDDOWN(K10/1.1*BJ15*BB15,-1))))</f>
        <v>0</v>
      </c>
      <c r="O12" s="732"/>
      <c r="P12" s="732"/>
      <c r="Q12" s="732"/>
      <c r="R12" s="732"/>
      <c r="S12" s="732"/>
      <c r="T12" s="732"/>
      <c r="U12" s="732"/>
      <c r="V12" s="732"/>
      <c r="W12" s="732"/>
      <c r="X12" s="732"/>
      <c r="Y12" s="732"/>
      <c r="Z12" s="667" t="s">
        <v>19</v>
      </c>
      <c r="AA12" s="668"/>
      <c r="AB12" s="668"/>
      <c r="AC12" s="668"/>
      <c r="AD12" s="668"/>
      <c r="AE12" s="668"/>
      <c r="AF12" s="668"/>
      <c r="AG12" s="799" t="str">
        <f>IF(BH10=1,"리스사명의",IF(AX30="일반잔가","이용자명의","일반잔가만 가능"))</f>
        <v>리스사명의</v>
      </c>
      <c r="AH12" s="800"/>
      <c r="AI12" s="800"/>
      <c r="AJ12" s="800"/>
      <c r="AK12" s="800"/>
      <c r="AL12" s="800"/>
      <c r="AM12" s="800"/>
      <c r="AN12" s="800"/>
      <c r="AO12" s="800"/>
      <c r="AP12" s="800"/>
      <c r="AQ12" s="800"/>
      <c r="AR12" s="800"/>
      <c r="AS12" s="800"/>
      <c r="AT12" s="800"/>
      <c r="AU12" s="801"/>
      <c r="AV12" s="712"/>
      <c r="AW12" s="73"/>
      <c r="AX12" s="86" t="s">
        <v>26</v>
      </c>
      <c r="AY12" s="683">
        <v>0</v>
      </c>
      <c r="AZ12" s="684"/>
      <c r="BA12" s="684"/>
      <c r="BB12" s="685"/>
      <c r="BC12" s="216" t="s">
        <v>3269</v>
      </c>
      <c r="BD12" s="562"/>
      <c r="BE12" s="616" t="s">
        <v>3523</v>
      </c>
      <c r="BG12" s="487">
        <f xml:space="preserve"> BG21</f>
        <v>5.3999999999999999E-2</v>
      </c>
      <c r="BH12" s="681" t="s">
        <v>1123</v>
      </c>
      <c r="BI12" s="682"/>
      <c r="BJ12" s="682"/>
      <c r="BK12" s="682"/>
      <c r="BL12" s="682"/>
      <c r="BM12" s="682"/>
      <c r="BN12" s="129"/>
      <c r="BO12" s="129"/>
      <c r="BP12" s="54"/>
      <c r="BQ12" s="54"/>
      <c r="BR12" s="54"/>
      <c r="BS12" s="22" t="s">
        <v>1227</v>
      </c>
      <c r="BT12" s="25" t="str">
        <f>VLOOKUP(BT7,차량가!B2:X8776,21,0)</f>
        <v>N</v>
      </c>
      <c r="BU12" s="23" t="s">
        <v>1171</v>
      </c>
      <c r="BV12" s="23" t="str">
        <f>VLOOKUP(BT7,차량가!$B$1:$O$1413,14,FALSE)</f>
        <v>무연</v>
      </c>
      <c r="BW12" s="23">
        <f>IF(OR(BV12="무연",BV12="하이브리드",BV12="LPG",BV12="디젤"),1,"")</f>
        <v>1</v>
      </c>
      <c r="BX12" s="23">
        <v>10</v>
      </c>
      <c r="BY12" s="23" t="str">
        <f>IF(BY11="","",IF(VLOOKUP(TEXT(INT(BY11+1),"0000"),차량가!G$2:J$7549,4,0)=$BS$4,TEXT(BY11+1,"0000"),""))</f>
        <v>0130</v>
      </c>
      <c r="BZ12" s="23" t="str">
        <f>IF(ISERROR(VLOOKUP(BY12,차량가!G$2:K$6501,5,0)),"",VLOOKUP(BY12,차량가!G$2:K$6501,5,0))</f>
        <v>EQE</v>
      </c>
      <c r="CA12" s="23" t="str">
        <f>IF(BY12="","",IF(VLOOKUP(TEXT(INT(BY11+1),"0000"),차량가!G$2:J$7549,4,0)=$BS$4,TEXT(BY11+1,"0000"),""))</f>
        <v>0130</v>
      </c>
      <c r="CB12" s="23"/>
      <c r="CC12" s="23"/>
      <c r="CD12" s="23"/>
      <c r="CE12" s="23"/>
      <c r="CF12" s="23"/>
      <c r="CG12" s="23"/>
      <c r="CH12" s="23"/>
      <c r="CI12" s="44" t="str">
        <f>IF(CI11="","",IF(VLOOKUP(TEXT(INT(CI11+1),"0000"),차량가!I$2:K$7549,3,0)=$BS$5,TEXT(CI11+1,"0000"),""))</f>
        <v/>
      </c>
      <c r="CJ12" s="43" t="str">
        <f t="shared" si="0"/>
        <v>025</v>
      </c>
      <c r="CK12" s="43" t="str">
        <f>IF(CI12="","",(VLOOKUP(CI12,차량가!$I$2:$K$7549,3,0)))</f>
        <v/>
      </c>
      <c r="CL12" s="43" t="str">
        <f>IF(CI12="","",VLOOKUP(CI12,차량가!$I$2:$L$7549,4,0))</f>
        <v/>
      </c>
      <c r="CM12" s="23" t="str">
        <f t="shared" si="1"/>
        <v/>
      </c>
      <c r="CN12" s="325" t="e">
        <f>VLOOKUP(CI12,차량가!I$2:M$7549,5,0)</f>
        <v>#N/A</v>
      </c>
      <c r="CO12" s="54"/>
      <c r="CP12" s="54"/>
      <c r="CQ12" s="54"/>
      <c r="CR12" s="54"/>
      <c r="CS12" s="54"/>
      <c r="CT12" s="72"/>
      <c r="CU12" s="72"/>
    </row>
    <row r="13" spans="1:99" ht="20.25" customHeight="1">
      <c r="A13" s="73"/>
      <c r="C13" s="727"/>
      <c r="D13" s="728"/>
      <c r="E13" s="787" t="s">
        <v>20</v>
      </c>
      <c r="F13" s="788"/>
      <c r="G13" s="788"/>
      <c r="H13" s="788"/>
      <c r="I13" s="788"/>
      <c r="J13" s="789"/>
      <c r="K13" s="804" t="str">
        <f>IF(BK10=1,"포함","미포함")</f>
        <v>미포함</v>
      </c>
      <c r="L13" s="805"/>
      <c r="M13" s="806"/>
      <c r="N13" s="784">
        <f>IF(AND(BT10=1,BK10=1),"탁송대행",BA17)</f>
        <v>0</v>
      </c>
      <c r="O13" s="785"/>
      <c r="P13" s="785"/>
      <c r="Q13" s="785"/>
      <c r="R13" s="785"/>
      <c r="S13" s="785"/>
      <c r="T13" s="785"/>
      <c r="U13" s="785"/>
      <c r="V13" s="785"/>
      <c r="W13" s="785"/>
      <c r="X13" s="785"/>
      <c r="Y13" s="810"/>
      <c r="Z13" s="675" t="s">
        <v>21</v>
      </c>
      <c r="AA13" s="676"/>
      <c r="AB13" s="676"/>
      <c r="AC13" s="676"/>
      <c r="AD13" s="676"/>
      <c r="AE13" s="676"/>
      <c r="AF13" s="677"/>
      <c r="AG13" s="721" t="str">
        <f>BP11</f>
        <v>2만km</v>
      </c>
      <c r="AH13" s="722"/>
      <c r="AI13" s="722"/>
      <c r="AJ13" s="722"/>
      <c r="AK13" s="722"/>
      <c r="AL13" s="722"/>
      <c r="AM13" s="722"/>
      <c r="AN13" s="722"/>
      <c r="AO13" s="722"/>
      <c r="AP13" s="722"/>
      <c r="AQ13" s="722"/>
      <c r="AR13" s="722"/>
      <c r="AS13" s="722"/>
      <c r="AT13" s="722"/>
      <c r="AU13" s="722"/>
      <c r="AV13" s="712"/>
      <c r="AW13" s="73"/>
      <c r="AX13" s="91" t="s">
        <v>2128</v>
      </c>
      <c r="AY13" s="692" t="s">
        <v>3048</v>
      </c>
      <c r="AZ13" s="692"/>
      <c r="BA13" s="692"/>
      <c r="BB13" s="692"/>
      <c r="BC13" s="553">
        <v>0</v>
      </c>
      <c r="BD13" s="563"/>
      <c r="BE13" s="617">
        <v>1</v>
      </c>
      <c r="BH13" s="131">
        <f>BS7</f>
        <v>1991</v>
      </c>
      <c r="BI13" s="132">
        <v>800</v>
      </c>
      <c r="BJ13" s="132" t="s">
        <v>1124</v>
      </c>
      <c r="BK13" s="132" t="s">
        <v>1125</v>
      </c>
      <c r="BL13" s="132" t="s">
        <v>1126</v>
      </c>
      <c r="BM13" s="132"/>
      <c r="BN13" s="129"/>
      <c r="BO13" s="129"/>
      <c r="BP13" s="54"/>
      <c r="BQ13" s="54"/>
      <c r="BR13" s="54"/>
      <c r="BS13" s="43" t="s">
        <v>1166</v>
      </c>
      <c r="BT13" s="25" t="str">
        <f>VLOOKUP(BT7,차량가!B2:X8776,15,0)</f>
        <v>승용차</v>
      </c>
      <c r="BU13" s="23"/>
      <c r="BV13" s="23"/>
      <c r="BW13" s="23"/>
      <c r="BX13" s="23">
        <v>11</v>
      </c>
      <c r="BY13" s="23" t="str">
        <f>IF(BY12="","",IF(VLOOKUP(TEXT(INT(BY12+1),"0000"),차량가!G$2:J$7549,4,0)=$BS$4,TEXT(BY12+1,"0000"),""))</f>
        <v>0131</v>
      </c>
      <c r="BZ13" s="23" t="str">
        <f>IF(ISERROR(VLOOKUP(BY13,차량가!G$2:K$6501,5,0)),"",VLOOKUP(BY13,차량가!G$2:K$6501,5,0))</f>
        <v>EQE SUV</v>
      </c>
      <c r="CA13" s="23" t="str">
        <f>IF(BY13="","",IF(VLOOKUP(TEXT(INT(BY12+1),"0000"),차량가!G$2:J$7549,4,0)=$BS$4,TEXT(BY12+1,"0000"),""))</f>
        <v>0131</v>
      </c>
      <c r="CB13" s="23"/>
      <c r="CC13" s="23"/>
      <c r="CD13" s="23"/>
      <c r="CE13" s="23"/>
      <c r="CF13" s="23"/>
      <c r="CG13" s="23"/>
      <c r="CH13" s="23"/>
      <c r="CI13" s="44" t="str">
        <f>IF(CI12="","",IF(VLOOKUP(TEXT(INT(CI12+1),"0000"),차량가!I$2:K$7549,3,0)=$BS$5,TEXT(CI12+1,"0000"),""))</f>
        <v/>
      </c>
      <c r="CJ13" s="43" t="str">
        <f t="shared" si="0"/>
        <v>025</v>
      </c>
      <c r="CK13" s="43" t="str">
        <f>IF(CI13="","",(VLOOKUP(CI13,차량가!$I$2:$K$7549,3,0)))</f>
        <v/>
      </c>
      <c r="CL13" s="43" t="str">
        <f>IF(CI13="","",VLOOKUP(CI13,차량가!$I$2:$L$7549,4,0))</f>
        <v/>
      </c>
      <c r="CM13" s="23" t="str">
        <f t="shared" si="1"/>
        <v/>
      </c>
      <c r="CN13" s="325" t="e">
        <f>VLOOKUP(CI13,차량가!I$2:M$7549,5,0)</f>
        <v>#N/A</v>
      </c>
      <c r="CO13" s="54"/>
      <c r="CP13" s="54"/>
      <c r="CQ13" s="54"/>
      <c r="CR13" s="54"/>
      <c r="CS13" s="54"/>
      <c r="CT13" s="72"/>
      <c r="CU13" s="72"/>
    </row>
    <row r="14" spans="1:99" ht="25.5" customHeight="1">
      <c r="A14" s="73"/>
      <c r="C14" s="727"/>
      <c r="D14" s="728"/>
      <c r="E14" s="790"/>
      <c r="F14" s="791"/>
      <c r="G14" s="791"/>
      <c r="H14" s="791"/>
      <c r="I14" s="791"/>
      <c r="J14" s="792"/>
      <c r="K14" s="807"/>
      <c r="L14" s="808"/>
      <c r="M14" s="809"/>
      <c r="N14" s="811"/>
      <c r="O14" s="812"/>
      <c r="P14" s="812"/>
      <c r="Q14" s="812"/>
      <c r="R14" s="812"/>
      <c r="S14" s="812"/>
      <c r="T14" s="812"/>
      <c r="U14" s="812"/>
      <c r="V14" s="812"/>
      <c r="W14" s="812"/>
      <c r="X14" s="812"/>
      <c r="Y14" s="813"/>
      <c r="Z14" s="678"/>
      <c r="AA14" s="679"/>
      <c r="AB14" s="679"/>
      <c r="AC14" s="679"/>
      <c r="AD14" s="679"/>
      <c r="AE14" s="679"/>
      <c r="AF14" s="680"/>
      <c r="AG14" s="723"/>
      <c r="AH14" s="724"/>
      <c r="AI14" s="724"/>
      <c r="AJ14" s="724"/>
      <c r="AK14" s="724"/>
      <c r="AL14" s="724"/>
      <c r="AM14" s="724"/>
      <c r="AN14" s="724"/>
      <c r="AO14" s="724"/>
      <c r="AP14" s="724"/>
      <c r="AQ14" s="724"/>
      <c r="AR14" s="724"/>
      <c r="AS14" s="724"/>
      <c r="AT14" s="724"/>
      <c r="AU14" s="724"/>
      <c r="AV14" s="712"/>
      <c r="AW14" s="73"/>
      <c r="AX14" s="91" t="s">
        <v>1934</v>
      </c>
      <c r="AY14" s="694" t="s">
        <v>2100</v>
      </c>
      <c r="AZ14" s="694"/>
      <c r="BA14" s="694"/>
      <c r="BB14" s="694"/>
      <c r="BD14" s="564"/>
      <c r="BE14" s="94"/>
      <c r="BF14" s="126">
        <v>48</v>
      </c>
      <c r="BG14" s="126">
        <v>60</v>
      </c>
      <c r="BH14" s="131">
        <f>IF(BH13&lt;=1000,80,IF(BH13&lt;=1600,140,200))</f>
        <v>200</v>
      </c>
      <c r="BI14" s="132">
        <v>80</v>
      </c>
      <c r="BJ14" s="132">
        <v>80</v>
      </c>
      <c r="BK14" s="132">
        <v>140</v>
      </c>
      <c r="BL14" s="132">
        <v>200</v>
      </c>
      <c r="BM14" s="132"/>
      <c r="BN14" s="133">
        <f>ROUND(K10/1.1*BJ15*BB15,-1)</f>
        <v>0</v>
      </c>
      <c r="BO14" s="134"/>
      <c r="BP14" s="54"/>
      <c r="BQ14" s="54"/>
      <c r="BR14" s="54"/>
      <c r="BS14" s="46" t="s">
        <v>1232</v>
      </c>
      <c r="BT14" s="25">
        <f>VLOOKUP(BT7,차량가!B2:X8776,17,0)</f>
        <v>5</v>
      </c>
      <c r="BU14" s="23"/>
      <c r="BV14" s="219">
        <f>BT7</f>
        <v>4749</v>
      </c>
      <c r="BW14" s="23"/>
      <c r="BX14" s="23">
        <v>12</v>
      </c>
      <c r="BY14" s="23" t="str">
        <f>IF(BY13="","",IF(VLOOKUP(TEXT(INT(BY13+1),"0000"),차량가!G$2:J$7549,4,0)=$BS$4,TEXT(BY13+1,"0000"),""))</f>
        <v>0132</v>
      </c>
      <c r="BZ14" s="23" t="str">
        <f>IF(ISERROR(VLOOKUP(BY14,차량가!G$2:K$6501,5,0)),"",VLOOKUP(BY14,차량가!G$2:K$6501,5,0))</f>
        <v>EQS SUV</v>
      </c>
      <c r="CA14" s="23" t="str">
        <f>IF(BY14="","",IF(VLOOKUP(TEXT(INT(BY13+1),"0000"),차량가!G$2:J$7549,4,0)=$BS$4,TEXT(BY13+1,"0000"),""))</f>
        <v>0132</v>
      </c>
      <c r="CB14" s="23"/>
      <c r="CC14" s="23"/>
      <c r="CD14" s="23"/>
      <c r="CE14" s="23"/>
      <c r="CF14" s="23"/>
      <c r="CG14" s="23"/>
      <c r="CH14" s="23"/>
      <c r="CI14" s="44" t="str">
        <f>IF(CI13="","",IF(VLOOKUP(TEXT(INT(CI13+1),"0000"),차량가!I$2:K$7549,3,0)=$BS$5,TEXT(CI13+1,"0000"),""))</f>
        <v/>
      </c>
      <c r="CJ14" s="43" t="str">
        <f t="shared" si="0"/>
        <v>025</v>
      </c>
      <c r="CK14" s="43" t="str">
        <f>IF(CI14="","",(VLOOKUP(CI14,차량가!$I$2:$K$7549,3,0)))</f>
        <v/>
      </c>
      <c r="CL14" s="43" t="str">
        <f>IF(CI14="","",VLOOKUP(CI14,차량가!$I$2:$L$7549,4,0))</f>
        <v/>
      </c>
      <c r="CM14" s="23" t="str">
        <f t="shared" si="1"/>
        <v/>
      </c>
      <c r="CN14" s="325" t="e">
        <f>VLOOKUP(CI14,차량가!I$2:M$7549,5,0)</f>
        <v>#N/A</v>
      </c>
      <c r="CO14" s="54"/>
      <c r="CP14" s="54"/>
      <c r="CQ14" s="54"/>
      <c r="CR14" s="54"/>
      <c r="CS14" s="54"/>
      <c r="CT14" s="72"/>
      <c r="CU14" s="72"/>
    </row>
    <row r="15" spans="1:99" ht="33" customHeight="1">
      <c r="A15" s="73"/>
      <c r="C15" s="729"/>
      <c r="D15" s="730"/>
      <c r="E15" s="783" t="s">
        <v>23</v>
      </c>
      <c r="F15" s="783"/>
      <c r="G15" s="783"/>
      <c r="H15" s="783"/>
      <c r="I15" s="783"/>
      <c r="J15" s="783"/>
      <c r="K15" s="818" t="str">
        <f>IF(AX55=1,"포함","미포함")</f>
        <v>미포함</v>
      </c>
      <c r="L15" s="818"/>
      <c r="M15" s="818"/>
      <c r="N15" s="784">
        <f>BA18</f>
        <v>0</v>
      </c>
      <c r="O15" s="785"/>
      <c r="P15" s="785"/>
      <c r="Q15" s="785"/>
      <c r="R15" s="785"/>
      <c r="S15" s="785"/>
      <c r="T15" s="785"/>
      <c r="U15" s="785"/>
      <c r="V15" s="785"/>
      <c r="W15" s="785"/>
      <c r="X15" s="785"/>
      <c r="Y15" s="785"/>
      <c r="Z15" s="814" t="s">
        <v>38</v>
      </c>
      <c r="AA15" s="815"/>
      <c r="AB15" s="815"/>
      <c r="AC15" s="815"/>
      <c r="AD15" s="815"/>
      <c r="AE15" s="815"/>
      <c r="AF15" s="815"/>
      <c r="AG15" s="816" t="str">
        <f>IF(BM10=1,"차량가기준","취득원가기준")</f>
        <v>차량가기준</v>
      </c>
      <c r="AH15" s="816"/>
      <c r="AI15" s="816"/>
      <c r="AJ15" s="816"/>
      <c r="AK15" s="816"/>
      <c r="AL15" s="816"/>
      <c r="AM15" s="816"/>
      <c r="AN15" s="816"/>
      <c r="AO15" s="816"/>
      <c r="AP15" s="816"/>
      <c r="AQ15" s="816"/>
      <c r="AR15" s="816"/>
      <c r="AS15" s="816"/>
      <c r="AT15" s="816"/>
      <c r="AU15" s="817"/>
      <c r="AV15" s="712"/>
      <c r="AW15" s="73"/>
      <c r="AX15" s="717" t="s">
        <v>66</v>
      </c>
      <c r="AY15" s="641"/>
      <c r="AZ15" s="641"/>
      <c r="BA15" s="641"/>
      <c r="BB15" s="92">
        <v>0</v>
      </c>
      <c r="BC15" s="848" t="s">
        <v>3264</v>
      </c>
      <c r="BD15" s="564"/>
      <c r="BE15" s="94"/>
      <c r="BH15" s="135"/>
      <c r="BI15" s="135" t="s">
        <v>1111</v>
      </c>
      <c r="BJ15" s="136">
        <f>IF(OR(AND(BV12="하이브리드",BH25=3),AND(BV12="전기차",BH25=3),AND(BV12="하이브리드",BH25=1)),0,VLOOKUP(BH25,$BI$17:$BN$24,BH16,))</f>
        <v>0.04</v>
      </c>
      <c r="BK15" s="135"/>
      <c r="BL15" s="135"/>
      <c r="BM15" s="135"/>
      <c r="BN15" s="135"/>
      <c r="BO15" s="129"/>
      <c r="BP15" s="54"/>
      <c r="BQ15" s="54"/>
      <c r="BR15" s="54"/>
      <c r="BS15" s="43" t="s">
        <v>1166</v>
      </c>
      <c r="BT15" s="230" t="str">
        <f>VLOOKUP($BT$7,차량가!$X$2:$AB$2099,5,FALSE)</f>
        <v>승용차</v>
      </c>
      <c r="BU15" s="23"/>
      <c r="BV15" s="23"/>
      <c r="BW15" s="23"/>
      <c r="BX15" s="23">
        <v>13</v>
      </c>
      <c r="BY15" s="23" t="str">
        <f>IF(BY14="","",IF(VLOOKUP(TEXT(INT(BY14+1),"0000"),차량가!G$2:J$7549,4,0)=$BS$4,TEXT(BY14+1,"0000"),""))</f>
        <v>0133</v>
      </c>
      <c r="BZ15" s="23" t="str">
        <f>IF(ISERROR(VLOOKUP(BY15,차량가!G$2:K$6501,5,0)),"",VLOOKUP(BY15,차량가!G$2:K$6501,5,0))</f>
        <v>EQS</v>
      </c>
      <c r="CA15" s="23" t="str">
        <f>IF(BY15="","",IF(VLOOKUP(TEXT(INT(BY14+1),"0000"),차량가!G$2:J$7549,4,0)=$BS$4,TEXT(BY14+1,"0000"),""))</f>
        <v>0133</v>
      </c>
      <c r="CB15" s="23"/>
      <c r="CC15" s="23"/>
      <c r="CD15" s="23"/>
      <c r="CE15" s="23"/>
      <c r="CF15" s="23"/>
      <c r="CG15" s="23"/>
      <c r="CH15" s="23"/>
      <c r="CI15" s="44" t="str">
        <f>IF(CI14="","",IF(VLOOKUP(TEXT(INT(CI14+1),"0000"),차량가!I$2:K$7549,3,0)=$BS$5,TEXT(CI14+1,"0000"),""))</f>
        <v/>
      </c>
      <c r="CJ15" s="43" t="str">
        <f t="shared" si="0"/>
        <v>025</v>
      </c>
      <c r="CK15" s="43" t="str">
        <f>IF(CI15="","",(VLOOKUP(CI15,차량가!$I$2:$K$7549,3,0)))</f>
        <v/>
      </c>
      <c r="CL15" s="43" t="str">
        <f>IF(CI15="","",VLOOKUP(CI15,차량가!$I$2:$L$7549,4,0))</f>
        <v/>
      </c>
      <c r="CM15" s="23" t="str">
        <f t="shared" si="1"/>
        <v/>
      </c>
      <c r="CN15" s="325" t="e">
        <f>VLOOKUP(CI15,차량가!I$2:M$7549,5,0)</f>
        <v>#N/A</v>
      </c>
      <c r="CO15" s="54"/>
      <c r="CP15" s="54"/>
      <c r="CQ15" s="54"/>
      <c r="CR15" s="54"/>
      <c r="CS15" s="54"/>
      <c r="CT15" s="72"/>
      <c r="CU15" s="72"/>
    </row>
    <row r="16" spans="1:99" ht="28.5" customHeight="1">
      <c r="A16" s="73"/>
      <c r="C16" s="781" t="s">
        <v>1419</v>
      </c>
      <c r="D16" s="781"/>
      <c r="E16" s="781"/>
      <c r="F16" s="781"/>
      <c r="G16" s="781"/>
      <c r="H16" s="781"/>
      <c r="I16" s="781"/>
      <c r="J16" s="781"/>
      <c r="K16" s="781"/>
      <c r="L16" s="781"/>
      <c r="M16" s="782"/>
      <c r="N16" s="754">
        <f>K10+IF(BI10=1,N11,0)+IF(BJ10=1,N12,0)+IF(BK10=1,IF(BT10=2,N13,253000),0)+IF(BL10=1,N15,0)</f>
        <v>43183630</v>
      </c>
      <c r="O16" s="754"/>
      <c r="P16" s="754"/>
      <c r="Q16" s="754"/>
      <c r="R16" s="754"/>
      <c r="S16" s="754"/>
      <c r="T16" s="754"/>
      <c r="U16" s="754"/>
      <c r="V16" s="754"/>
      <c r="W16" s="754"/>
      <c r="X16" s="754"/>
      <c r="Y16" s="754"/>
      <c r="Z16" s="680" t="str">
        <f>IF(BR10=1,"선수금","선납리스료")</f>
        <v>선납리스료</v>
      </c>
      <c r="AA16" s="755"/>
      <c r="AB16" s="755"/>
      <c r="AC16" s="755"/>
      <c r="AD16" s="755"/>
      <c r="AE16" s="755"/>
      <c r="AF16" s="755"/>
      <c r="AG16" s="713">
        <f>IF($BM$10=1,AK16/$K$10,AK16/$N$16)</f>
        <v>0</v>
      </c>
      <c r="AH16" s="714"/>
      <c r="AI16" s="714"/>
      <c r="AJ16" s="715"/>
      <c r="AK16" s="716">
        <f>AY25</f>
        <v>0</v>
      </c>
      <c r="AL16" s="716"/>
      <c r="AM16" s="716"/>
      <c r="AN16" s="716"/>
      <c r="AO16" s="716"/>
      <c r="AP16" s="716"/>
      <c r="AQ16" s="716"/>
      <c r="AR16" s="716"/>
      <c r="AS16" s="716"/>
      <c r="AT16" s="716"/>
      <c r="AU16" s="716"/>
      <c r="AV16" s="712"/>
      <c r="AW16" s="73"/>
      <c r="AX16" s="717"/>
      <c r="AY16" s="693">
        <v>0</v>
      </c>
      <c r="AZ16" s="693"/>
      <c r="BA16" s="693"/>
      <c r="BB16" s="693"/>
      <c r="BC16" s="849"/>
      <c r="BD16" s="564"/>
      <c r="BE16" s="94"/>
      <c r="BH16" s="3">
        <f>IF(BH13&lt;1000,6,IF(BH13&lt;1500,5,IF(BH13&lt;1600,4,IF(BH13&lt;2000,3,2))))</f>
        <v>3</v>
      </c>
      <c r="BI16" s="3"/>
      <c r="BJ16" s="3" t="s">
        <v>1112</v>
      </c>
      <c r="BK16" s="3" t="s">
        <v>1113</v>
      </c>
      <c r="BL16" s="3" t="s">
        <v>1114</v>
      </c>
      <c r="BM16" s="3" t="s">
        <v>1115</v>
      </c>
      <c r="BN16" s="3" t="s">
        <v>1116</v>
      </c>
      <c r="BO16" s="57"/>
      <c r="BP16" s="54"/>
      <c r="BQ16" s="54"/>
      <c r="BR16" s="54"/>
      <c r="BS16" s="43" t="s">
        <v>1167</v>
      </c>
      <c r="BT16" s="230">
        <f>IF(BT15="승용RV",1,2)</f>
        <v>2</v>
      </c>
      <c r="BU16" s="23"/>
      <c r="BV16" s="48"/>
      <c r="BW16" s="23"/>
      <c r="BX16" s="23">
        <v>14</v>
      </c>
      <c r="BY16" s="23" t="str">
        <f>IF(BY15="","",IF(VLOOKUP(TEXT(INT(BY15+1),"0000"),차량가!G$2:J$7549,4,0)=$BS$4,TEXT(BY15+1,"0000"),""))</f>
        <v>0134</v>
      </c>
      <c r="BZ16" s="23" t="str">
        <f>IF(ISERROR(VLOOKUP(BY16,차량가!G$2:K$6501,5,0)),"",VLOOKUP(BY16,차량가!G$2:K$6501,5,0))</f>
        <v>G-Class</v>
      </c>
      <c r="CA16" s="23" t="str">
        <f>IF(BY16="","",IF(VLOOKUP(TEXT(INT(BY15+1),"0000"),차량가!G$2:J$7549,4,0)=$BS$4,TEXT(BY15+1,"0000"),""))</f>
        <v>0134</v>
      </c>
      <c r="CB16" s="23"/>
      <c r="CC16" s="23"/>
      <c r="CD16" s="23"/>
      <c r="CE16" s="23"/>
      <c r="CF16" s="23"/>
      <c r="CG16" s="23"/>
      <c r="CH16" s="23"/>
      <c r="CI16" s="44" t="str">
        <f>IF(CI15="","",IF(VLOOKUP(TEXT(INT(CI15+1),"0000"),차량가!I$2:K$7549,3,0)=$BS$5,TEXT(CI15+1,"0000"),""))</f>
        <v/>
      </c>
      <c r="CJ16" s="43" t="str">
        <f t="shared" si="0"/>
        <v>025</v>
      </c>
      <c r="CK16" s="43" t="str">
        <f>IF(CI16="","",(VLOOKUP(CI16,차량가!$I$2:$K$7549,3,0)))</f>
        <v/>
      </c>
      <c r="CL16" s="43" t="str">
        <f>IF(CI16="","",VLOOKUP(CI16,차량가!$I$2:$L$7549,4,0))</f>
        <v/>
      </c>
      <c r="CM16" s="23" t="str">
        <f t="shared" si="1"/>
        <v/>
      </c>
      <c r="CN16" s="325" t="e">
        <f>VLOOKUP(CI16,차량가!I$2:M$7549,5,0)</f>
        <v>#N/A</v>
      </c>
      <c r="CO16" s="54"/>
      <c r="CP16" s="54"/>
      <c r="CQ16" s="54"/>
      <c r="CR16" s="54"/>
      <c r="CS16" s="54"/>
      <c r="CT16" s="72"/>
      <c r="CU16" s="72"/>
    </row>
    <row r="17" spans="1:99" ht="29.25" customHeight="1">
      <c r="A17" s="73"/>
      <c r="C17" s="631" t="s">
        <v>33</v>
      </c>
      <c r="D17" s="632"/>
      <c r="E17" s="635" t="s">
        <v>34</v>
      </c>
      <c r="F17" s="635"/>
      <c r="G17" s="635"/>
      <c r="H17" s="635"/>
      <c r="I17" s="635"/>
      <c r="J17" s="635"/>
      <c r="K17" s="635"/>
      <c r="L17" s="635"/>
      <c r="M17" s="635"/>
      <c r="N17" s="756" t="s">
        <v>35</v>
      </c>
      <c r="O17" s="757"/>
      <c r="P17" s="757"/>
      <c r="Q17" s="757"/>
      <c r="R17" s="757"/>
      <c r="S17" s="757"/>
      <c r="T17" s="757"/>
      <c r="U17" s="757"/>
      <c r="V17" s="757"/>
      <c r="W17" s="757"/>
      <c r="X17" s="757"/>
      <c r="Y17" s="757"/>
      <c r="Z17" s="667" t="s">
        <v>22</v>
      </c>
      <c r="AA17" s="668"/>
      <c r="AB17" s="668"/>
      <c r="AC17" s="668"/>
      <c r="AD17" s="668"/>
      <c r="AE17" s="668"/>
      <c r="AF17" s="668"/>
      <c r="AG17" s="763">
        <f>IF($BM$10=1,AK17/$K$10,AK17/$N$16)</f>
        <v>0</v>
      </c>
      <c r="AH17" s="763"/>
      <c r="AI17" s="763"/>
      <c r="AJ17" s="763"/>
      <c r="AK17" s="686">
        <f>AY27</f>
        <v>0</v>
      </c>
      <c r="AL17" s="686"/>
      <c r="AM17" s="686"/>
      <c r="AN17" s="686"/>
      <c r="AO17" s="686"/>
      <c r="AP17" s="686"/>
      <c r="AQ17" s="686"/>
      <c r="AR17" s="686"/>
      <c r="AS17" s="686"/>
      <c r="AT17" s="686"/>
      <c r="AU17" s="687"/>
      <c r="AV17" s="712"/>
      <c r="AW17" s="73"/>
      <c r="AX17" s="93" t="s">
        <v>67</v>
      </c>
      <c r="AY17" s="846"/>
      <c r="AZ17" s="846"/>
      <c r="BA17" s="753">
        <v>0</v>
      </c>
      <c r="BB17" s="753"/>
      <c r="BC17" s="94" t="s">
        <v>1951</v>
      </c>
      <c r="BD17" s="564"/>
      <c r="BE17" s="94"/>
      <c r="BH17" s="135" t="s">
        <v>40</v>
      </c>
      <c r="BI17" s="135">
        <v>1</v>
      </c>
      <c r="BJ17" s="137">
        <v>0.05</v>
      </c>
      <c r="BK17" s="137">
        <v>0.04</v>
      </c>
      <c r="BL17" s="137">
        <v>0.04</v>
      </c>
      <c r="BM17" s="137">
        <v>0</v>
      </c>
      <c r="BN17" s="137">
        <v>0</v>
      </c>
      <c r="BO17" s="138"/>
      <c r="BP17" s="54"/>
      <c r="BQ17" s="54"/>
      <c r="BR17" s="54"/>
      <c r="BS17" s="43" t="s">
        <v>1168</v>
      </c>
      <c r="BT17" s="230">
        <f>IF(BS7&lt;2000,1,2)</f>
        <v>1</v>
      </c>
      <c r="BU17" s="23"/>
      <c r="BV17" s="23"/>
      <c r="BW17" s="23"/>
      <c r="BX17" s="23">
        <v>15</v>
      </c>
      <c r="BY17" s="23" t="str">
        <f>IF(BY16="","",IF(VLOOKUP(TEXT(INT(BY16+1),"0000"),차량가!G$2:J$7549,4,0)=$BS$4,TEXT(BY16+1,"0000"),""))</f>
        <v>0135</v>
      </c>
      <c r="BZ17" s="23" t="str">
        <f>IF(ISERROR(VLOOKUP(BY17,차량가!G$2:K$6501,5,0)),"",VLOOKUP(BY17,차량가!G$2:K$6501,5,0))</f>
        <v>GLA-Class</v>
      </c>
      <c r="CA17" s="23" t="str">
        <f>IF(BY17="","",IF(VLOOKUP(TEXT(INT(BY16+1),"0000"),차량가!G$2:J$7549,4,0)=$BS$4,TEXT(BY16+1,"0000"),""))</f>
        <v>0135</v>
      </c>
      <c r="CB17" s="23"/>
      <c r="CC17" s="23"/>
      <c r="CD17" s="23"/>
      <c r="CE17" s="23"/>
      <c r="CF17" s="23"/>
      <c r="CG17" s="23"/>
      <c r="CH17" s="23"/>
      <c r="CI17" s="44" t="str">
        <f>IF(CI16="","",IF(VLOOKUP(TEXT(INT(CI16+1),"0000"),차량가!I$2:K$7549,3,0)=$BS$5,TEXT(CI16+1,"0000"),""))</f>
        <v/>
      </c>
      <c r="CJ17" s="43" t="str">
        <f t="shared" si="0"/>
        <v>025</v>
      </c>
      <c r="CK17" s="43" t="str">
        <f>IF(CI17="","",(VLOOKUP(CI17,차량가!$I$2:$K$7549,3,0)))</f>
        <v/>
      </c>
      <c r="CL17" s="43" t="str">
        <f>IF(CI17="","",VLOOKUP(CI17,차량가!$I$2:$L$7549,4,0))</f>
        <v/>
      </c>
      <c r="CM17" s="23" t="str">
        <f t="shared" si="1"/>
        <v/>
      </c>
      <c r="CN17" s="325" t="e">
        <f>VLOOKUP(CI17,차량가!I$2:M$7549,5,0)</f>
        <v>#N/A</v>
      </c>
      <c r="CO17" s="54"/>
      <c r="CP17" s="54"/>
      <c r="CQ17" s="54"/>
      <c r="CR17" s="54"/>
      <c r="CS17" s="54"/>
      <c r="CT17" s="72"/>
      <c r="CU17" s="72"/>
    </row>
    <row r="18" spans="1:99" ht="23.25" customHeight="1">
      <c r="A18" s="73"/>
      <c r="C18" s="633"/>
      <c r="D18" s="634"/>
      <c r="E18" s="636" t="s">
        <v>36</v>
      </c>
      <c r="F18" s="636"/>
      <c r="G18" s="636"/>
      <c r="H18" s="636"/>
      <c r="I18" s="636"/>
      <c r="J18" s="636"/>
      <c r="K18" s="636"/>
      <c r="L18" s="636"/>
      <c r="M18" s="636"/>
      <c r="N18" s="639" t="str">
        <f>IF(BH10=1,"인수 / 반납 / 재리스 선택","인수 / 재리스 선택")</f>
        <v>인수 / 반납 / 재리스 선택</v>
      </c>
      <c r="O18" s="640"/>
      <c r="P18" s="640"/>
      <c r="Q18" s="640"/>
      <c r="R18" s="640"/>
      <c r="S18" s="640"/>
      <c r="T18" s="640"/>
      <c r="U18" s="640"/>
      <c r="V18" s="640"/>
      <c r="W18" s="640"/>
      <c r="X18" s="640"/>
      <c r="Y18" s="640"/>
      <c r="Z18" s="667" t="s">
        <v>24</v>
      </c>
      <c r="AA18" s="668"/>
      <c r="AB18" s="668"/>
      <c r="AC18" s="668"/>
      <c r="AD18" s="668"/>
      <c r="AE18" s="668"/>
      <c r="AF18" s="668"/>
      <c r="AG18" s="763">
        <f>IF($BM$10=1,AK18/$K$10,AK18/$N$16)</f>
        <v>0.54</v>
      </c>
      <c r="AH18" s="763"/>
      <c r="AI18" s="763"/>
      <c r="AJ18" s="763"/>
      <c r="AK18" s="686">
        <f>AY29</f>
        <v>21924000</v>
      </c>
      <c r="AL18" s="686"/>
      <c r="AM18" s="686"/>
      <c r="AN18" s="686"/>
      <c r="AO18" s="686"/>
      <c r="AP18" s="686"/>
      <c r="AQ18" s="686"/>
      <c r="AR18" s="686"/>
      <c r="AS18" s="686"/>
      <c r="AT18" s="686"/>
      <c r="AU18" s="687"/>
      <c r="AV18" s="712"/>
      <c r="AW18" s="73"/>
      <c r="AX18" s="199" t="s">
        <v>1132</v>
      </c>
      <c r="AY18" s="718" t="s">
        <v>2099</v>
      </c>
      <c r="AZ18" s="718"/>
      <c r="BA18" s="719">
        <v>0</v>
      </c>
      <c r="BB18" s="683"/>
      <c r="BC18" s="94"/>
      <c r="BD18" s="564"/>
      <c r="BE18" s="94"/>
      <c r="BH18" s="135" t="s">
        <v>1147</v>
      </c>
      <c r="BI18" s="135">
        <v>2</v>
      </c>
      <c r="BJ18" s="137">
        <v>0.05</v>
      </c>
      <c r="BK18" s="137">
        <v>0.04</v>
      </c>
      <c r="BL18" s="137">
        <v>0.04</v>
      </c>
      <c r="BM18" s="137">
        <v>0</v>
      </c>
      <c r="BN18" s="137">
        <v>0</v>
      </c>
      <c r="BO18" s="138"/>
      <c r="BP18" s="54"/>
      <c r="BQ18" s="54"/>
      <c r="BR18" s="54"/>
      <c r="BS18" s="54"/>
      <c r="BT18" s="54"/>
      <c r="BU18" s="54"/>
      <c r="BV18" s="23"/>
      <c r="BW18" s="23"/>
      <c r="BX18" s="23">
        <v>16</v>
      </c>
      <c r="BY18" s="23" t="str">
        <f>IF(BY17="","",IF(VLOOKUP(TEXT(INT(BY17+1),"0000"),차량가!G$2:J$7549,4,0)=$BS$4,TEXT(BY17+1,"0000"),""))</f>
        <v>0136</v>
      </c>
      <c r="BZ18" s="23" t="str">
        <f>IF(ISERROR(VLOOKUP(BY18,차량가!G$2:K$6501,5,0)),"",VLOOKUP(BY18,차량가!G$2:K$6501,5,0))</f>
        <v>GLB-Class</v>
      </c>
      <c r="CA18" s="23" t="str">
        <f>IF(BY18="","",IF(VLOOKUP(TEXT(INT(BY17+1),"0000"),차량가!G$2:J$7549,4,0)=$BS$4,TEXT(BY17+1,"0000"),""))</f>
        <v>0136</v>
      </c>
      <c r="CB18" s="23"/>
      <c r="CC18" s="23"/>
      <c r="CD18" s="23"/>
      <c r="CE18" s="23"/>
      <c r="CF18" s="23"/>
      <c r="CG18" s="23"/>
      <c r="CH18" s="23"/>
      <c r="CI18" s="44" t="str">
        <f>IF(CI17="","",IF(VLOOKUP(TEXT(INT(CI17+1),"0000"),차량가!I$2:K$7549,3,0)=$BS$5,TEXT(CI17+1,"0000"),""))</f>
        <v/>
      </c>
      <c r="CJ18" s="43" t="str">
        <f t="shared" si="0"/>
        <v>025</v>
      </c>
      <c r="CK18" s="43" t="str">
        <f>IF(CI18="","",(VLOOKUP(CI18,차량가!$I$2:$K$7549,3,0)))</f>
        <v/>
      </c>
      <c r="CL18" s="43" t="str">
        <f>IF(CI18="","",VLOOKUP(CI18,차량가!$I$2:$L$7549,4,0))</f>
        <v/>
      </c>
      <c r="CM18" s="23" t="str">
        <f t="shared" si="1"/>
        <v/>
      </c>
      <c r="CN18" s="325" t="e">
        <f>VLOOKUP(CI18,차량가!I$2:M$7549,5,0)</f>
        <v>#N/A</v>
      </c>
      <c r="CO18" s="54"/>
      <c r="CP18" s="54"/>
      <c r="CQ18" s="54"/>
      <c r="CR18" s="54"/>
      <c r="CS18" s="54"/>
      <c r="CT18" s="72"/>
      <c r="CU18" s="72"/>
    </row>
    <row r="19" spans="1:99" ht="23.25" customHeight="1">
      <c r="A19" s="73"/>
      <c r="C19" s="633"/>
      <c r="D19" s="634"/>
      <c r="E19" s="636" t="s">
        <v>39</v>
      </c>
      <c r="F19" s="636"/>
      <c r="G19" s="636"/>
      <c r="H19" s="636"/>
      <c r="I19" s="636"/>
      <c r="J19" s="636"/>
      <c r="K19" s="636"/>
      <c r="L19" s="636"/>
      <c r="M19" s="636"/>
      <c r="N19" s="639" t="str">
        <f>IF(BH25=1,"인천","대구")</f>
        <v>대구</v>
      </c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67" t="s">
        <v>37</v>
      </c>
      <c r="AA19" s="668"/>
      <c r="AB19" s="668"/>
      <c r="AC19" s="668"/>
      <c r="AD19" s="668"/>
      <c r="AE19" s="668"/>
      <c r="AF19" s="668"/>
      <c r="AG19" s="771">
        <f ca="1">IF(OR(Z22="취급불가",Z22="사용불가",BC29="불가"),"취급불가",BB115)</f>
        <v>513912</v>
      </c>
      <c r="AH19" s="772"/>
      <c r="AI19" s="772"/>
      <c r="AJ19" s="772"/>
      <c r="AK19" s="772"/>
      <c r="AL19" s="772"/>
      <c r="AM19" s="772"/>
      <c r="AN19" s="772"/>
      <c r="AO19" s="772"/>
      <c r="AP19" s="772"/>
      <c r="AQ19" s="772"/>
      <c r="AR19" s="772"/>
      <c r="AS19" s="772"/>
      <c r="AT19" s="772"/>
      <c r="AU19" s="772"/>
      <c r="AV19" s="712"/>
      <c r="AW19" s="73"/>
      <c r="AX19" s="91" t="s">
        <v>68</v>
      </c>
      <c r="AY19" s="641"/>
      <c r="AZ19" s="641"/>
      <c r="BA19" s="720">
        <f>IF(AG20="미포함",0,IF(BT25=TRUE,28500/12,IF(BT26=TRUE,65000/12,TRUNC(IF(BN10=1,AP6*BH14+AP6*BH14*0.3,0),0)/12)))</f>
        <v>0</v>
      </c>
      <c r="BB19" s="720"/>
      <c r="BC19" s="94" t="s">
        <v>3097</v>
      </c>
      <c r="BD19" s="564"/>
      <c r="BE19" s="94"/>
      <c r="BH19" s="135" t="s">
        <v>3263</v>
      </c>
      <c r="BI19" s="135">
        <v>3</v>
      </c>
      <c r="BJ19" s="137">
        <v>0.05</v>
      </c>
      <c r="BK19" s="137">
        <v>0.04</v>
      </c>
      <c r="BL19" s="137">
        <v>0.04</v>
      </c>
      <c r="BM19" s="137">
        <v>0</v>
      </c>
      <c r="BN19" s="137">
        <v>0</v>
      </c>
      <c r="BO19" s="138"/>
      <c r="BP19" s="54"/>
      <c r="BQ19" s="54"/>
      <c r="BR19" s="54"/>
      <c r="BS19" s="23"/>
      <c r="BT19" s="27"/>
      <c r="BU19" s="23"/>
      <c r="BV19" s="23"/>
      <c r="BW19" s="23"/>
      <c r="BX19" s="23">
        <v>17</v>
      </c>
      <c r="BY19" s="23" t="str">
        <f>IF(BY18="","",IF(VLOOKUP(TEXT(INT(BY18+1),"0000"),차량가!G$2:J$7549,4,0)=$BS$4,TEXT(BY18+1,"0000"),""))</f>
        <v>0137</v>
      </c>
      <c r="BZ19" s="23" t="str">
        <f>IF(ISERROR(VLOOKUP(BY19,차량가!G$2:K$6501,5,0)),"",VLOOKUP(BY19,차량가!G$2:K$6501,5,0))</f>
        <v>GLC-Class</v>
      </c>
      <c r="CA19" s="23" t="str">
        <f>IF(BY19="","",IF(VLOOKUP(TEXT(INT(BY18+1),"0000"),차량가!G$2:J$7549,4,0)=$BS$4,TEXT(BY18+1,"0000"),""))</f>
        <v>0137</v>
      </c>
      <c r="CB19" s="23"/>
      <c r="CC19" s="23"/>
      <c r="CD19" s="23"/>
      <c r="CE19" s="23"/>
      <c r="CF19" s="23"/>
      <c r="CG19" s="23"/>
      <c r="CH19" s="23"/>
      <c r="CI19" s="44" t="str">
        <f>IF(CI18="","",IF(VLOOKUP(TEXT(INT(CI18+1),"0000"),차량가!I$2:K$7549,3,0)=$BS$5,TEXT(CI18+1,"0000"),""))</f>
        <v/>
      </c>
      <c r="CJ19" s="43" t="str">
        <f t="shared" si="0"/>
        <v>025</v>
      </c>
      <c r="CK19" s="43" t="str">
        <f>IF(CI19="","",(VLOOKUP(CI19,차량가!$I$2:$K$7549,3,0)))</f>
        <v/>
      </c>
      <c r="CL19" s="43" t="str">
        <f>IF(CI19="","",VLOOKUP(CI19,차량가!$I$2:$L$7549,4,0))</f>
        <v/>
      </c>
      <c r="CM19" s="23" t="str">
        <f t="shared" si="1"/>
        <v/>
      </c>
      <c r="CN19" s="325" t="e">
        <f>VLOOKUP(CI19,차량가!I$2:M$7549,5,0)</f>
        <v>#N/A</v>
      </c>
      <c r="CO19" s="54"/>
      <c r="CP19" s="54"/>
      <c r="CQ19" s="54"/>
      <c r="CR19" s="54"/>
      <c r="CS19" s="54"/>
      <c r="CT19" s="72"/>
      <c r="CU19" s="72"/>
    </row>
    <row r="20" spans="1:99" ht="23.25" customHeight="1">
      <c r="A20" s="73"/>
      <c r="C20" s="633"/>
      <c r="D20" s="634"/>
      <c r="E20" s="636" t="s">
        <v>41</v>
      </c>
      <c r="F20" s="636"/>
      <c r="G20" s="636"/>
      <c r="H20" s="636"/>
      <c r="I20" s="636"/>
      <c r="J20" s="636"/>
      <c r="K20" s="636"/>
      <c r="L20" s="636"/>
      <c r="M20" s="636"/>
      <c r="N20" s="637"/>
      <c r="O20" s="638"/>
      <c r="P20" s="638"/>
      <c r="Q20" s="638"/>
      <c r="R20" s="638"/>
      <c r="S20" s="638"/>
      <c r="T20" s="638"/>
      <c r="U20" s="638"/>
      <c r="V20" s="638"/>
      <c r="W20" s="638"/>
      <c r="X20" s="638"/>
      <c r="Y20" s="638"/>
      <c r="Z20" s="667" t="s">
        <v>25</v>
      </c>
      <c r="AA20" s="668"/>
      <c r="AB20" s="668"/>
      <c r="AC20" s="668"/>
      <c r="AD20" s="668"/>
      <c r="AE20" s="668"/>
      <c r="AF20" s="668"/>
      <c r="AG20" s="690" t="str">
        <f>IF(BH10=1,IF(BN10=1,"포함","미포함"),"미포함")</f>
        <v>미포함</v>
      </c>
      <c r="AH20" s="690"/>
      <c r="AI20" s="690"/>
      <c r="AJ20" s="690"/>
      <c r="AK20" s="690">
        <f>BA19</f>
        <v>0</v>
      </c>
      <c r="AL20" s="690"/>
      <c r="AM20" s="690"/>
      <c r="AN20" s="690"/>
      <c r="AO20" s="690"/>
      <c r="AP20" s="690"/>
      <c r="AQ20" s="690"/>
      <c r="AR20" s="690"/>
      <c r="AS20" s="690"/>
      <c r="AT20" s="690"/>
      <c r="AU20" s="691"/>
      <c r="AV20" s="712"/>
      <c r="AW20" s="73"/>
      <c r="AX20" s="91" t="s">
        <v>69</v>
      </c>
      <c r="AY20" s="641"/>
      <c r="AZ20" s="641"/>
      <c r="BA20" s="719">
        <v>0</v>
      </c>
      <c r="BB20" s="719"/>
      <c r="BH20" s="135"/>
      <c r="BI20" s="135"/>
      <c r="BJ20" s="137"/>
      <c r="BK20" s="137"/>
      <c r="BL20" s="137"/>
      <c r="BM20" s="137"/>
      <c r="BN20" s="137"/>
      <c r="BO20" s="138"/>
      <c r="BP20" s="54"/>
      <c r="BQ20" s="54"/>
      <c r="BR20" s="54"/>
      <c r="BS20" s="38" t="s">
        <v>1233</v>
      </c>
      <c r="BT20" s="39">
        <f>IF(AND(BE9&gt;0,BE9&gt;BE8),IF(BS7&lt;1000,IF(TRUNC((BE9)*0.04,-1)-750000&lt;0,0,TRUNC((BE9)*0.04,-1)-750000),IF(BT23=TRUE,IF(TRUNC((BE9)*BT21,-1)-400000&lt;0,0,TRUNC((BE9)*BT21,-1)-400000),TRUNC((BE9)*BT21,-1))),IF(BS7&lt;1000,IF(TRUNC((K10/1.1)*0.04,-1)-750000&lt;0,0,TRUNC((K10/1.1)*0.04,-1)-750000),IF(BT23=TRUE,IF(TRUNC((K10/1.1)*BT21,-1)-400000&lt;0,0,TRUNC((K10/1.1)*BT21,-1)-400000),TRUNC((K10/1.1)*BT21,-1))))</f>
        <v>2583630</v>
      </c>
      <c r="BU20" s="298" t="s">
        <v>2125</v>
      </c>
      <c r="BV20" s="23"/>
      <c r="BW20" s="23"/>
      <c r="BX20" s="23">
        <v>18</v>
      </c>
      <c r="BY20" s="23" t="str">
        <f>IF(BY19="","",IF(VLOOKUP(TEXT(INT(BY19+1),"0000"),차량가!G$2:J$7549,4,0)=$BS$4,TEXT(BY19+1,"0000"),""))</f>
        <v>0138</v>
      </c>
      <c r="BZ20" s="23" t="str">
        <f>IF(ISERROR(VLOOKUP(BY20,차량가!G$2:K$6501,5,0)),"",VLOOKUP(BY20,차량가!G$2:K$6501,5,0))</f>
        <v>GLE-Class</v>
      </c>
      <c r="CA20" s="23" t="str">
        <f>IF(BY20="","",IF(VLOOKUP(TEXT(INT(BY19+1),"0000"),차량가!G$2:J$7549,4,0)=$BS$4,TEXT(BY19+1,"0000"),""))</f>
        <v>0138</v>
      </c>
      <c r="CB20" s="23"/>
      <c r="CC20" s="23"/>
      <c r="CD20" s="23"/>
      <c r="CE20" s="23"/>
      <c r="CF20" s="23"/>
      <c r="CG20" s="23"/>
      <c r="CH20" s="23"/>
      <c r="CI20" s="44" t="str">
        <f>IF(CI19="","",IF(VLOOKUP(TEXT(INT(CI19+1),"0000"),차량가!I$2:K$7549,3,0)=$BS$5,TEXT(CI19+1,"0000"),""))</f>
        <v/>
      </c>
      <c r="CJ20" s="43" t="str">
        <f t="shared" si="0"/>
        <v>025</v>
      </c>
      <c r="CK20" s="43" t="str">
        <f>IF(CI20="","",(VLOOKUP(CI20,차량가!$I$2:$K$7549,3,0)))</f>
        <v/>
      </c>
      <c r="CL20" s="43" t="str">
        <f>IF(CI20="","",VLOOKUP(CI20,차량가!$I$2:$L$7549,4,0))</f>
        <v/>
      </c>
      <c r="CM20" s="23" t="str">
        <f t="shared" si="1"/>
        <v/>
      </c>
      <c r="CN20" s="325" t="e">
        <f>VLOOKUP(CI20,차량가!I$2:M$7549,5,0)</f>
        <v>#N/A</v>
      </c>
      <c r="CO20" s="54"/>
      <c r="CP20" s="54"/>
      <c r="CQ20" s="54"/>
      <c r="CR20" s="54"/>
      <c r="CS20" s="54"/>
      <c r="CT20" s="72"/>
      <c r="CU20" s="72"/>
    </row>
    <row r="21" spans="1:99" ht="23.25" customHeight="1">
      <c r="A21" s="73"/>
      <c r="C21" s="623" t="s">
        <v>2073</v>
      </c>
      <c r="D21" s="623"/>
      <c r="E21" s="623"/>
      <c r="F21" s="623"/>
      <c r="G21" s="623"/>
      <c r="H21" s="623"/>
      <c r="I21" s="623"/>
      <c r="J21" s="623"/>
      <c r="K21" s="623"/>
      <c r="L21" s="623"/>
      <c r="M21" s="624"/>
      <c r="N21" s="627">
        <f>AK16+AK17+IF(BI10=1,0,N11)+IF(BJ10=1,0,N12)+IF(BK10=1,0,N13)+IF(BL10=2,N15)</f>
        <v>0</v>
      </c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67" t="s">
        <v>1133</v>
      </c>
      <c r="AA21" s="668"/>
      <c r="AB21" s="668"/>
      <c r="AC21" s="668"/>
      <c r="AD21" s="668"/>
      <c r="AE21" s="668"/>
      <c r="AF21" s="668"/>
      <c r="AG21" s="690" t="str">
        <f>IF(BP10=1,"포함","미포함")</f>
        <v>미포함</v>
      </c>
      <c r="AH21" s="690"/>
      <c r="AI21" s="690"/>
      <c r="AJ21" s="690"/>
      <c r="AK21" s="690">
        <f>IF(BP10=1,BA20/12,0)</f>
        <v>0</v>
      </c>
      <c r="AL21" s="690"/>
      <c r="AM21" s="690"/>
      <c r="AN21" s="690"/>
      <c r="AO21" s="690"/>
      <c r="AP21" s="690"/>
      <c r="AQ21" s="690"/>
      <c r="AR21" s="690"/>
      <c r="AS21" s="690"/>
      <c r="AT21" s="690"/>
      <c r="AU21" s="691"/>
      <c r="AV21" s="712"/>
      <c r="AW21" s="73"/>
      <c r="AX21" s="95"/>
      <c r="AY21" s="96"/>
      <c r="AZ21" s="96"/>
      <c r="BA21" s="97"/>
      <c r="BB21" s="96"/>
      <c r="BG21" s="487">
        <f>BI39</f>
        <v>5.3999999999999999E-2</v>
      </c>
      <c r="BH21" s="135"/>
      <c r="BI21" s="135"/>
      <c r="BJ21" s="137"/>
      <c r="BK21" s="137"/>
      <c r="BL21" s="137"/>
      <c r="BM21" s="137"/>
      <c r="BN21" s="137"/>
      <c r="BO21" s="138"/>
      <c r="BP21" s="54"/>
      <c r="BQ21" s="54"/>
      <c r="BR21" s="54"/>
      <c r="BS21" s="38" t="s">
        <v>1234</v>
      </c>
      <c r="BT21" s="40">
        <f>IF(OR(AND(BT24=TRUE,BT26=TRUE),BT25=TRUE),5%,7%)</f>
        <v>7.0000000000000007E-2</v>
      </c>
      <c r="BU21" s="299">
        <f>TRUNC((K10/1.1)*0.07,-1)</f>
        <v>2583630</v>
      </c>
      <c r="BV21" s="23"/>
      <c r="BW21" s="23"/>
      <c r="BX21" s="23">
        <v>19</v>
      </c>
      <c r="BY21" s="23" t="str">
        <f>IF(BY20="","",IF(VLOOKUP(TEXT(INT(BY20+1),"0000"),차량가!G$2:J$7549,4,0)=$BS$4,TEXT(BY20+1,"0000"),""))</f>
        <v>0139</v>
      </c>
      <c r="BZ21" s="23" t="str">
        <f>IF(ISERROR(VLOOKUP(BY21,차량가!G$2:K$6501,5,0)),"",VLOOKUP(BY21,차량가!G$2:K$6501,5,0))</f>
        <v>GLS-Class</v>
      </c>
      <c r="CA21" s="23" t="str">
        <f>IF(BY21="","",IF(VLOOKUP(TEXT(INT(BY20+1),"0000"),차량가!G$2:J$7549,4,0)=$BS$4,TEXT(BY20+1,"0000"),""))</f>
        <v>0139</v>
      </c>
      <c r="CB21" s="23"/>
      <c r="CC21" s="23"/>
      <c r="CD21" s="23"/>
      <c r="CE21" s="23"/>
      <c r="CF21" s="23"/>
      <c r="CG21" s="23"/>
      <c r="CH21" s="23"/>
      <c r="CI21" s="44" t="str">
        <f>IF(CI20="","",IF(VLOOKUP(TEXT(INT(CI20+1),"0000"),차량가!I$2:K$7549,3,0)=$BS$5,TEXT(CI20+1,"0000"),""))</f>
        <v/>
      </c>
      <c r="CJ21" s="43" t="str">
        <f t="shared" si="0"/>
        <v>025</v>
      </c>
      <c r="CK21" s="43" t="str">
        <f>IF(CI21="","",(VLOOKUP(CI21,차량가!$I$2:$K$7549,3,0)))</f>
        <v/>
      </c>
      <c r="CL21" s="43" t="str">
        <f>IF(CI21="","",VLOOKUP(CI21,차량가!$I$2:$L$7549,4,0))</f>
        <v/>
      </c>
      <c r="CM21" s="23" t="str">
        <f t="shared" si="1"/>
        <v/>
      </c>
      <c r="CN21" s="325" t="e">
        <f>VLOOKUP(CI21,차량가!I$2:M$7549,5,0)</f>
        <v>#N/A</v>
      </c>
      <c r="CO21" s="54"/>
      <c r="CP21" s="54"/>
      <c r="CQ21" s="54"/>
      <c r="CR21" s="54"/>
      <c r="CS21" s="54"/>
      <c r="CT21" s="72"/>
      <c r="CU21" s="72"/>
    </row>
    <row r="22" spans="1:99" ht="23.25" customHeight="1">
      <c r="A22" s="73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26"/>
      <c r="N22" s="629"/>
      <c r="O22" s="630"/>
      <c r="P22" s="630"/>
      <c r="Q22" s="630"/>
      <c r="R22" s="630"/>
      <c r="S22" s="630"/>
      <c r="T22" s="630"/>
      <c r="U22" s="630"/>
      <c r="V22" s="630"/>
      <c r="W22" s="630"/>
      <c r="X22" s="630"/>
      <c r="Y22" s="630"/>
      <c r="Z22" s="767" t="str">
        <f ca="1">IF(AG12="일반잔가만 가능","사용불가",IF(OR(AX30="사용불가",AZ32="초과",(AK16+AK17)&gt;=K10*60%,AND(AK7&lt;(G7)*9%,CY187=TRUE),(AK16+AK17+AK18)&gt;K10),"취급불가","리스료(월)"))</f>
        <v>리스료(월)</v>
      </c>
      <c r="AA22" s="768"/>
      <c r="AB22" s="768"/>
      <c r="AC22" s="768"/>
      <c r="AD22" s="768"/>
      <c r="AE22" s="768"/>
      <c r="AF22" s="768"/>
      <c r="AG22" s="769">
        <f ca="1">AG19+AK20+AK21</f>
        <v>513912</v>
      </c>
      <c r="AH22" s="770"/>
      <c r="AI22" s="770"/>
      <c r="AJ22" s="770"/>
      <c r="AK22" s="770"/>
      <c r="AL22" s="770"/>
      <c r="AM22" s="770"/>
      <c r="AN22" s="770"/>
      <c r="AO22" s="770"/>
      <c r="AP22" s="770"/>
      <c r="AQ22" s="770"/>
      <c r="AR22" s="770"/>
      <c r="AS22" s="770"/>
      <c r="AT22" s="770"/>
      <c r="AU22" s="770"/>
      <c r="AV22" s="712"/>
      <c r="AW22" s="73"/>
      <c r="AX22" s="98" t="s">
        <v>1107</v>
      </c>
      <c r="AY22" s="706" t="s">
        <v>1119</v>
      </c>
      <c r="AZ22" s="706"/>
      <c r="BA22" s="706"/>
      <c r="BB22" s="706"/>
      <c r="BH22" s="135"/>
      <c r="BI22" s="135"/>
      <c r="BJ22" s="137"/>
      <c r="BK22" s="137"/>
      <c r="BL22" s="137"/>
      <c r="BM22" s="137"/>
      <c r="BQ22" s="54"/>
      <c r="BR22" s="54"/>
      <c r="BS22" s="38" t="s">
        <v>2124</v>
      </c>
      <c r="BT22" s="40" t="b">
        <f>IF(BV12="전기차",TRUE,FALSE)</f>
        <v>0</v>
      </c>
      <c r="BU22" s="23"/>
      <c r="BV22" s="23"/>
      <c r="BW22" s="23"/>
      <c r="BX22" s="23">
        <v>20</v>
      </c>
      <c r="BY22" s="23" t="str">
        <f>IF(BY21="","",IF(VLOOKUP(TEXT(INT(BY21+1),"0000"),차량가!G$2:J$7549,4,0)=$BS$4,TEXT(BY21+1,"0000"),""))</f>
        <v>0140</v>
      </c>
      <c r="BZ22" s="23" t="str">
        <f>IF(ISERROR(VLOOKUP(BY22,차량가!G$2:K$6501,5,0)),"",VLOOKUP(BY22,차량가!G$2:K$6501,5,0))</f>
        <v>S-Class</v>
      </c>
      <c r="CA22" s="23" t="str">
        <f>IF(BY22="","",IF(VLOOKUP(TEXT(INT(BY21+1),"0000"),차량가!G$2:J$7549,4,0)=$BS$4,TEXT(BY21+1,"0000"),""))</f>
        <v>0140</v>
      </c>
      <c r="CB22" s="23"/>
      <c r="CC22" s="23"/>
      <c r="CD22" s="23"/>
      <c r="CE22" s="23"/>
      <c r="CF22" s="23"/>
      <c r="CG22" s="23"/>
      <c r="CH22" s="23"/>
      <c r="CI22" s="44" t="str">
        <f>IF(CI21="","",IF(VLOOKUP(TEXT(INT(CI21+1),"0000"),차량가!I$2:K$7549,3,0)=$BS$5,TEXT(CI21+1,"0000"),""))</f>
        <v/>
      </c>
      <c r="CJ22" s="43" t="str">
        <f t="shared" si="0"/>
        <v>025</v>
      </c>
      <c r="CK22" s="43" t="str">
        <f>IF(CI22="","",(VLOOKUP(CI22,차량가!$I$2:$K$7549,3,0)))</f>
        <v/>
      </c>
      <c r="CL22" s="43" t="str">
        <f>IF(CI22="","",VLOOKUP(CI22,차량가!$I$2:$L$7549,4,0))</f>
        <v/>
      </c>
      <c r="CM22" s="23" t="str">
        <f t="shared" ref="CM22:CM65" si="2">TEXT(CI22,"0000")</f>
        <v/>
      </c>
      <c r="CN22" s="325" t="e">
        <f>VLOOKUP(CI22,차량가!I$2:M$7549,5,0)</f>
        <v>#N/A</v>
      </c>
      <c r="CO22" s="327" t="s">
        <v>1432</v>
      </c>
      <c r="CP22" s="54"/>
      <c r="CQ22" s="54"/>
      <c r="CR22" s="54" t="s">
        <v>1432</v>
      </c>
      <c r="CS22" s="54"/>
      <c r="CT22" s="72"/>
      <c r="CU22" s="72"/>
    </row>
    <row r="23" spans="1:99" ht="23.25" customHeight="1">
      <c r="A23" s="73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O23" s="100"/>
      <c r="P23" s="100"/>
      <c r="Q23" s="100"/>
      <c r="R23" s="100"/>
      <c r="S23" s="100"/>
      <c r="T23" s="671"/>
      <c r="U23" s="671"/>
      <c r="V23" s="671"/>
      <c r="W23" s="671"/>
      <c r="X23" s="671"/>
      <c r="Y23" s="671"/>
      <c r="Z23" s="671"/>
      <c r="AA23" s="671"/>
      <c r="AB23" s="101"/>
      <c r="AC23" s="689" t="str">
        <f>IF(AK16=0,"",IF(BR10=1,"신청금액","장기선수금차감전"))</f>
        <v/>
      </c>
      <c r="AD23" s="689"/>
      <c r="AE23" s="689"/>
      <c r="AF23" s="689"/>
      <c r="AG23" s="689"/>
      <c r="AH23" s="689"/>
      <c r="AI23" s="689"/>
      <c r="AJ23" s="688" t="str">
        <f>IF(AK16=0,"",IF(BR10=1,N16-AK16,AG22+AK16/AG11))</f>
        <v/>
      </c>
      <c r="AK23" s="688"/>
      <c r="AL23" s="688"/>
      <c r="AM23" s="688"/>
      <c r="AN23" s="688"/>
      <c r="AO23" s="688"/>
      <c r="AP23" s="688"/>
      <c r="AQ23" s="688"/>
      <c r="AR23" s="101"/>
      <c r="AS23" s="101"/>
      <c r="AT23" s="766" t="str">
        <f ca="1">IF(OR((AZ115=BA115),AND(BH120*K10&gt;=AK18,BH132*K10&gt;=AK18)),"BC","")</f>
        <v/>
      </c>
      <c r="AU23" s="766"/>
      <c r="AV23" s="712"/>
      <c r="AW23" s="73"/>
      <c r="AX23" s="91" t="s">
        <v>18</v>
      </c>
      <c r="AY23" s="641"/>
      <c r="AZ23" s="641"/>
      <c r="BA23" s="641"/>
      <c r="BB23" s="641"/>
      <c r="BH23" s="135"/>
      <c r="BI23" s="135"/>
      <c r="BJ23" s="137"/>
      <c r="BK23" s="137"/>
      <c r="BL23" s="137"/>
      <c r="BM23" s="137"/>
      <c r="BQ23" s="54"/>
      <c r="BR23" s="54"/>
      <c r="BS23" s="38" t="s">
        <v>1229</v>
      </c>
      <c r="BT23" s="511" t="b">
        <f>IF(BT12="Y",TRUE,FALSE)</f>
        <v>0</v>
      </c>
      <c r="BU23" s="23"/>
      <c r="BV23" s="23"/>
      <c r="BW23" s="23"/>
      <c r="BX23" s="23">
        <v>21</v>
      </c>
      <c r="BY23" s="23" t="str">
        <f>IF(BY22="","",IF(VLOOKUP(TEXT(INT(BY22+1),"0000"),차량가!G$2:J$7549,4,0)=$BS$4,TEXT(BY22+1,"0000"),""))</f>
        <v>0141</v>
      </c>
      <c r="BZ23" s="23" t="str">
        <f>IF(ISERROR(VLOOKUP(BY23,차량가!G$2:K$6501,5,0)),"",VLOOKUP(BY23,차량가!G$2:K$6501,5,0))</f>
        <v>SL-Class</v>
      </c>
      <c r="CA23" s="23" t="str">
        <f>IF(BY23="","",IF(VLOOKUP(TEXT(INT(BY22+1),"0000"),차량가!G$2:J$7549,4,0)=$BS$4,TEXT(BY22+1,"0000"),""))</f>
        <v>0141</v>
      </c>
      <c r="CB23" s="23"/>
      <c r="CC23" s="23"/>
      <c r="CD23" s="23"/>
      <c r="CE23" s="23"/>
      <c r="CF23" s="23"/>
      <c r="CG23" s="23"/>
      <c r="CH23" s="23"/>
      <c r="CI23" s="44" t="str">
        <f>IF(CI22="","",IF(VLOOKUP(TEXT(INT(CI22+1),"0000"),차량가!I$2:K$7549,3,0)=$BS$5,TEXT(CI22+1,"0000"),""))</f>
        <v/>
      </c>
      <c r="CJ23" s="43" t="str">
        <f t="shared" si="0"/>
        <v>025</v>
      </c>
      <c r="CK23" s="43" t="str">
        <f>IF(CI23="","",(VLOOKUP(CI23,차량가!$I$2:$K$7549,3,0)))</f>
        <v/>
      </c>
      <c r="CL23" s="43" t="str">
        <f>IF(CI23="","",VLOOKUP(CI23,차량가!$I$2:$L$7549,4,0))</f>
        <v/>
      </c>
      <c r="CM23" s="23" t="str">
        <f t="shared" si="2"/>
        <v/>
      </c>
      <c r="CN23" s="325" t="e">
        <f>VLOOKUP(CI23,차량가!I$2:M$7549,5,0)</f>
        <v>#N/A</v>
      </c>
      <c r="CO23" s="54"/>
      <c r="CP23" s="54"/>
      <c r="CQ23" s="54"/>
      <c r="CR23" s="54"/>
      <c r="CS23" s="54"/>
      <c r="CT23" s="72"/>
      <c r="CU23" s="72"/>
    </row>
    <row r="24" spans="1:99" ht="25.5" customHeight="1">
      <c r="A24" s="602">
        <f>IF(AY24=0,IF(BM10=2,IF(AZ24/K10&gt;60%,"취급불가",AZ24),IF((AZ24)/K10&gt;60%,"취급불가",AZ24)),IF(IF(BM10=1,(AY24)&gt;60%,AY24*N15&gt;K10*60%),"취급불가",IF(BM10=2,N15*AY24,K10*AY24)))</f>
        <v>0</v>
      </c>
      <c r="C24" s="648"/>
      <c r="D24" s="648"/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8"/>
      <c r="P24" s="648"/>
      <c r="Q24" s="101"/>
      <c r="R24" s="101"/>
      <c r="S24" s="101"/>
      <c r="T24" s="648"/>
      <c r="U24" s="648"/>
      <c r="V24" s="648"/>
      <c r="W24" s="648"/>
      <c r="X24" s="648"/>
      <c r="Y24" s="101"/>
      <c r="Z24" s="758" t="s">
        <v>1430</v>
      </c>
      <c r="AA24" s="759"/>
      <c r="AB24" s="759"/>
      <c r="AC24" s="759"/>
      <c r="AD24" s="759"/>
      <c r="AE24" s="759"/>
      <c r="AF24" s="759"/>
      <c r="AG24" s="759"/>
      <c r="AH24" s="760"/>
      <c r="AI24" s="102"/>
      <c r="AJ24" s="773">
        <f>BJ42</f>
        <v>0</v>
      </c>
      <c r="AK24" s="774"/>
      <c r="AL24" s="774"/>
      <c r="AM24" s="774"/>
      <c r="AN24" s="775"/>
      <c r="AO24" s="779">
        <f ca="1">BL42</f>
        <v>0</v>
      </c>
      <c r="AP24" s="779"/>
      <c r="AQ24" s="780"/>
      <c r="AR24" s="103"/>
      <c r="AS24" s="103"/>
      <c r="AT24" s="648"/>
      <c r="AU24" s="648"/>
      <c r="AV24" s="712"/>
      <c r="AX24" s="93" t="s">
        <v>1420</v>
      </c>
      <c r="AY24" s="104">
        <v>0</v>
      </c>
      <c r="AZ24" s="764">
        <v>0</v>
      </c>
      <c r="BA24" s="764"/>
      <c r="BB24" s="765"/>
      <c r="BC24" s="70" t="s">
        <v>1979</v>
      </c>
      <c r="BH24" s="135"/>
      <c r="BI24" s="135"/>
      <c r="BJ24" s="137"/>
      <c r="BK24" s="137"/>
      <c r="BL24" s="137"/>
      <c r="BM24" s="137"/>
      <c r="BQ24" s="54"/>
      <c r="BR24" s="54"/>
      <c r="BS24" s="38" t="s">
        <v>1228</v>
      </c>
      <c r="BT24" s="40" t="b">
        <f>IF(BT13="승합차",TRUE,FALSE)</f>
        <v>0</v>
      </c>
      <c r="BU24" s="23"/>
      <c r="BV24" s="23"/>
      <c r="BW24" s="23"/>
      <c r="BX24" s="23">
        <v>22</v>
      </c>
      <c r="BY24" s="23" t="str">
        <f>IF(BY23="","",IF(VLOOKUP(TEXT(INT(BY23+1),"0000"),차량가!G$2:J$7549,4,0)=$BS$4,TEXT(BY23+1,"0000"),""))</f>
        <v>0142</v>
      </c>
      <c r="BZ24" s="23" t="str">
        <f>IF(ISERROR(VLOOKUP(BY24,차량가!G$2:K$6501,5,0)),"",VLOOKUP(BY24,차량가!G$2:K$6501,5,0))</f>
        <v>마이바흐 GLS</v>
      </c>
      <c r="CA24" s="23" t="str">
        <f>IF(BY24="","",IF(VLOOKUP(TEXT(INT(BY23+1),"0000"),차량가!G$2:J$7549,4,0)=$BS$4,TEXT(BY23+1,"0000"),""))</f>
        <v>0142</v>
      </c>
      <c r="CB24" s="23"/>
      <c r="CC24" s="23"/>
      <c r="CD24" s="23"/>
      <c r="CE24" s="23"/>
      <c r="CF24" s="23"/>
      <c r="CG24" s="23"/>
      <c r="CH24" s="23"/>
      <c r="CI24" s="44" t="str">
        <f>IF(CI23="","",IF(VLOOKUP(TEXT(INT(CI23+1),"0000"),차량가!I$2:K$7549,3,0)=$BS$5,TEXT(CI23+1,"0000"),""))</f>
        <v/>
      </c>
      <c r="CJ24" s="43" t="str">
        <f t="shared" si="0"/>
        <v>025</v>
      </c>
      <c r="CK24" s="43" t="str">
        <f>IF(CI24="","",(VLOOKUP(CI24,차량가!$I$2:$K$7549,3,0)))</f>
        <v/>
      </c>
      <c r="CL24" s="43" t="str">
        <f>IF(CI24="","",VLOOKUP(CI24,차량가!$I$2:$L$7549,4,0))</f>
        <v/>
      </c>
      <c r="CM24" s="23" t="str">
        <f t="shared" si="2"/>
        <v/>
      </c>
      <c r="CN24" s="325" t="e">
        <f>VLOOKUP(CI24,차량가!I$2:M$7549,5,0)</f>
        <v>#N/A</v>
      </c>
      <c r="CO24" s="54"/>
      <c r="CP24" s="54"/>
      <c r="CQ24" s="54"/>
      <c r="CR24" s="54"/>
      <c r="CS24" s="54"/>
      <c r="CT24" s="72"/>
      <c r="CU24" s="72"/>
    </row>
    <row r="25" spans="1:99" ht="23.25" customHeight="1">
      <c r="C25" s="74" t="s">
        <v>45</v>
      </c>
      <c r="Z25" s="661" t="s">
        <v>1429</v>
      </c>
      <c r="AA25" s="662"/>
      <c r="AB25" s="662"/>
      <c r="AC25" s="662"/>
      <c r="AD25" s="662"/>
      <c r="AE25" s="662"/>
      <c r="AF25" s="662"/>
      <c r="AG25" s="662"/>
      <c r="AH25" s="663"/>
      <c r="AI25" s="105"/>
      <c r="AJ25" s="776">
        <f>BJ43</f>
        <v>0</v>
      </c>
      <c r="AK25" s="777"/>
      <c r="AL25" s="777"/>
      <c r="AM25" s="777"/>
      <c r="AN25" s="778"/>
      <c r="AO25" s="761">
        <f ca="1">BL43</f>
        <v>0</v>
      </c>
      <c r="AP25" s="761"/>
      <c r="AQ25" s="762"/>
      <c r="AT25" s="304"/>
      <c r="AU25" s="304"/>
      <c r="AV25" s="712"/>
      <c r="AX25" s="106"/>
      <c r="AY25" s="656">
        <f>IF(AY24=0,IF(BM10=2,IF(AZ24/K10&gt;60%,"취급불가",AZ24),IF((AZ24)/K10&gt;60%,"취급불가",AZ24)),IF(IF(BM10=1,(AY24)&gt;60%,AY24*N16&gt;K10*60%),"취급불가",IF(BM10=2,N16*AY24,K10*AY24)))</f>
        <v>0</v>
      </c>
      <c r="AZ25" s="656"/>
      <c r="BA25" s="656"/>
      <c r="BB25" s="656"/>
      <c r="BH25" s="54">
        <v>3</v>
      </c>
      <c r="BI25" s="54"/>
      <c r="BJ25" s="54"/>
      <c r="BK25" s="54"/>
      <c r="BL25" s="54"/>
      <c r="BM25" s="54"/>
      <c r="BN25" s="54"/>
      <c r="BO25" s="54">
        <v>1</v>
      </c>
      <c r="BP25" s="139" t="b">
        <f>IF(BO25=2,BP28,IF(BO25=3,BP29,IF(BO25=4,BP30,IF(BO25=5,BP31,IF(BO25=6,BP32,(IF(BO25=7,BP33,IF(BO25=8,BP34,IF(BO25=9,BP35,IF(BO25=10,BP36,IF(BO25=11,BP37,IF(BO25=12,BP38))))))))))))</f>
        <v>0</v>
      </c>
      <c r="BQ25" s="54"/>
      <c r="BR25" s="54"/>
      <c r="BS25" s="38" t="s">
        <v>1230</v>
      </c>
      <c r="BT25" s="40" t="b">
        <f>IF(BT13="화물차",TRUE,FALSE)</f>
        <v>0</v>
      </c>
      <c r="BU25" s="23"/>
      <c r="BV25" s="23"/>
      <c r="BW25" s="23"/>
      <c r="BX25" s="23">
        <v>23</v>
      </c>
      <c r="BY25" s="23" t="str">
        <f>IF(BY24="","",IF(VLOOKUP(TEXT(INT(BY24+1),"0000"),차량가!G$2:J$7549,4,0)=$BS$4,TEXT(BY24+1,"0000"),""))</f>
        <v/>
      </c>
      <c r="BZ25" s="23" t="str">
        <f>IF(ISERROR(VLOOKUP(BY25,차량가!G$2:K$6501,5,0)),"",VLOOKUP(BY25,차량가!G$2:K$6501,5,0))</f>
        <v/>
      </c>
      <c r="CA25" s="23" t="str">
        <f>IF(BY25="","",IF(VLOOKUP(TEXT(INT(BY24+1),"0000"),차량가!G$2:J$7549,4,0)=$BS$4,TEXT(BY24+1,"0000"),""))</f>
        <v/>
      </c>
      <c r="CB25" s="23"/>
      <c r="CC25" s="23"/>
      <c r="CD25" s="23"/>
      <c r="CE25" s="23"/>
      <c r="CF25" s="23"/>
      <c r="CG25" s="23"/>
      <c r="CH25" s="23"/>
      <c r="CI25" s="44" t="str">
        <f>IF(CI24="","",IF(VLOOKUP(TEXT(INT(CI24+1),"0000"),차량가!I$2:K$7549,3,0)=$BS$5,TEXT(CI24+1,"0000"),""))</f>
        <v/>
      </c>
      <c r="CJ25" s="43" t="str">
        <f t="shared" si="0"/>
        <v>025</v>
      </c>
      <c r="CK25" s="43" t="str">
        <f>IF(CI25="","",(VLOOKUP(CI25,차량가!$I$2:$K$7549,3,0)))</f>
        <v/>
      </c>
      <c r="CL25" s="43" t="str">
        <f>IF(CI25="","",VLOOKUP(CI25,차량가!$I$2:$L$7549,4,0))</f>
        <v/>
      </c>
      <c r="CM25" s="23" t="str">
        <f t="shared" si="2"/>
        <v/>
      </c>
      <c r="CN25" s="325" t="e">
        <f>VLOOKUP(CI25,차량가!I$2:M$7549,5,0)</f>
        <v>#N/A</v>
      </c>
      <c r="CO25" s="54"/>
      <c r="CP25" s="54"/>
      <c r="CQ25" s="54"/>
      <c r="CR25" s="54"/>
      <c r="CS25" s="54"/>
      <c r="CT25" s="72"/>
      <c r="CU25" s="72"/>
    </row>
    <row r="26" spans="1:99" ht="23.25" customHeight="1">
      <c r="C26" s="645" t="s">
        <v>46</v>
      </c>
      <c r="D26" s="645"/>
      <c r="E26" s="107" t="s">
        <v>51</v>
      </c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V26" s="712"/>
      <c r="AX26" s="669" t="s">
        <v>22</v>
      </c>
      <c r="AY26" s="108">
        <v>0</v>
      </c>
      <c r="AZ26" s="655">
        <v>0</v>
      </c>
      <c r="BA26" s="655"/>
      <c r="BB26" s="655"/>
      <c r="BC26" s="70" t="s">
        <v>1979</v>
      </c>
      <c r="BH26" s="135" t="s">
        <v>18</v>
      </c>
      <c r="BI26" s="54"/>
      <c r="BJ26" s="140" t="s">
        <v>1940</v>
      </c>
      <c r="BK26" s="3" t="s">
        <v>1945</v>
      </c>
      <c r="BL26" s="129"/>
      <c r="BM26" s="129"/>
      <c r="BN26" s="859" t="s">
        <v>64</v>
      </c>
      <c r="BO26" s="860"/>
      <c r="BP26" s="141"/>
      <c r="BQ26" s="54"/>
      <c r="BR26" s="54"/>
      <c r="BS26" s="38" t="s">
        <v>1231</v>
      </c>
      <c r="BT26" s="39" t="b">
        <f>IF(BT14&gt;=11,TRUE,FALSE)</f>
        <v>0</v>
      </c>
      <c r="BU26" s="23"/>
      <c r="BV26" s="23"/>
      <c r="BW26" s="23"/>
      <c r="BX26" s="23">
        <v>24</v>
      </c>
      <c r="BY26" s="23" t="str">
        <f>IF(BY25="","",IF(VLOOKUP(TEXT(INT(BY25+1),"0000"),차량가!G$2:J$7549,4,0)=$BS$4,TEXT(BY25+1,"0000"),""))</f>
        <v/>
      </c>
      <c r="BZ26" s="23" t="str">
        <f>IF(ISERROR(VLOOKUP(BY26,차량가!G$2:K$6501,5,0)),"",VLOOKUP(BY26,차량가!G$2:K$6501,5,0))</f>
        <v/>
      </c>
      <c r="CA26" s="23" t="str">
        <f>IF(BY26="","",IF(VLOOKUP(TEXT(INT(BY25+1),"0000"),차량가!G$2:J$7549,4,0)=$BS$4,TEXT(BY25+1,"0000"),""))</f>
        <v/>
      </c>
      <c r="CB26" s="23"/>
      <c r="CC26" s="23"/>
      <c r="CD26" s="23"/>
      <c r="CE26" s="23"/>
      <c r="CF26" s="23"/>
      <c r="CG26" s="23"/>
      <c r="CH26" s="23"/>
      <c r="CI26" s="44" t="str">
        <f>IF(CI25="","",IF(VLOOKUP(TEXT(INT(CI25+1),"0000"),차량가!I$2:K$7549,3,0)=$BS$5,TEXT(CI25+1,"0000"),""))</f>
        <v/>
      </c>
      <c r="CJ26" s="43" t="str">
        <f t="shared" si="0"/>
        <v>025</v>
      </c>
      <c r="CK26" s="43" t="str">
        <f>IF(CI26="","",(VLOOKUP(CI26,차량가!$I$2:$K$7549,3,0)))</f>
        <v/>
      </c>
      <c r="CL26" s="43" t="str">
        <f>IF(CI26="","",VLOOKUP(CI26,차량가!$I$2:$L$7549,4,0))</f>
        <v/>
      </c>
      <c r="CM26" s="23" t="str">
        <f t="shared" si="2"/>
        <v/>
      </c>
      <c r="CN26" s="325" t="e">
        <f>VLOOKUP(CI26,차량가!I$2:M$7549,5,0)</f>
        <v>#N/A</v>
      </c>
      <c r="CO26" s="54"/>
      <c r="CP26" s="54"/>
      <c r="CQ26" s="54"/>
      <c r="CR26" s="54"/>
      <c r="CS26" s="54"/>
      <c r="CT26" s="72"/>
      <c r="CU26" s="72"/>
    </row>
    <row r="27" spans="1:99" ht="23.25" customHeight="1" thickBot="1">
      <c r="C27" s="646"/>
      <c r="D27" s="646"/>
      <c r="E27" s="109" t="s">
        <v>52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712"/>
      <c r="AX27" s="670"/>
      <c r="AY27" s="839">
        <f>IF(AY26=0,IF(BM10=2,IF(AZ26/K10&gt;60%,"취급불가",AZ26),IF((AZ26)/K10&gt;60%,"취급불가",AZ26)),IF(IF(BM10=1,(AY26)&gt;60%,AY26*N16&gt;K10*60%),"취급불가",IF(BM10=2,N16*AY26,K10*AY26)))</f>
        <v>0</v>
      </c>
      <c r="AZ27" s="839"/>
      <c r="BA27" s="839"/>
      <c r="BB27" s="839"/>
      <c r="BG27" s="54">
        <v>4</v>
      </c>
      <c r="BH27" s="3">
        <v>24</v>
      </c>
      <c r="BI27" s="54"/>
      <c r="BJ27" s="142" t="s">
        <v>1938</v>
      </c>
      <c r="BK27" s="50" t="s">
        <v>1946</v>
      </c>
      <c r="BL27" s="28"/>
      <c r="BM27" s="35"/>
      <c r="BN27" s="861" t="s">
        <v>1127</v>
      </c>
      <c r="BO27" s="862"/>
      <c r="BP27" s="32">
        <v>0</v>
      </c>
      <c r="BQ27" s="54"/>
      <c r="BR27" s="54"/>
      <c r="BS27" s="28"/>
      <c r="BT27" s="29"/>
      <c r="BU27" s="23"/>
      <c r="BV27" s="23"/>
      <c r="BW27" s="23"/>
      <c r="BX27" s="23">
        <v>25</v>
      </c>
      <c r="BY27" s="23" t="str">
        <f>IF(BY26="","",IF(VLOOKUP(TEXT(INT(BY26+1),"0000"),차량가!G$2:J$7549,4,0)=$BS$4,TEXT(BY26+1,"0000"),""))</f>
        <v/>
      </c>
      <c r="BZ27" s="23" t="str">
        <f>IF(ISERROR(VLOOKUP(BY27,차량가!G$2:K$6501,5,0)),"",VLOOKUP(BY27,차량가!G$2:K$6501,5,0))</f>
        <v/>
      </c>
      <c r="CA27" s="23" t="str">
        <f>IF(BY27="","",IF(VLOOKUP(TEXT(INT(BY26+1),"0000"),차량가!G$2:J$7549,4,0)=$BS$4,TEXT(BY26+1,"0000"),""))</f>
        <v/>
      </c>
      <c r="CB27" s="23"/>
      <c r="CC27" s="23"/>
      <c r="CD27" s="23"/>
      <c r="CE27" s="23"/>
      <c r="CF27" s="23"/>
      <c r="CG27" s="23"/>
      <c r="CH27" s="23"/>
      <c r="CI27" s="44" t="str">
        <f>IF(CI26="","",IF(VLOOKUP(TEXT(INT(CI26+1),"0000"),차량가!I$2:K$7549,3,0)=$BS$5,TEXT(CI26+1,"0000"),""))</f>
        <v/>
      </c>
      <c r="CJ27" s="43" t="str">
        <f t="shared" si="0"/>
        <v>025</v>
      </c>
      <c r="CK27" s="43" t="str">
        <f>IF(CI27="","",(VLOOKUP(CI27,차량가!$I$2:$K$7549,3,0)))</f>
        <v/>
      </c>
      <c r="CL27" s="43" t="str">
        <f>IF(CI27="","",VLOOKUP(CI27,차량가!$I$2:$L$7549,4,0))</f>
        <v/>
      </c>
      <c r="CM27" s="23" t="str">
        <f t="shared" si="2"/>
        <v/>
      </c>
      <c r="CN27" s="325" t="e">
        <f>VLOOKUP(CI27,차량가!I$2:M$7549,5,0)</f>
        <v>#N/A</v>
      </c>
      <c r="CO27" s="328" t="str">
        <f>IF(AND(BH152=TRUE,OR(CY187=TRUE,BH150=TRUE)),"플릿할인반영 또는 1만5천km잔가와 중복 사용 불가","")</f>
        <v/>
      </c>
      <c r="CP27" s="54"/>
      <c r="CQ27" s="54"/>
      <c r="CR27" s="54"/>
      <c r="CS27" s="54"/>
      <c r="CT27" s="72"/>
      <c r="CU27" s="72"/>
    </row>
    <row r="28" spans="1:99" ht="20.25">
      <c r="C28" s="646"/>
      <c r="D28" s="646"/>
      <c r="E28" s="109" t="s">
        <v>47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712"/>
      <c r="AX28" s="669" t="s">
        <v>3047</v>
      </c>
      <c r="AY28" s="237">
        <v>0.54</v>
      </c>
      <c r="AZ28" s="863">
        <v>0</v>
      </c>
      <c r="BA28" s="863"/>
      <c r="BB28" s="863"/>
      <c r="BC28" s="70" t="s">
        <v>1979</v>
      </c>
      <c r="BF28" s="126" t="s">
        <v>1236</v>
      </c>
      <c r="BH28" s="3">
        <v>36</v>
      </c>
      <c r="BI28" s="54"/>
      <c r="BJ28" s="142" t="s">
        <v>1939</v>
      </c>
      <c r="BK28" s="50" t="s">
        <v>1947</v>
      </c>
      <c r="BL28" s="28"/>
      <c r="BM28" s="34"/>
      <c r="BN28" s="861" t="s">
        <v>1128</v>
      </c>
      <c r="BO28" s="862"/>
      <c r="BP28" s="33">
        <v>1.0999999999999999E-2</v>
      </c>
      <c r="BQ28" s="54"/>
      <c r="BR28" s="54"/>
      <c r="BS28" s="28"/>
      <c r="BT28" s="29"/>
      <c r="BU28" s="23"/>
      <c r="BV28" s="23"/>
      <c r="BW28" s="23"/>
      <c r="BX28" s="23">
        <v>26</v>
      </c>
      <c r="BY28" s="23" t="str">
        <f>IF(BY27="","",IF(VLOOKUP(TEXT(INT(BY27+1),"0000"),차량가!G$2:J$7549,4,0)=$BS$4,TEXT(BY27+1,"0000"),""))</f>
        <v/>
      </c>
      <c r="BZ28" s="23" t="str">
        <f>IF(ISERROR(VLOOKUP(BY28,차량가!G$2:K$6501,5,0)),"",VLOOKUP(BY28,차량가!G$2:K$6501,5,0))</f>
        <v/>
      </c>
      <c r="CA28" s="23" t="str">
        <f>IF(BY28="","",IF(VLOOKUP(TEXT(INT(BY27+1),"0000"),차량가!G$2:J$7549,4,0)=$BS$4,TEXT(BY27+1,"0000"),""))</f>
        <v/>
      </c>
      <c r="CB28" s="23"/>
      <c r="CC28" s="23"/>
      <c r="CD28" s="23"/>
      <c r="CE28" s="23"/>
      <c r="CF28" s="23"/>
      <c r="CG28" s="23"/>
      <c r="CH28" s="23"/>
      <c r="CI28" s="44" t="str">
        <f>IF(CI27="","",IF(VLOOKUP(TEXT(INT(CI27+1),"0000"),차량가!I$2:K$7549,3,0)=$BS$5,TEXT(CI27+1,"0000"),""))</f>
        <v/>
      </c>
      <c r="CJ28" s="43" t="str">
        <f t="shared" si="0"/>
        <v>025</v>
      </c>
      <c r="CK28" s="43" t="str">
        <f>IF(CI28="","",(VLOOKUP(CI28,차량가!$I$2:$K$7549,3,0)))</f>
        <v/>
      </c>
      <c r="CL28" s="43" t="str">
        <f>IF(CI28="","",VLOOKUP(CI28,차량가!$I$2:$L$7549,4,0))</f>
        <v/>
      </c>
      <c r="CM28" s="23" t="str">
        <f t="shared" si="2"/>
        <v/>
      </c>
      <c r="CN28" s="325" t="e">
        <f>VLOOKUP(CI28,차량가!I$2:M$7549,5,0)</f>
        <v>#N/A</v>
      </c>
      <c r="CO28" s="54"/>
      <c r="CP28" s="329" t="s">
        <v>1356</v>
      </c>
      <c r="CQ28" s="330" t="s">
        <v>1357</v>
      </c>
      <c r="CR28" s="54"/>
      <c r="CS28" s="54"/>
      <c r="CT28" s="72"/>
      <c r="CU28" s="72"/>
    </row>
    <row r="29" spans="1:99" ht="23.25" customHeight="1">
      <c r="C29" s="646"/>
      <c r="D29" s="646"/>
      <c r="E29" s="109" t="s">
        <v>53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712"/>
      <c r="AX29" s="670"/>
      <c r="AY29" s="847">
        <f>IF(BM10=1,IF(AY28=0,AZ28,AY28*K10),IF(AY28=0,AZ28,AY28*N16))</f>
        <v>21924000</v>
      </c>
      <c r="AZ29" s="847"/>
      <c r="BA29" s="847"/>
      <c r="BB29" s="847"/>
      <c r="BC29" s="70" t="str">
        <f ca="1">IF(BH123&gt;BH136,BL126,BL140)</f>
        <v>6구간</v>
      </c>
      <c r="BF29" s="143">
        <f ca="1">IF(BM10=1,MAX(BI116,BI123,BI136),MAX(BI117,BI124,BI137))</f>
        <v>0.5099999999999999</v>
      </c>
      <c r="BH29" s="3">
        <v>48</v>
      </c>
      <c r="BI29" s="54"/>
      <c r="BJ29" s="54"/>
      <c r="BK29" s="28">
        <v>1</v>
      </c>
      <c r="BL29" s="28"/>
      <c r="BM29" s="34"/>
      <c r="BN29" s="861" t="s">
        <v>3689</v>
      </c>
      <c r="BO29" s="862"/>
      <c r="BP29" s="33">
        <v>1.2500000000000001E-2</v>
      </c>
      <c r="BQ29" s="54"/>
      <c r="BR29" s="54"/>
      <c r="BS29" s="35">
        <v>0</v>
      </c>
      <c r="BT29" s="30">
        <v>0</v>
      </c>
      <c r="BU29" s="23"/>
      <c r="BV29" s="23"/>
      <c r="BW29" s="23"/>
      <c r="BX29" s="23">
        <v>27</v>
      </c>
      <c r="BY29" s="23" t="str">
        <f>IF(BY28="","",IF(VLOOKUP(TEXT(INT(BY28+1),"0000"),차량가!G$2:J$7549,4,0)=$BS$4,TEXT(BY28+1,"0000"),""))</f>
        <v/>
      </c>
      <c r="BZ29" s="23" t="str">
        <f>IF(ISERROR(VLOOKUP(BY29,차량가!G$2:K$6501,5,0)),"",VLOOKUP(BY29,차량가!G$2:K$6501,5,0))</f>
        <v/>
      </c>
      <c r="CA29" s="23" t="str">
        <f>IF(BY29="","",IF(VLOOKUP(TEXT(INT(BY28+1),"0000"),차량가!G$2:J$7549,4,0)=$BS$4,TEXT(BY28+1,"0000"),""))</f>
        <v/>
      </c>
      <c r="CB29" s="23"/>
      <c r="CC29" s="23"/>
      <c r="CD29" s="23"/>
      <c r="CE29" s="23"/>
      <c r="CF29" s="23"/>
      <c r="CG29" s="23"/>
      <c r="CH29" s="23"/>
      <c r="CI29" s="44" t="str">
        <f>IF(CI28="","",IF(VLOOKUP(TEXT(INT(CI28+1),"0000"),차량가!I$2:K$7549,3,0)=$BS$5,TEXT(CI28+1,"0000"),""))</f>
        <v/>
      </c>
      <c r="CJ29" s="43" t="str">
        <f t="shared" si="0"/>
        <v>025</v>
      </c>
      <c r="CK29" s="43" t="str">
        <f>IF(CI29="","",(VLOOKUP(CI29,차량가!$I$2:$K$7549,3,0)))</f>
        <v/>
      </c>
      <c r="CL29" s="43" t="str">
        <f>IF(CI29="","",VLOOKUP(CI29,차량가!$I$2:$L$7549,4,0))</f>
        <v/>
      </c>
      <c r="CM29" s="23" t="str">
        <f t="shared" si="2"/>
        <v/>
      </c>
      <c r="CN29" s="325" t="e">
        <f>VLOOKUP(CI29,차량가!I$2:M$7549,5,0)</f>
        <v>#N/A</v>
      </c>
      <c r="CO29" s="326"/>
      <c r="CP29" s="331" t="s">
        <v>1358</v>
      </c>
      <c r="CQ29" s="332" t="s">
        <v>1359</v>
      </c>
      <c r="CR29" s="54"/>
      <c r="CS29" s="54"/>
      <c r="CT29" s="72"/>
      <c r="CU29" s="72"/>
    </row>
    <row r="30" spans="1:99" ht="23.25" customHeight="1" thickBot="1">
      <c r="C30" s="646"/>
      <c r="D30" s="646"/>
      <c r="E30" s="109" t="s">
        <v>54</v>
      </c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712"/>
      <c r="AX30" s="98" t="str">
        <f ca="1">IF(BM10=1,IF(AY29&lt;BB30*K10,"사용불가",IF(AY29&gt;K10*AZ30,"사용불가",IF(AY29&gt;BF29*K10,"고잔가",IF(AY29&gt;BF33*K10,"중잔가","일반잔가")))),IF(AY29&lt;BB30*N16,"사용불가",IF(AY29&gt;N16*AZ30,"사용불가",IF(AY29&gt;BF29*N16,"고잔가",IF(AY29&gt;BF33*N16,"중잔가","일반잔가")))))</f>
        <v>고잔가</v>
      </c>
      <c r="AY30" s="197" t="s">
        <v>1164</v>
      </c>
      <c r="AZ30" s="198">
        <f ca="1">IF(BM10=1,MAX(BH123,BH136),MAX(BH124,BH137))</f>
        <v>0.53999999999999992</v>
      </c>
      <c r="BA30" s="197" t="s">
        <v>1370</v>
      </c>
      <c r="BB30" s="198">
        <f ca="1">IF(BM10=1,BI112,BL112)</f>
        <v>0.15</v>
      </c>
      <c r="BC30" s="94"/>
      <c r="BF30" s="126" t="s">
        <v>1368</v>
      </c>
      <c r="BH30" s="3">
        <v>60</v>
      </c>
      <c r="BJ30" s="54"/>
      <c r="BK30" s="652"/>
      <c r="BL30" s="652"/>
      <c r="BM30" s="34"/>
      <c r="BN30" s="861" t="s">
        <v>3699</v>
      </c>
      <c r="BO30" s="862"/>
      <c r="BP30" s="33">
        <v>1.2999999999999999E-2</v>
      </c>
      <c r="BQ30" s="54"/>
      <c r="BR30" s="54"/>
      <c r="BS30" s="35">
        <v>0.01</v>
      </c>
      <c r="BT30" s="30">
        <v>2E-3</v>
      </c>
      <c r="BU30" s="23"/>
      <c r="BV30" s="23"/>
      <c r="BW30" s="23"/>
      <c r="BX30" s="23">
        <v>28</v>
      </c>
      <c r="BY30" s="23" t="str">
        <f>IF(BY29="","",IF(VLOOKUP(TEXT(INT(BY29+1),"0000"),차량가!G$2:J$7549,4,0)=$BS$4,TEXT(BY29+1,"0000"),""))</f>
        <v/>
      </c>
      <c r="BZ30" s="23" t="str">
        <f>IF(ISERROR(VLOOKUP(BY30,차량가!G$2:K$6501,5,0)),"",VLOOKUP(BY30,차량가!G$2:K$6501,5,0))</f>
        <v/>
      </c>
      <c r="CA30" s="23" t="str">
        <f>IF(BY30="","",IF(VLOOKUP(TEXT(INT(BY29+1),"0000"),차량가!G$2:J$7549,4,0)=$BS$4,TEXT(BY29+1,"0000"),""))</f>
        <v/>
      </c>
      <c r="CB30" s="23"/>
      <c r="CC30" s="23"/>
      <c r="CD30" s="23"/>
      <c r="CE30" s="23"/>
      <c r="CF30" s="23"/>
      <c r="CG30" s="23"/>
      <c r="CH30" s="23"/>
      <c r="CI30" s="44" t="str">
        <f>IF(CI29="","",IF(VLOOKUP(TEXT(INT(CI29+1),"0000"),차량가!I$2:K$7549,3,0)=$BS$5,TEXT(CI29+1,"0000"),""))</f>
        <v/>
      </c>
      <c r="CJ30" s="43" t="str">
        <f t="shared" si="0"/>
        <v>025</v>
      </c>
      <c r="CK30" s="43" t="str">
        <f>IF(CI30="","",(VLOOKUP(CI30,차량가!$I$2:$K$7549,3,0)))</f>
        <v/>
      </c>
      <c r="CL30" s="43" t="str">
        <f>IF(CI30="","",VLOOKUP(CI30,차량가!$I$2:$L$7549,4,0))</f>
        <v/>
      </c>
      <c r="CM30" s="23" t="str">
        <f t="shared" si="2"/>
        <v/>
      </c>
      <c r="CN30" s="325" t="e">
        <f>VLOOKUP(CI30,차량가!I$2:M$7549,5,0)</f>
        <v>#N/A</v>
      </c>
      <c r="CO30" s="54"/>
      <c r="CP30" s="331" t="s">
        <v>1360</v>
      </c>
      <c r="CQ30" s="333" t="s">
        <v>1367</v>
      </c>
      <c r="CR30" s="54"/>
      <c r="CS30" s="54"/>
      <c r="CT30" s="72"/>
      <c r="CU30" s="72"/>
    </row>
    <row r="31" spans="1:99" ht="23.25" customHeight="1">
      <c r="C31" s="646"/>
      <c r="D31" s="646"/>
      <c r="E31" s="109" t="s">
        <v>48</v>
      </c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712"/>
      <c r="AX31" s="91" t="s">
        <v>61</v>
      </c>
      <c r="AY31" s="641"/>
      <c r="AZ31" s="641"/>
      <c r="BA31" s="641"/>
      <c r="BB31" s="641"/>
      <c r="BF31" s="126">
        <f ca="1">IF(BM10=1,BH120,BH121)</f>
        <v>0.39</v>
      </c>
      <c r="BH31" s="3"/>
      <c r="BI31" s="54">
        <f>IF(OR((BG27=2),(BG27=3),(BG27=4)),1,0)</f>
        <v>1</v>
      </c>
      <c r="BJ31" s="54"/>
      <c r="BK31" s="652"/>
      <c r="BL31" s="652"/>
      <c r="BM31" s="34"/>
      <c r="BN31" s="861" t="s">
        <v>1130</v>
      </c>
      <c r="BO31" s="862"/>
      <c r="BP31" s="33">
        <v>0.01</v>
      </c>
      <c r="BQ31" s="54"/>
      <c r="BR31" s="54"/>
      <c r="BS31" s="35">
        <v>0.02</v>
      </c>
      <c r="BT31" s="30">
        <v>4.0000000000000001E-3</v>
      </c>
      <c r="BU31" s="23"/>
      <c r="BV31" s="23"/>
      <c r="BW31" s="23"/>
      <c r="BX31" s="23">
        <v>29</v>
      </c>
      <c r="BY31" s="23" t="str">
        <f>IF(BY30="","",IF(VLOOKUP(TEXT(INT(BY30+1),"0000"),차량가!G$2:J$7549,4,0)=$BS$4,TEXT(BY30+1,"0000"),""))</f>
        <v/>
      </c>
      <c r="BZ31" s="23" t="str">
        <f>IF(ISERROR(VLOOKUP(BY31,차량가!G$2:K$6501,5,0)),"",VLOOKUP(BY31,차량가!G$2:K$6501,5,0))</f>
        <v/>
      </c>
      <c r="CA31" s="23" t="str">
        <f>IF(BY31="","",IF(VLOOKUP(TEXT(INT(BY30+1),"0000"),차량가!G$2:J$7549,4,0)=$BS$4,TEXT(BY30+1,"0000"),""))</f>
        <v/>
      </c>
      <c r="CB31" s="23"/>
      <c r="CC31" s="23"/>
      <c r="CD31" s="23"/>
      <c r="CE31" s="23"/>
      <c r="CF31" s="23"/>
      <c r="CG31" s="23"/>
      <c r="CH31" s="23"/>
      <c r="CI31" s="44" t="str">
        <f>IF(CI30="","",IF(VLOOKUP(TEXT(INT(CI30+1),"0000"),차량가!I$2:K$7549,3,0)=$BS$5,TEXT(CI30+1,"0000"),""))</f>
        <v/>
      </c>
      <c r="CJ31" s="43" t="str">
        <f t="shared" si="0"/>
        <v>025</v>
      </c>
      <c r="CK31" s="43" t="str">
        <f>IF(CI31="","",(VLOOKUP(CI31,차량가!$I$2:$K$7549,3,0)))</f>
        <v/>
      </c>
      <c r="CL31" s="43" t="str">
        <f>IF(CI31="","",VLOOKUP(CI31,차량가!$I$2:$L$7549,4,0))</f>
        <v/>
      </c>
      <c r="CM31" s="23" t="str">
        <f t="shared" si="2"/>
        <v/>
      </c>
      <c r="CN31" s="325" t="e">
        <f>VLOOKUP(CI31,차량가!I$2:M$7549,5,0)</f>
        <v>#N/A</v>
      </c>
      <c r="CO31" s="334" t="s">
        <v>1401</v>
      </c>
      <c r="CP31" s="331" t="s">
        <v>1361</v>
      </c>
      <c r="CQ31" s="333" t="s">
        <v>1359</v>
      </c>
      <c r="CR31" s="335"/>
      <c r="CS31" s="54"/>
      <c r="CT31" s="72"/>
      <c r="CU31" s="72"/>
    </row>
    <row r="32" spans="1:99" ht="23.25" customHeight="1" thickBot="1">
      <c r="C32" s="647"/>
      <c r="D32" s="647"/>
      <c r="E32" s="110" t="s">
        <v>49</v>
      </c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712"/>
      <c r="AX32" s="91" t="s">
        <v>62</v>
      </c>
      <c r="AY32" s="111">
        <v>0</v>
      </c>
      <c r="AZ32" s="650">
        <f>IF(AY32&gt;AZ33,"초과",BI38)</f>
        <v>0</v>
      </c>
      <c r="BA32" s="650"/>
      <c r="BB32" s="651"/>
      <c r="BC32" s="381"/>
      <c r="BD32" s="565"/>
      <c r="BE32" s="381"/>
      <c r="BF32" s="126">
        <f ca="1">IF(BM10=1,BH132,BH133)</f>
        <v>0.47999999999999993</v>
      </c>
      <c r="BH32" s="3"/>
      <c r="BI32" s="54"/>
      <c r="BJ32" s="54"/>
      <c r="BK32" s="652"/>
      <c r="BL32" s="652"/>
      <c r="BM32" s="34"/>
      <c r="BN32" s="861" t="s">
        <v>1131</v>
      </c>
      <c r="BO32" s="862"/>
      <c r="BP32" s="33">
        <v>1.0500000000000001E-2</v>
      </c>
      <c r="BQ32" s="54"/>
      <c r="BR32" s="54"/>
      <c r="BS32" s="35">
        <v>0.03</v>
      </c>
      <c r="BT32" s="30">
        <v>6.0000000000000001E-3</v>
      </c>
      <c r="BU32" s="23"/>
      <c r="BV32" s="23"/>
      <c r="BW32" s="23"/>
      <c r="BX32" s="23">
        <v>30</v>
      </c>
      <c r="BY32" s="23" t="str">
        <f>IF(BY31="","",IF(VLOOKUP(TEXT(INT(BY31+1),"0000"),차량가!G$2:J$7549,4,0)=$BS$4,TEXT(BY31+1,"0000"),""))</f>
        <v/>
      </c>
      <c r="BZ32" s="23" t="str">
        <f>IF(ISERROR(VLOOKUP(BY32,차량가!G$2:K$6501,5,0)),"",VLOOKUP(BY32,차량가!G$2:K$6501,5,0))</f>
        <v/>
      </c>
      <c r="CA32" s="23" t="str">
        <f>IF(BY32="","",IF(VLOOKUP(TEXT(INT(BY31+1),"0000"),차량가!G$2:J$7549,4,0)=$BS$4,TEXT(BY31+1,"0000"),""))</f>
        <v/>
      </c>
      <c r="CB32" s="23"/>
      <c r="CC32" s="23"/>
      <c r="CD32" s="23"/>
      <c r="CE32" s="23"/>
      <c r="CF32" s="23"/>
      <c r="CG32" s="23"/>
      <c r="CH32" s="23"/>
      <c r="CI32" s="44" t="str">
        <f>IF(CI31="","",IF(VLOOKUP(TEXT(INT(CI31+1),"0000"),차량가!I$2:K$7549,3,0)=$BS$5,TEXT(CI31+1,"0000"),""))</f>
        <v/>
      </c>
      <c r="CJ32" s="43" t="str">
        <f t="shared" si="0"/>
        <v>025</v>
      </c>
      <c r="CK32" s="43" t="str">
        <f>IF(CI32="","",(VLOOKUP(CI32,차량가!$I$2:$K$7549,3,0)))</f>
        <v/>
      </c>
      <c r="CL32" s="43" t="str">
        <f>IF(CI32="","",VLOOKUP(CI32,차량가!$I$2:$L$7549,4,0))</f>
        <v/>
      </c>
      <c r="CM32" s="23" t="str">
        <f t="shared" si="2"/>
        <v/>
      </c>
      <c r="CN32" s="325" t="e">
        <f>VLOOKUP(CI32,차량가!I$2:M$7549,5,0)</f>
        <v>#N/A</v>
      </c>
      <c r="CO32" s="336" t="s">
        <v>1402</v>
      </c>
      <c r="CP32" s="337" t="s">
        <v>1362</v>
      </c>
      <c r="CQ32" s="338" t="s">
        <v>1363</v>
      </c>
      <c r="CR32" s="335"/>
      <c r="CS32" s="54"/>
      <c r="CT32" s="72"/>
      <c r="CU32" s="72"/>
    </row>
    <row r="33" spans="3:99" ht="23.25" customHeight="1">
      <c r="C33" s="112"/>
      <c r="D33" s="112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712"/>
      <c r="AX33" s="113"/>
      <c r="AY33" s="114" t="s">
        <v>1164</v>
      </c>
      <c r="AZ33" s="238">
        <f>IF(BT10=1,13.5%,13.5%)-AY45-IF(BO25=3,0.15%,IF(BO25=4,0.2%,IF(BO25=9,0.22%,IF(BO25=10,1.1%))))</f>
        <v>0.13500000000000001</v>
      </c>
      <c r="BF33" s="144">
        <f ca="1">+MAX(BF31,BF32)</f>
        <v>0.47999999999999993</v>
      </c>
      <c r="BH33" s="54"/>
      <c r="BI33" s="54"/>
      <c r="BJ33" s="54"/>
      <c r="BK33" s="652"/>
      <c r="BL33" s="652"/>
      <c r="BM33" s="34"/>
      <c r="BN33" s="861" t="s">
        <v>3691</v>
      </c>
      <c r="BO33" s="862"/>
      <c r="BP33" s="33">
        <v>1.0999999999999999E-2</v>
      </c>
      <c r="BQ33" s="54"/>
      <c r="BR33" s="54"/>
      <c r="BS33" s="35">
        <v>0.04</v>
      </c>
      <c r="BT33" s="30">
        <v>8.0000000000000002E-3</v>
      </c>
      <c r="BU33" s="23"/>
      <c r="BV33" s="23"/>
      <c r="BW33" s="23"/>
      <c r="BX33" s="23">
        <v>31</v>
      </c>
      <c r="BY33" s="23" t="str">
        <f>IF(BY32="","",IF(VLOOKUP(TEXT(INT(BY32+1),"0000"),차량가!G$2:J$7549,4,0)=$BS$4,TEXT(BY32+1,"0000"),""))</f>
        <v/>
      </c>
      <c r="BZ33" s="23" t="str">
        <f>IF(ISERROR(VLOOKUP(BY33,차량가!G$2:K$6501,5,0)),"",VLOOKUP(BY33,차량가!G$2:K$6501,5,0))</f>
        <v/>
      </c>
      <c r="CA33" s="23" t="str">
        <f>IF(BY33="","",IF(VLOOKUP(TEXT(INT(BY32+1),"0000"),차량가!G$2:J$7549,4,0)=$BS$4,TEXT(BY32+1,"0000"),""))</f>
        <v/>
      </c>
      <c r="CB33" s="23"/>
      <c r="CC33" s="23"/>
      <c r="CD33" s="23"/>
      <c r="CE33" s="23"/>
      <c r="CF33" s="23"/>
      <c r="CG33" s="23"/>
      <c r="CH33" s="23"/>
      <c r="CI33" s="44" t="str">
        <f>IF(CI32="","",IF(VLOOKUP(TEXT(INT(CI32+1),"0000"),차량가!I$2:K$7549,3,0)=$BS$5,TEXT(CI32+1,"0000"),""))</f>
        <v/>
      </c>
      <c r="CJ33" s="43" t="str">
        <f t="shared" si="0"/>
        <v>025</v>
      </c>
      <c r="CK33" s="43" t="str">
        <f>IF(CI33="","",(VLOOKUP(CI33,차량가!$I$2:$K$7549,3,0)))</f>
        <v/>
      </c>
      <c r="CL33" s="43" t="str">
        <f>IF(CI33="","",VLOOKUP(CI33,차량가!$I$2:$L$7549,4,0))</f>
        <v/>
      </c>
      <c r="CM33" s="23" t="str">
        <f t="shared" si="2"/>
        <v/>
      </c>
      <c r="CN33" s="325" t="e">
        <f>VLOOKUP(CI33,차량가!I$2:M$7549,5,0)</f>
        <v>#N/A</v>
      </c>
      <c r="CO33" s="54"/>
      <c r="CP33" s="54"/>
      <c r="CQ33" s="54"/>
      <c r="CR33" s="54"/>
      <c r="CS33" s="54"/>
      <c r="CT33" s="72"/>
      <c r="CU33" s="72"/>
    </row>
    <row r="34" spans="3:99" ht="23.25" customHeight="1">
      <c r="C34" s="115" t="s">
        <v>55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89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V34" s="712"/>
      <c r="AX34" s="91" t="s">
        <v>64</v>
      </c>
      <c r="AY34" s="840"/>
      <c r="AZ34" s="840"/>
      <c r="BA34" s="840"/>
      <c r="BB34" s="841"/>
      <c r="BC34" s="843"/>
      <c r="BD34" s="566"/>
      <c r="BE34" s="526"/>
      <c r="BG34" s="509">
        <f ca="1">BH136</f>
        <v>0.53999999999999992</v>
      </c>
      <c r="BH34" s="54"/>
      <c r="BI34" s="145"/>
      <c r="BJ34" s="54"/>
      <c r="BK34" s="652"/>
      <c r="BL34" s="652"/>
      <c r="BM34" s="34"/>
      <c r="BN34" s="861" t="s">
        <v>3983</v>
      </c>
      <c r="BO34" s="862"/>
      <c r="BP34" s="146">
        <v>1.0999999999999999E-2</v>
      </c>
      <c r="BQ34" s="54"/>
      <c r="BR34" s="54"/>
      <c r="BS34" s="35">
        <v>0.05</v>
      </c>
      <c r="BT34" s="30">
        <v>0.01</v>
      </c>
      <c r="BU34" s="23"/>
      <c r="BV34" s="23"/>
      <c r="BW34" s="23"/>
      <c r="BX34" s="23">
        <v>32</v>
      </c>
      <c r="BY34" s="23" t="str">
        <f>IF(BY33="","",IF(VLOOKUP(TEXT(INT(BY33+1),"0000"),차량가!G$2:J$7549,4,0)=$BS$4,TEXT(BY33+1,"0000"),""))</f>
        <v/>
      </c>
      <c r="BZ34" s="23" t="str">
        <f>IF(ISERROR(VLOOKUP(BY34,차량가!G$2:K$6501,5,0)),"",VLOOKUP(BY34,차량가!G$2:K$6501,5,0))</f>
        <v/>
      </c>
      <c r="CA34" s="23" t="str">
        <f>IF(BY34="","",IF(VLOOKUP(TEXT(INT(BY33+1),"0000"),차량가!G$2:J$7549,4,0)=$BS$4,TEXT(BY33+1,"0000"),""))</f>
        <v/>
      </c>
      <c r="CB34" s="23"/>
      <c r="CC34" s="23"/>
      <c r="CD34" s="23"/>
      <c r="CE34" s="23"/>
      <c r="CF34" s="23"/>
      <c r="CG34" s="23"/>
      <c r="CH34" s="23"/>
      <c r="CI34" s="44" t="str">
        <f>IF(CI33="","",IF(VLOOKUP(TEXT(INT(CI33+1),"0000"),차량가!I$2:K$7549,3,0)=$BS$5,TEXT(CI33+1,"0000"),""))</f>
        <v/>
      </c>
      <c r="CJ34" s="43" t="str">
        <f t="shared" si="0"/>
        <v>025</v>
      </c>
      <c r="CK34" s="43" t="str">
        <f>IF(CI34="","",(VLOOKUP(CI34,차량가!$I$2:$K$7549,3,0)))</f>
        <v/>
      </c>
      <c r="CL34" s="43" t="str">
        <f>IF(CI34="","",VLOOKUP(CI34,차량가!$I$2:$L$7549,4,0))</f>
        <v/>
      </c>
      <c r="CM34" s="23" t="str">
        <f t="shared" si="2"/>
        <v/>
      </c>
      <c r="CN34" s="325" t="e">
        <f>VLOOKUP(CI34,차량가!I$2:M$7549,5,0)</f>
        <v>#N/A</v>
      </c>
      <c r="CO34" s="54"/>
      <c r="CP34" s="54"/>
      <c r="CQ34" s="54"/>
      <c r="CR34" s="54"/>
      <c r="CS34" s="54"/>
      <c r="CT34" s="72"/>
      <c r="CU34" s="72"/>
    </row>
    <row r="35" spans="3:99" ht="23.25" customHeight="1">
      <c r="C35" s="643" t="s">
        <v>0</v>
      </c>
      <c r="D35" s="643"/>
      <c r="E35" s="643"/>
      <c r="F35" s="643"/>
      <c r="G35" s="643"/>
      <c r="H35" s="643"/>
      <c r="I35" s="643"/>
      <c r="J35" s="643"/>
      <c r="K35" s="643"/>
      <c r="L35" s="643"/>
      <c r="M35" s="643"/>
      <c r="N35" s="643"/>
      <c r="O35" s="643"/>
      <c r="P35" s="643"/>
      <c r="Q35" s="643"/>
      <c r="R35" s="643"/>
      <c r="S35" s="643"/>
      <c r="T35" s="643"/>
      <c r="U35" s="643"/>
      <c r="V35" s="643"/>
      <c r="W35" s="643"/>
      <c r="X35" s="643"/>
      <c r="Y35" s="644"/>
      <c r="Z35" s="657" t="s">
        <v>1</v>
      </c>
      <c r="AA35" s="643"/>
      <c r="AB35" s="643"/>
      <c r="AC35" s="643"/>
      <c r="AD35" s="643"/>
      <c r="AE35" s="643"/>
      <c r="AF35" s="643"/>
      <c r="AG35" s="643"/>
      <c r="AH35" s="643"/>
      <c r="AI35" s="643"/>
      <c r="AJ35" s="643"/>
      <c r="AK35" s="643"/>
      <c r="AL35" s="643"/>
      <c r="AM35" s="643"/>
      <c r="AN35" s="643"/>
      <c r="AO35" s="643"/>
      <c r="AP35" s="643"/>
      <c r="AQ35" s="643"/>
      <c r="AR35" s="643"/>
      <c r="AS35" s="643"/>
      <c r="AT35" s="643"/>
      <c r="AU35" s="643"/>
      <c r="AV35" s="712"/>
      <c r="AX35" s="622"/>
      <c r="AY35" s="653"/>
      <c r="AZ35" s="653"/>
      <c r="BA35" s="653"/>
      <c r="BB35" s="654"/>
      <c r="BC35" s="844"/>
      <c r="BD35" s="567"/>
      <c r="BE35" s="527"/>
      <c r="BH35" s="54"/>
      <c r="BI35" s="611"/>
      <c r="BJ35" s="54"/>
      <c r="BK35" s="845"/>
      <c r="BL35" s="845"/>
      <c r="BM35" s="129"/>
      <c r="BN35" s="825" t="s">
        <v>3539</v>
      </c>
      <c r="BO35" s="825"/>
      <c r="BP35" s="146">
        <v>1.32E-2</v>
      </c>
      <c r="BQ35" s="54"/>
      <c r="BR35" s="54"/>
      <c r="BS35" s="35">
        <v>0.06</v>
      </c>
      <c r="BT35" s="30">
        <v>1.2E-2</v>
      </c>
      <c r="BU35" s="23"/>
      <c r="BV35" s="23"/>
      <c r="BW35" s="23"/>
      <c r="BX35" s="23">
        <v>33</v>
      </c>
      <c r="BY35" s="23" t="str">
        <f>IF(BY34="","",IF(VLOOKUP(TEXT(INT(BY34+1),"0000"),차량가!G$2:J$7549,4,0)=$BS$4,TEXT(BY34+1,"0000"),""))</f>
        <v/>
      </c>
      <c r="BZ35" s="23" t="str">
        <f>IF(ISERROR(VLOOKUP(BY35,차량가!G$2:K$6501,5,0)),"",VLOOKUP(BY35,차량가!G$2:K$6501,5,0))</f>
        <v/>
      </c>
      <c r="CA35" s="23" t="str">
        <f>IF(BY35="","",IF(VLOOKUP(TEXT(INT(BY34+1),"0000"),차량가!G$2:J$7549,4,0)=$BS$4,TEXT(BY34+1,"0000"),""))</f>
        <v/>
      </c>
      <c r="CB35" s="23"/>
      <c r="CC35" s="23"/>
      <c r="CD35" s="23"/>
      <c r="CE35" s="23"/>
      <c r="CF35" s="23"/>
      <c r="CG35" s="23"/>
      <c r="CH35" s="23"/>
      <c r="CI35" s="44" t="str">
        <f>IF(CI34="","",IF(VLOOKUP(TEXT(INT(CI34+1),"0000"),차량가!I$2:K$7549,3,0)=$BS$5,TEXT(CI34+1,"0000"),""))</f>
        <v/>
      </c>
      <c r="CJ35" s="43" t="str">
        <f t="shared" si="0"/>
        <v>025</v>
      </c>
      <c r="CK35" s="43" t="str">
        <f>IF(CI35="","",(VLOOKUP(CI35,차량가!$I$2:$K$7549,3,0)))</f>
        <v/>
      </c>
      <c r="CL35" s="43" t="str">
        <f>IF(CI35="","",VLOOKUP(CI35,차량가!$I$2:$L$7549,4,0))</f>
        <v/>
      </c>
      <c r="CM35" s="23" t="str">
        <f t="shared" si="2"/>
        <v/>
      </c>
      <c r="CN35" s="325" t="e">
        <f>VLOOKUP(CI35,차량가!I$2:M$7549,5,0)</f>
        <v>#N/A</v>
      </c>
      <c r="CO35" s="54"/>
      <c r="CP35" s="54"/>
      <c r="CQ35" s="54"/>
      <c r="CR35" s="54"/>
      <c r="CS35" s="54"/>
      <c r="CT35" s="72"/>
      <c r="CU35" s="72"/>
    </row>
    <row r="36" spans="3:99" ht="23.25" customHeight="1">
      <c r="C36" s="78" t="s">
        <v>2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 t="s">
        <v>3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89"/>
      <c r="Z36" s="116" t="s">
        <v>1422</v>
      </c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 t="s">
        <v>1421</v>
      </c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12"/>
      <c r="AZ36" s="252"/>
      <c r="BC36" s="844"/>
      <c r="BD36" s="567"/>
      <c r="BE36" s="527"/>
      <c r="BH36" s="54"/>
      <c r="BI36" s="54">
        <f>($N$16-IF(BR10=1,0,0))*AY32</f>
        <v>0</v>
      </c>
      <c r="BJ36" s="54">
        <f>($N$16-IF(BR10=1,0,0))*AY45</f>
        <v>0</v>
      </c>
      <c r="BK36" s="54">
        <f>(N16-IF(BR10=1,0,0))*BP25</f>
        <v>0</v>
      </c>
      <c r="BL36" s="54"/>
      <c r="BM36" s="54"/>
      <c r="BN36" s="825" t="s">
        <v>1129</v>
      </c>
      <c r="BO36" s="825"/>
      <c r="BP36" s="146">
        <v>1.0999999999999999E-2</v>
      </c>
      <c r="BQ36" s="54"/>
      <c r="BR36" s="54"/>
      <c r="BS36" s="51">
        <v>1</v>
      </c>
      <c r="BT36" s="29"/>
      <c r="BU36" s="23"/>
      <c r="BV36" s="23"/>
      <c r="BW36" s="23"/>
      <c r="BX36" s="23">
        <v>34</v>
      </c>
      <c r="BY36" s="23" t="str">
        <f>IF(BY35="","",IF(VLOOKUP(TEXT(INT(BY35+1),"0000"),차량가!G$2:J$7549,4,0)=$BS$4,TEXT(BY35+1,"0000"),""))</f>
        <v/>
      </c>
      <c r="BZ36" s="23" t="str">
        <f>IF(ISERROR(VLOOKUP(BY36,차량가!G$2:K$6501,5,0)),"",VLOOKUP(BY36,차량가!G$2:K$6501,5,0))</f>
        <v/>
      </c>
      <c r="CA36" s="23" t="str">
        <f>IF(BY36="","",IF(VLOOKUP(TEXT(INT(BY35+1),"0000"),차량가!G$2:J$7549,4,0)=$BS$4,TEXT(BY35+1,"0000"),""))</f>
        <v/>
      </c>
      <c r="CB36" s="23"/>
      <c r="CC36" s="23"/>
      <c r="CD36" s="23"/>
      <c r="CE36" s="23"/>
      <c r="CF36" s="23"/>
      <c r="CG36" s="23"/>
      <c r="CH36" s="23"/>
      <c r="CI36" s="44" t="str">
        <f>IF(CI35="","",IF(VLOOKUP(TEXT(INT(CI35+1),"0000"),차량가!I$2:K$7549,3,0)=$BS$5,TEXT(CI35+1,"0000"),""))</f>
        <v/>
      </c>
      <c r="CJ36" s="43" t="str">
        <f t="shared" si="0"/>
        <v>025</v>
      </c>
      <c r="CK36" s="43" t="str">
        <f>IF(CI36="","",(VLOOKUP(CI36,차량가!$I$2:$K$7549,3,0)))</f>
        <v/>
      </c>
      <c r="CL36" s="43" t="str">
        <f>IF(CI36="","",VLOOKUP(CI36,차량가!$I$2:$L$7549,4,0))</f>
        <v/>
      </c>
      <c r="CM36" s="23" t="str">
        <f t="shared" si="2"/>
        <v/>
      </c>
      <c r="CN36" s="325" t="e">
        <f>VLOOKUP(CI36,차량가!I$2:M$7549,5,0)</f>
        <v>#N/A</v>
      </c>
      <c r="CO36" s="54"/>
      <c r="CP36" s="54"/>
      <c r="CQ36" s="54"/>
      <c r="CR36" s="54"/>
      <c r="CS36" s="54"/>
      <c r="CT36" s="72"/>
      <c r="CU36" s="72"/>
    </row>
    <row r="37" spans="3:99" ht="23.25" customHeight="1">
      <c r="C37" s="78" t="s">
        <v>1423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89"/>
      <c r="Z37" s="116" t="s">
        <v>4</v>
      </c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 t="s">
        <v>5</v>
      </c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12"/>
      <c r="AX37" s="87" t="s">
        <v>2011</v>
      </c>
      <c r="AY37" s="838" t="s">
        <v>1165</v>
      </c>
      <c r="AZ37" s="838"/>
      <c r="BA37" s="650">
        <f>IF(BQ10=1,BI38+BM38,BI38)</f>
        <v>0</v>
      </c>
      <c r="BB37" s="650"/>
      <c r="BH37" s="829" t="s">
        <v>1149</v>
      </c>
      <c r="BI37" s="67" t="s">
        <v>1150</v>
      </c>
      <c r="BJ37" s="67" t="s">
        <v>1151</v>
      </c>
      <c r="BK37" s="67" t="s">
        <v>1152</v>
      </c>
      <c r="BL37" s="67" t="s">
        <v>1153</v>
      </c>
      <c r="BM37" s="67" t="s">
        <v>1143</v>
      </c>
      <c r="BN37" s="825" t="s">
        <v>3688</v>
      </c>
      <c r="BO37" s="825"/>
      <c r="BP37" s="146">
        <v>0.01</v>
      </c>
      <c r="BQ37" s="54"/>
      <c r="BR37" s="54"/>
      <c r="BS37" s="35">
        <f>BS36/100</f>
        <v>0.01</v>
      </c>
      <c r="BT37" s="30">
        <f>VLOOKUP(BS37,$BS$29:$BT$35,2,0)</f>
        <v>2E-3</v>
      </c>
      <c r="BU37" s="23"/>
      <c r="BV37" s="23"/>
      <c r="BW37" s="23"/>
      <c r="BX37" s="23">
        <v>35</v>
      </c>
      <c r="BY37" s="23" t="str">
        <f>IF(BY36="","",IF(VLOOKUP(TEXT(INT(BY36+1),"0000"),차량가!G$2:J$7549,4,0)=$BS$4,TEXT(BY36+1,"0000"),""))</f>
        <v/>
      </c>
      <c r="BZ37" s="23" t="str">
        <f>IF(ISERROR(VLOOKUP(BY37,차량가!G$2:K$6501,5,0)),"",VLOOKUP(BY37,차량가!G$2:K$6501,5,0))</f>
        <v/>
      </c>
      <c r="CA37" s="23" t="str">
        <f>IF(BY37="","",IF(VLOOKUP(TEXT(INT(BY36+1),"0000"),차량가!G$2:J$7549,4,0)=$BS$4,TEXT(BY36+1,"0000"),""))</f>
        <v/>
      </c>
      <c r="CB37" s="23"/>
      <c r="CC37" s="23"/>
      <c r="CD37" s="23"/>
      <c r="CE37" s="23"/>
      <c r="CF37" s="23"/>
      <c r="CG37" s="23"/>
      <c r="CH37" s="23"/>
      <c r="CI37" s="44" t="str">
        <f>IF(CI36="","",IF(VLOOKUP(TEXT(INT(CI36+1),"0000"),차량가!I$2:K$7549,3,0)=$BS$5,TEXT(CI36+1,"0000"),""))</f>
        <v/>
      </c>
      <c r="CJ37" s="43" t="str">
        <f t="shared" si="0"/>
        <v>025</v>
      </c>
      <c r="CK37" s="43" t="str">
        <f>IF(CI37="","",(VLOOKUP(CI37,차량가!$I$2:$K$7549,3,0)))</f>
        <v/>
      </c>
      <c r="CL37" s="43" t="str">
        <f>IF(CI37="","",VLOOKUP(CI37,차량가!$I$2:$L$7549,4,0))</f>
        <v/>
      </c>
      <c r="CM37" s="23" t="str">
        <f t="shared" si="2"/>
        <v/>
      </c>
      <c r="CN37" s="325" t="e">
        <f>VLOOKUP(CI37,차량가!I$2:M$7549,5,0)</f>
        <v>#N/A</v>
      </c>
      <c r="CO37" s="54"/>
      <c r="CP37" s="54"/>
      <c r="CQ37" s="54"/>
      <c r="CR37" s="54"/>
      <c r="CS37" s="54"/>
      <c r="CT37" s="72"/>
      <c r="CU37" s="72"/>
    </row>
    <row r="38" spans="3:99" ht="23.25" customHeight="1" thickBot="1">
      <c r="C38" s="78" t="s">
        <v>6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89"/>
      <c r="Z38" s="116" t="s">
        <v>7</v>
      </c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 t="s">
        <v>8</v>
      </c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12"/>
      <c r="AX38" s="117" t="s">
        <v>1242</v>
      </c>
      <c r="AY38" s="649">
        <f ca="1">IF(BR10=1,RATE(AG11,BC121,-N16+AK16,AK18,0,1%)*12,RATE(AG11,BC121+AK16/AG11,-N16,AK18,0,1%)*12)</f>
        <v>5.4000324486459146E-2</v>
      </c>
      <c r="AZ38" s="649"/>
      <c r="BA38" s="649"/>
      <c r="BB38" s="649"/>
      <c r="BH38" s="829"/>
      <c r="BI38" s="147">
        <f>($N$16-IF(BR10=1,AK16,0))*AY32</f>
        <v>0</v>
      </c>
      <c r="BJ38" s="147">
        <f>($N$16-IF(BR10=1,AK16,0))*AY45</f>
        <v>0</v>
      </c>
      <c r="BK38" s="147">
        <f>(N16-IF(BR10=1,AK16,0))*BP25</f>
        <v>0</v>
      </c>
      <c r="BL38" s="67">
        <f>AY35</f>
        <v>0</v>
      </c>
      <c r="BM38" s="148">
        <f>IF(BO25=9,(N16-IF(BR10=1,AK16,0))*0.2%,(N16-IF(BR10=1,AK16,0))*0.5%)</f>
        <v>215918.15</v>
      </c>
      <c r="BN38" s="825" t="s">
        <v>3692</v>
      </c>
      <c r="BO38" s="825"/>
      <c r="BP38" s="146">
        <v>1.0999999999999999E-2</v>
      </c>
      <c r="BQ38" s="54"/>
      <c r="BR38" s="54"/>
      <c r="BS38" s="35">
        <f>BS37-1%</f>
        <v>0</v>
      </c>
      <c r="BT38" s="30">
        <f>BT37-BT30</f>
        <v>0</v>
      </c>
      <c r="BU38" s="23"/>
      <c r="BV38" s="23"/>
      <c r="BW38" s="23"/>
      <c r="BX38" s="23">
        <v>36</v>
      </c>
      <c r="BY38" s="23" t="str">
        <f>IF(BY37="","",IF(VLOOKUP(TEXT(INT(BY37+1),"0000"),차량가!G$2:J$7549,4,0)=$BS$4,TEXT(BY37+1,"0000"),""))</f>
        <v/>
      </c>
      <c r="BZ38" s="23" t="str">
        <f>IF(ISERROR(VLOOKUP(BY38,차량가!G$2:K$6501,5,0)),"",VLOOKUP(BY38,차량가!G$2:K$6501,5,0))</f>
        <v/>
      </c>
      <c r="CA38" s="23" t="str">
        <f>IF(BY38="","",IF(VLOOKUP(TEXT(INT(BY37+1),"0000"),차량가!G$2:J$7549,4,0)=$BS$4,TEXT(BY37+1,"0000"),""))</f>
        <v/>
      </c>
      <c r="CB38" s="23"/>
      <c r="CC38" s="23"/>
      <c r="CD38" s="23"/>
      <c r="CE38" s="23"/>
      <c r="CF38" s="23"/>
      <c r="CG38" s="23"/>
      <c r="CH38" s="23"/>
      <c r="CI38" s="44" t="str">
        <f>IF(CI37="","",IF(VLOOKUP(TEXT(INT(CI37+1),"0000"),차량가!I$2:K$7549,3,0)=$BS$5,TEXT(CI37+1,"0000"),""))</f>
        <v/>
      </c>
      <c r="CJ38" s="43" t="str">
        <f t="shared" si="0"/>
        <v>025</v>
      </c>
      <c r="CK38" s="43" t="str">
        <f>IF(CI38="","",(VLOOKUP(CI38,차량가!$I$2:$K$7549,3,0)))</f>
        <v/>
      </c>
      <c r="CL38" s="43" t="str">
        <f>IF(CI38="","",VLOOKUP(CI38,차량가!$I$2:$L$7549,4,0))</f>
        <v/>
      </c>
      <c r="CM38" s="23" t="str">
        <f t="shared" si="2"/>
        <v/>
      </c>
      <c r="CN38" s="325" t="e">
        <f>VLOOKUP(CI38,차량가!I$2:M$7549,5,0)</f>
        <v>#N/A</v>
      </c>
      <c r="CO38" s="54"/>
      <c r="CP38" s="54"/>
      <c r="CQ38" s="54"/>
      <c r="CR38" s="54"/>
      <c r="CS38" s="54"/>
      <c r="CT38" s="72"/>
      <c r="CU38" s="72"/>
    </row>
    <row r="39" spans="3:99" ht="22.5" customHeight="1">
      <c r="C39" s="78" t="s">
        <v>9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89"/>
      <c r="Z39" s="116" t="s">
        <v>1350</v>
      </c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 t="s">
        <v>10</v>
      </c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12"/>
      <c r="AX39" s="868" t="s">
        <v>4007</v>
      </c>
      <c r="AY39" s="869"/>
      <c r="AZ39" s="869"/>
      <c r="BA39" s="869"/>
      <c r="BB39" s="870"/>
      <c r="BH39" s="149" t="s">
        <v>1154</v>
      </c>
      <c r="BI39" s="150">
        <f>5.7%-IF(BO154=1,0.3%,0%)+BJ39+BK39+IF(BH10=2,1%,0%)</f>
        <v>5.3999999999999999E-2</v>
      </c>
      <c r="BJ39" s="151">
        <f>IF((AK16+AK17)&gt;K10*0.55,4%,IF((AK16+AK17)&gt;K10*0.5,3%,IF((AK16+AK17)=K10*0.5,2%,0%)))</f>
        <v>0</v>
      </c>
      <c r="BK39" s="152"/>
      <c r="BL39" s="54" t="s">
        <v>1170</v>
      </c>
      <c r="BM39" s="54" t="s">
        <v>1169</v>
      </c>
      <c r="BN39" s="54"/>
      <c r="BO39" s="54"/>
      <c r="BP39" s="54"/>
      <c r="BQ39" s="54"/>
      <c r="BR39" s="54"/>
      <c r="BS39" s="28"/>
      <c r="BT39" s="29"/>
      <c r="BU39" s="23"/>
      <c r="BV39" s="23"/>
      <c r="BW39" s="23"/>
      <c r="BX39" s="23">
        <v>37</v>
      </c>
      <c r="BY39" s="23" t="str">
        <f>IF(BY38="","",IF(VLOOKUP(TEXT(INT(BY38+1),"0000"),차량가!G$2:J$7549,4,0)=$BS$4,TEXT(BY38+1,"0000"),""))</f>
        <v/>
      </c>
      <c r="BZ39" s="23" t="str">
        <f>IF(ISERROR(VLOOKUP(BY39,차량가!G$2:K$6501,5,0)),"",VLOOKUP(BY39,차량가!G$2:K$6501,5,0))</f>
        <v/>
      </c>
      <c r="CA39" s="23" t="str">
        <f>IF(BY39="","",IF(VLOOKUP(TEXT(INT(BY38+1),"0000"),차량가!G$2:J$7549,4,0)=$BS$4,TEXT(BY38+1,"0000"),""))</f>
        <v/>
      </c>
      <c r="CB39" s="23"/>
      <c r="CC39" s="23"/>
      <c r="CD39" s="23"/>
      <c r="CE39" s="23"/>
      <c r="CF39" s="23"/>
      <c r="CG39" s="23"/>
      <c r="CH39" s="23"/>
      <c r="CI39" s="44" t="str">
        <f>IF(CI38="","",IF(VLOOKUP(TEXT(INT(CI38+1),"0000"),차량가!I$2:K$7549,3,0)=$BS$5,TEXT(CI38+1,"0000"),""))</f>
        <v/>
      </c>
      <c r="CJ39" s="43" t="str">
        <f t="shared" si="0"/>
        <v>025</v>
      </c>
      <c r="CK39" s="43" t="str">
        <f>IF(CI39="","",(VLOOKUP(CI39,차량가!$I$2:$K$7549,3,0)))</f>
        <v/>
      </c>
      <c r="CL39" s="43" t="str">
        <f>IF(CI39="","",VLOOKUP(CI39,차량가!$I$2:$L$7549,4,0))</f>
        <v/>
      </c>
      <c r="CM39" s="23" t="str">
        <f t="shared" si="2"/>
        <v/>
      </c>
      <c r="CN39" s="325" t="e">
        <f>VLOOKUP(CI39,차량가!I$2:M$7549,5,0)</f>
        <v>#N/A</v>
      </c>
      <c r="CO39" s="54"/>
      <c r="CP39" s="54"/>
      <c r="CQ39" s="54"/>
      <c r="CR39" s="54"/>
      <c r="CS39" s="54"/>
      <c r="CT39" s="72"/>
      <c r="CU39" s="72"/>
    </row>
    <row r="40" spans="3:99" ht="26.25" customHeight="1">
      <c r="C40" s="78" t="s">
        <v>11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89"/>
      <c r="Z40" s="116" t="s">
        <v>1393</v>
      </c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 t="s">
        <v>50</v>
      </c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12"/>
      <c r="AX40" s="871"/>
      <c r="AY40" s="872"/>
      <c r="AZ40" s="872"/>
      <c r="BA40" s="872"/>
      <c r="BB40" s="873"/>
      <c r="BH40" s="140" t="s">
        <v>1155</v>
      </c>
      <c r="BI40" s="153">
        <f ca="1">RATE(AG11,AG19+AK16/AG11,-N16,AK18,0,1%)*12</f>
        <v>5.761312890071045E-2</v>
      </c>
      <c r="BJ40" s="54"/>
      <c r="BK40" s="54">
        <f>IF(AND(BK155=1,BJ154=1),0,0)</f>
        <v>0</v>
      </c>
      <c r="BL40" s="54"/>
      <c r="BM40" s="54">
        <f>ROUNDDOWN(80000/AG11,0)</f>
        <v>1333</v>
      </c>
      <c r="BN40" s="54"/>
      <c r="BO40" s="54"/>
      <c r="BP40" s="54"/>
      <c r="BQ40" s="54"/>
      <c r="BR40" s="54"/>
      <c r="BS40" s="28"/>
      <c r="BT40" s="29"/>
      <c r="BU40" s="23"/>
      <c r="BV40" s="23"/>
      <c r="BW40" s="23"/>
      <c r="BX40" s="23">
        <v>38</v>
      </c>
      <c r="BY40" s="23" t="str">
        <f>IF(BY39="","",IF(VLOOKUP(TEXT(INT(BY39+1),"0000"),차량가!G$2:J$7549,4,0)=$BS$4,TEXT(BY39+1,"0000"),""))</f>
        <v/>
      </c>
      <c r="BZ40" s="23" t="str">
        <f>IF(ISERROR(VLOOKUP(BY40,차량가!G$2:K$6501,5,0)),"",VLOOKUP(BY40,차량가!G$2:K$6501,5,0))</f>
        <v/>
      </c>
      <c r="CA40" s="23" t="str">
        <f>IF(BY40="","",IF(VLOOKUP(TEXT(INT(BY39+1),"0000"),차량가!G$2:J$7549,4,0)=$BS$4,TEXT(BY39+1,"0000"),""))</f>
        <v/>
      </c>
      <c r="CB40" s="23"/>
      <c r="CC40" s="23"/>
      <c r="CD40" s="23"/>
      <c r="CE40" s="23"/>
      <c r="CF40" s="23"/>
      <c r="CG40" s="23"/>
      <c r="CH40" s="23"/>
      <c r="CI40" s="44" t="str">
        <f>IF(CI39="","",IF(VLOOKUP(TEXT(INT(CI39+1),"0000"),차량가!I$2:K$7549,3,0)=$BS$5,TEXT(CI39+1,"0000"),""))</f>
        <v/>
      </c>
      <c r="CJ40" s="43" t="str">
        <f t="shared" si="0"/>
        <v>025</v>
      </c>
      <c r="CK40" s="43" t="str">
        <f>IF(CI40="","",(VLOOKUP(CI40,차량가!$I$2:$K$7549,3,0)))</f>
        <v/>
      </c>
      <c r="CL40" s="43" t="str">
        <f>IF(CI40="","",VLOOKUP(CI40,차량가!$I$2:$L$7549,4,0))</f>
        <v/>
      </c>
      <c r="CM40" s="23" t="str">
        <f t="shared" si="2"/>
        <v/>
      </c>
      <c r="CN40" s="325" t="e">
        <f>VLOOKUP(CI40,차량가!I$2:M$7549,5,0)</f>
        <v>#N/A</v>
      </c>
      <c r="CO40" s="54"/>
      <c r="CP40" s="54"/>
      <c r="CQ40" s="54"/>
      <c r="CR40" s="54"/>
      <c r="CS40" s="54"/>
      <c r="CT40" s="72"/>
      <c r="CU40" s="72"/>
    </row>
    <row r="41" spans="3:99" ht="20.25" customHeight="1" thickBot="1">
      <c r="C41" s="118" t="s">
        <v>12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9"/>
      <c r="Z41" s="120" t="s">
        <v>1317</v>
      </c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P41" s="78"/>
      <c r="AQ41" s="118"/>
      <c r="AR41" s="666" t="str">
        <f ca="1">IF(AZ115=BB115,"B",IF(BA115=BB115,"C"))</f>
        <v>C</v>
      </c>
      <c r="AS41" s="666"/>
      <c r="AT41" s="121" t="str">
        <f ca="1">LEFT(AX30,1)</f>
        <v>고</v>
      </c>
      <c r="AU41" s="121">
        <v>7</v>
      </c>
      <c r="AV41" s="71"/>
      <c r="AX41" s="874"/>
      <c r="AY41" s="875"/>
      <c r="AZ41" s="875"/>
      <c r="BA41" s="875"/>
      <c r="BB41" s="876"/>
      <c r="BH41" s="140" t="s">
        <v>1156</v>
      </c>
      <c r="BI41" s="154">
        <f>PMT($BI$39/12,AG11,-N16+AK17+AK16+BL38-BI38-BJ38-BK38,AK18-AY27,0)+1</f>
        <v>503762.08922370191</v>
      </c>
      <c r="BJ41" s="54"/>
      <c r="BK41" s="54">
        <f>IF(AND(BM156=1,BL154=1),0,0)</f>
        <v>0</v>
      </c>
      <c r="BL41" s="54"/>
      <c r="BM41" s="54"/>
      <c r="BN41" s="54"/>
      <c r="BO41" s="54"/>
      <c r="BP41" s="54"/>
      <c r="BQ41" s="54"/>
      <c r="BR41" s="54"/>
      <c r="BS41" s="155"/>
      <c r="BT41" s="29"/>
      <c r="BU41" s="23"/>
      <c r="BV41" s="23"/>
      <c r="BW41" s="23"/>
      <c r="BX41" s="23">
        <v>39</v>
      </c>
      <c r="BY41" s="23" t="str">
        <f>IF(BY40="","",IF(VLOOKUP(TEXT(INT(BY40+1),"0000"),차량가!G$2:J$7549,4,0)=$BS$4,TEXT(BY40+1,"0000"),""))</f>
        <v/>
      </c>
      <c r="BZ41" s="23" t="str">
        <f>IF(ISERROR(VLOOKUP(BY41,차량가!G$2:K$6501,5,0)),"",VLOOKUP(BY41,차량가!G$2:K$6501,5,0))</f>
        <v/>
      </c>
      <c r="CA41" s="23" t="str">
        <f>IF(BY41="","",IF(VLOOKUP(TEXT(INT(BY40+1),"0000"),차량가!G$2:J$7549,4,0)=$BS$4,TEXT(BY40+1,"0000"),""))</f>
        <v/>
      </c>
      <c r="CB41" s="23"/>
      <c r="CC41" s="23"/>
      <c r="CD41" s="23"/>
      <c r="CE41" s="23"/>
      <c r="CF41" s="23"/>
      <c r="CG41" s="23"/>
      <c r="CH41" s="23"/>
      <c r="CI41" s="44" t="str">
        <f>IF(CI40="","",IF(VLOOKUP(TEXT(INT(CI40+1),"0000"),차량가!I$2:K$7549,3,0)=$BS$5,TEXT(CI40+1,"0000"),""))</f>
        <v/>
      </c>
      <c r="CJ41" s="43" t="str">
        <f t="shared" si="0"/>
        <v>025</v>
      </c>
      <c r="CK41" s="43" t="str">
        <f>IF(CI41="","",(VLOOKUP(CI41,차량가!$I$2:$K$7549,3,0)))</f>
        <v/>
      </c>
      <c r="CL41" s="43" t="str">
        <f>IF(CI41="","",VLOOKUP(CI41,차량가!$I$2:$L$7549,4,0))</f>
        <v/>
      </c>
      <c r="CM41" s="23" t="str">
        <f t="shared" si="2"/>
        <v/>
      </c>
      <c r="CN41" s="325" t="e">
        <f>VLOOKUP(CI41,차량가!I$2:M$7549,5,0)</f>
        <v>#N/A</v>
      </c>
      <c r="CO41" s="54"/>
      <c r="CP41" s="54"/>
      <c r="CQ41" s="54"/>
      <c r="CR41" s="54"/>
      <c r="CS41" s="54"/>
      <c r="CT41" s="72"/>
      <c r="CU41" s="72"/>
    </row>
    <row r="42" spans="3:99" ht="33" customHeight="1"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303"/>
      <c r="AO42" s="303"/>
      <c r="AP42" s="303"/>
      <c r="AQ42" s="71"/>
      <c r="AR42" s="867" t="s">
        <v>4006</v>
      </c>
      <c r="AS42" s="867"/>
      <c r="AT42" s="867"/>
      <c r="AU42" s="867"/>
      <c r="BH42" s="54" t="s">
        <v>22</v>
      </c>
      <c r="BI42" s="156">
        <f>PMT($BI$39/12,AG11,-N16+0+AK16+BL38-BI38-BJ38-BK38,AK18-0,0)+1</f>
        <v>503762.08922370191</v>
      </c>
      <c r="BJ42" s="156">
        <f>BI42-BI41</f>
        <v>0</v>
      </c>
      <c r="BK42" s="156">
        <f ca="1">AG19+BJ42</f>
        <v>513912</v>
      </c>
      <c r="BL42" s="157">
        <f ca="1">BJ42/BK42</f>
        <v>0</v>
      </c>
      <c r="BM42" s="54"/>
      <c r="BN42" s="54"/>
      <c r="BO42" s="54"/>
      <c r="BP42" s="54"/>
      <c r="BQ42" s="54"/>
      <c r="BR42" s="54"/>
      <c r="BS42" s="155"/>
      <c r="BT42" s="29"/>
      <c r="BU42" s="23"/>
      <c r="BV42" s="23"/>
      <c r="BW42" s="23"/>
      <c r="BX42" s="23">
        <v>40</v>
      </c>
      <c r="BY42" s="23" t="str">
        <f>IF(BY41="","",IF(VLOOKUP(TEXT(INT(BY41+1),"0000"),차량가!G$2:J$7549,4,0)=$BS$4,TEXT(BY41+1,"0000"),""))</f>
        <v/>
      </c>
      <c r="BZ42" s="23" t="str">
        <f>IF(ISERROR(VLOOKUP(BY42,차량가!G$2:K$6501,5,0)),"",VLOOKUP(BY42,차량가!G$2:K$6501,5,0))</f>
        <v/>
      </c>
      <c r="CA42" s="23" t="str">
        <f>IF(BY42="","",IF(VLOOKUP(TEXT(INT(BY41+1),"0000"),차량가!G$2:J$7549,4,0)=$BS$4,TEXT(BY41+1,"0000"),""))</f>
        <v/>
      </c>
      <c r="CB42" s="23"/>
      <c r="CC42" s="23"/>
      <c r="CD42" s="23"/>
      <c r="CE42" s="23"/>
      <c r="CF42" s="23"/>
      <c r="CG42" s="23"/>
      <c r="CH42" s="23"/>
      <c r="CI42" s="581" t="str">
        <f>IF(CI41="","",IF(VLOOKUP(TEXT(INT(CI41+1),"0000"),차량가!I$2:K$7549,3,0)=$BS$5,TEXT(CI41+1,"0000"),""))</f>
        <v/>
      </c>
      <c r="CJ42" s="582" t="str">
        <f t="shared" si="0"/>
        <v>025</v>
      </c>
      <c r="CK42" s="582" t="str">
        <f>IF(CI42="","",(VLOOKUP(CI42,차량가!$I$2:$K$7549,3,0)))</f>
        <v/>
      </c>
      <c r="CL42" s="582" t="str">
        <f>IF(CI42="","",VLOOKUP(CI42,차량가!$I$2:$L$7549,4,0))</f>
        <v/>
      </c>
      <c r="CM42" s="23" t="str">
        <f t="shared" si="2"/>
        <v/>
      </c>
      <c r="CN42" s="325" t="e">
        <f>VLOOKUP(CI42,차량가!I$2:M$7549,5,0)</f>
        <v>#N/A</v>
      </c>
      <c r="CO42" s="54"/>
      <c r="CP42" s="54"/>
      <c r="CQ42" s="54"/>
      <c r="CR42" s="54"/>
      <c r="CS42" s="54"/>
      <c r="CT42" s="72"/>
      <c r="CU42" s="72"/>
    </row>
    <row r="43" spans="3:99" s="533" customFormat="1" ht="18.75" hidden="1" customHeight="1">
      <c r="AX43" s="303"/>
      <c r="BD43" s="583"/>
      <c r="BF43" s="584"/>
      <c r="BG43" s="584"/>
      <c r="BH43" s="585" t="s">
        <v>1238</v>
      </c>
      <c r="BI43" s="586">
        <f>PMT($BI$39/12,AG11,-N16+AK17+0+BL38-BI36-BJ36-BK36,AK18-AY27,0)+1</f>
        <v>503762.08922370191</v>
      </c>
      <c r="BJ43" s="586">
        <f>BI43-BI41</f>
        <v>0</v>
      </c>
      <c r="BK43" s="586">
        <f ca="1">AG19+BJ43</f>
        <v>513912</v>
      </c>
      <c r="BL43" s="587">
        <f ca="1">BJ43/BK43</f>
        <v>0</v>
      </c>
      <c r="BM43" s="585"/>
      <c r="BN43" s="585"/>
      <c r="BO43" s="585"/>
      <c r="BP43" s="585"/>
      <c r="BQ43" s="585"/>
      <c r="BR43" s="585"/>
      <c r="BS43" s="588"/>
      <c r="BT43" s="589"/>
      <c r="BU43" s="590"/>
      <c r="BV43" s="590"/>
      <c r="BW43" s="590"/>
      <c r="BX43" s="590">
        <v>41</v>
      </c>
      <c r="BY43" s="590" t="str">
        <f>IF(BY42="","",IF(VLOOKUP(TEXT(INT(BY42+1),"0000"),차량가!G$2:J$7549,4,0)=$BS$4,TEXT(BY42+1,"0000"),""))</f>
        <v/>
      </c>
      <c r="BZ43" s="590" t="str">
        <f>IF(ISERROR(VLOOKUP(BY43,차량가!G$2:K$6501,5,0)),"",VLOOKUP(BY43,차량가!G$2:K$6501,5,0))</f>
        <v/>
      </c>
      <c r="CA43" s="590" t="str">
        <f>IF(BY43="","",IF(VLOOKUP(TEXT(INT(BY42+1),"0000"),차량가!G$2:J$7549,4,0)=$BS$4,TEXT(BY42+1,"0000"),""))</f>
        <v/>
      </c>
      <c r="CB43" s="590"/>
      <c r="CC43" s="590"/>
      <c r="CD43" s="590"/>
      <c r="CE43" s="590"/>
      <c r="CF43" s="590"/>
      <c r="CG43" s="590"/>
      <c r="CH43" s="590"/>
      <c r="CI43" s="44" t="str">
        <f>IF(CI42="","",IF(VLOOKUP(TEXT(INT(CI42+1),"0000"),차량가!I$2:K$7549,3,0)=$BS$5,TEXT(CI42+1,"0000"),""))</f>
        <v/>
      </c>
      <c r="CJ43" s="43" t="str">
        <f t="shared" si="0"/>
        <v>025</v>
      </c>
      <c r="CK43" s="43" t="str">
        <f>IF(CI43="","",(VLOOKUP(CI43,차량가!$I$2:$K$7549,3,0)))</f>
        <v/>
      </c>
      <c r="CL43" s="43" t="str">
        <f>IF(CI43="","",VLOOKUP(CI43,차량가!$I$2:$L$7549,4,0))</f>
        <v/>
      </c>
      <c r="CM43" s="590" t="str">
        <f t="shared" si="2"/>
        <v/>
      </c>
      <c r="CN43" s="591" t="e">
        <f>VLOOKUP(CI43,차량가!I$2:M$7549,5,0)</f>
        <v>#N/A</v>
      </c>
      <c r="CO43" s="585"/>
      <c r="CP43" s="585"/>
      <c r="CQ43" s="585"/>
      <c r="CR43" s="585"/>
      <c r="CS43" s="585"/>
      <c r="CT43" s="592"/>
      <c r="CU43" s="592"/>
    </row>
    <row r="44" spans="3:99" hidden="1"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155"/>
      <c r="BT44" s="29"/>
      <c r="BU44" s="23"/>
      <c r="BV44" s="23"/>
      <c r="BW44" s="23"/>
      <c r="BX44" s="23">
        <v>42</v>
      </c>
      <c r="BY44" s="23" t="str">
        <f>IF(BY43="","",IF(VLOOKUP(TEXT(INT(BY43+1),"0000"),차량가!G$2:J$7549,4,0)=$BS$4,TEXT(BY43+1,"0000"),""))</f>
        <v/>
      </c>
      <c r="BZ44" s="23" t="str">
        <f>IF(ISERROR(VLOOKUP(BY44,차량가!G$2:K$6501,5,0)),"",VLOOKUP(BY44,차량가!G$2:K$6501,5,0))</f>
        <v/>
      </c>
      <c r="CA44" s="23" t="str">
        <f>IF(BY44="","",IF(VLOOKUP(TEXT(INT(BY43+1),"0000"),차량가!G$2:J$7549,4,0)=$BS$4,TEXT(BY43+1,"0000"),""))</f>
        <v/>
      </c>
      <c r="CB44" s="23"/>
      <c r="CC44" s="23"/>
      <c r="CD44" s="23"/>
      <c r="CE44" s="23"/>
      <c r="CF44" s="23"/>
      <c r="CG44" s="23"/>
      <c r="CH44" s="23"/>
      <c r="CI44" s="44" t="str">
        <f>IF(CI43="","",IF(VLOOKUP(TEXT(INT(CI43+1),"0000"),차량가!I$2:K$7549,3,0)=$BS$5,TEXT(CI43+1,"0000"),""))</f>
        <v/>
      </c>
      <c r="CJ44" s="43" t="str">
        <f t="shared" si="0"/>
        <v>025</v>
      </c>
      <c r="CK44" s="43" t="str">
        <f>IF(CI44="","",(VLOOKUP(CI44,차량가!$I$2:$K$7549,3,0)))</f>
        <v/>
      </c>
      <c r="CL44" s="43" t="str">
        <f>IF(CI44="","",VLOOKUP(CI44,차량가!$I$2:$L$7549,4,0))</f>
        <v/>
      </c>
      <c r="CM44" s="23" t="str">
        <f t="shared" si="2"/>
        <v/>
      </c>
      <c r="CN44" s="325" t="e">
        <f>VLOOKUP(CI44,차량가!I$2:M$7549,5,0)</f>
        <v>#N/A</v>
      </c>
      <c r="CO44" s="54"/>
      <c r="CP44" s="54"/>
      <c r="CQ44" s="54"/>
      <c r="CR44" s="54"/>
      <c r="CS44" s="54"/>
      <c r="CT44" s="72"/>
      <c r="CU44" s="72"/>
    </row>
    <row r="45" spans="3:99" ht="19.5" hidden="1" customHeight="1">
      <c r="AX45" s="87" t="s">
        <v>63</v>
      </c>
      <c r="AY45" s="111">
        <v>0</v>
      </c>
      <c r="AZ45" s="827"/>
      <c r="BA45" s="827"/>
      <c r="BB45" s="827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155"/>
      <c r="BT45" s="29"/>
      <c r="BU45" s="23"/>
      <c r="BV45" s="23"/>
      <c r="BW45" s="23"/>
      <c r="BX45" s="23">
        <v>43</v>
      </c>
      <c r="BY45" s="23" t="str">
        <f>IF(BY44="","",IF(VLOOKUP(TEXT(INT(BY44+1),"0000"),차량가!G$2:J$7549,4,0)=$BS$4,TEXT(BY44+1,"0000"),""))</f>
        <v/>
      </c>
      <c r="BZ45" s="23" t="str">
        <f>IF(ISERROR(VLOOKUP(BY45,차량가!G$2:K$6501,5,0)),"",VLOOKUP(BY45,차량가!G$2:K$6501,5,0))</f>
        <v/>
      </c>
      <c r="CA45" s="23" t="str">
        <f>IF(BY45="","",IF(VLOOKUP(TEXT(INT(BY44+1),"0000"),차량가!G$2:J$7549,4,0)=$BS$4,TEXT(BY44+1,"0000"),""))</f>
        <v/>
      </c>
      <c r="CB45" s="23"/>
      <c r="CC45" s="23"/>
      <c r="CD45" s="23"/>
      <c r="CE45" s="23"/>
      <c r="CF45" s="23"/>
      <c r="CG45" s="23"/>
      <c r="CH45" s="23"/>
      <c r="CI45" s="44" t="str">
        <f>IF(CI44="","",IF(VLOOKUP(TEXT(INT(CI44+1),"0000"),차량가!I$2:K$7549,3,0)=$BS$5,TEXT(CI44+1,"0000"),""))</f>
        <v/>
      </c>
      <c r="CJ45" s="43" t="str">
        <f t="shared" si="0"/>
        <v>025</v>
      </c>
      <c r="CK45" s="43" t="str">
        <f>IF(CI45="","",(VLOOKUP(CI45,차량가!$I$2:$K$7549,3,0)))</f>
        <v/>
      </c>
      <c r="CL45" s="43" t="str">
        <f>IF(CI45="","",VLOOKUP(CI45,차량가!$I$2:$L$7549,4,0))</f>
        <v/>
      </c>
      <c r="CM45" s="23" t="str">
        <f t="shared" si="2"/>
        <v/>
      </c>
      <c r="CN45" s="325" t="e">
        <f>VLOOKUP(CI45,차량가!I$2:M$7549,5,0)</f>
        <v>#N/A</v>
      </c>
      <c r="CO45" s="54"/>
      <c r="CP45" s="54"/>
      <c r="CQ45" s="54"/>
      <c r="CR45" s="54"/>
      <c r="CS45" s="54"/>
      <c r="CT45" s="72"/>
      <c r="CU45" s="72"/>
    </row>
    <row r="46" spans="3:99" ht="18" hidden="1" customHeight="1">
      <c r="BH46" s="54"/>
      <c r="BI46" s="158">
        <f ca="1">+BI41+BM140</f>
        <v>513912.08922370191</v>
      </c>
      <c r="BJ46" s="54"/>
      <c r="BK46" s="54"/>
      <c r="BL46" s="54"/>
      <c r="BM46" s="54"/>
      <c r="BN46" s="54"/>
      <c r="BO46" s="54"/>
      <c r="BP46" s="54"/>
      <c r="BQ46" s="54"/>
      <c r="BR46" s="54"/>
      <c r="BS46" s="155"/>
      <c r="BT46" s="29"/>
      <c r="BU46" s="23"/>
      <c r="BV46" s="23"/>
      <c r="BW46" s="23"/>
      <c r="BX46" s="23">
        <v>44</v>
      </c>
      <c r="BY46" s="23" t="str">
        <f>IF(BY45="","",IF(VLOOKUP(TEXT(INT(BY45+1),"0000"),차량가!G$2:J$7549,4,0)=$BS$4,TEXT(BY45+1,"0000"),""))</f>
        <v/>
      </c>
      <c r="BZ46" s="23" t="str">
        <f>IF(ISERROR(VLOOKUP(BY46,차량가!G$2:K$6501,5,0)),"",VLOOKUP(BY46,차량가!G$2:K$6501,5,0))</f>
        <v/>
      </c>
      <c r="CA46" s="23" t="str">
        <f>IF(BY46="","",IF(VLOOKUP(TEXT(INT(BY45+1),"0000"),차량가!G$2:J$7549,4,0)=$BS$4,TEXT(BY45+1,"0000"),""))</f>
        <v/>
      </c>
      <c r="CB46" s="23"/>
      <c r="CC46" s="23"/>
      <c r="CD46" s="23"/>
      <c r="CE46" s="23"/>
      <c r="CF46" s="23"/>
      <c r="CG46" s="23"/>
      <c r="CH46" s="23"/>
      <c r="CI46" s="44" t="str">
        <f>IF(CI45="","",IF(VLOOKUP(TEXT(INT(CI45+1),"0000"),차량가!I$2:K$7549,3,0)=$BS$5,TEXT(CI45+1,"0000"),""))</f>
        <v/>
      </c>
      <c r="CJ46" s="43" t="str">
        <f t="shared" si="0"/>
        <v>025</v>
      </c>
      <c r="CK46" s="43" t="str">
        <f>IF(CI46="","",(VLOOKUP(CI46,차량가!$I$2:$K$7549,3,0)))</f>
        <v/>
      </c>
      <c r="CL46" s="43" t="str">
        <f>IF(CI46="","",VLOOKUP(CI46,차량가!$I$2:$L$7549,4,0))</f>
        <v/>
      </c>
      <c r="CM46" s="23" t="str">
        <f t="shared" si="2"/>
        <v/>
      </c>
      <c r="CN46" s="325" t="e">
        <f>VLOOKUP(CI46,차량가!I$2:M$7549,5,0)</f>
        <v>#N/A</v>
      </c>
      <c r="CO46" s="54"/>
      <c r="CP46" s="54"/>
      <c r="CQ46" s="54"/>
      <c r="CR46" s="54"/>
      <c r="CS46" s="54"/>
      <c r="CT46" s="72"/>
      <c r="CU46" s="72"/>
    </row>
    <row r="47" spans="3:99" hidden="1">
      <c r="AV47" s="71"/>
      <c r="AW47" s="71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155"/>
      <c r="BT47" s="29"/>
      <c r="BU47" s="23"/>
      <c r="BV47" s="23"/>
      <c r="BW47" s="23"/>
      <c r="BX47" s="23">
        <v>45</v>
      </c>
      <c r="BY47" s="23" t="str">
        <f>IF(BY46="","",IF(VLOOKUP(TEXT(INT(BY46+1),"0000"),차량가!G$2:J$7549,4,0)=$BS$4,TEXT(BY46+1,"0000"),""))</f>
        <v/>
      </c>
      <c r="BZ47" s="23" t="str">
        <f>IF(ISERROR(VLOOKUP(BY47,차량가!G$2:K$6501,5,0)),"",VLOOKUP(BY47,차량가!G$2:K$6501,5,0))</f>
        <v/>
      </c>
      <c r="CA47" s="23" t="str">
        <f>IF(BY47="","",IF(VLOOKUP(TEXT(INT(BY46+1),"0000"),차량가!G$2:J$7549,4,0)=$BS$4,TEXT(BY46+1,"0000"),""))</f>
        <v/>
      </c>
      <c r="CB47" s="23"/>
      <c r="CC47" s="23"/>
      <c r="CD47" s="23"/>
      <c r="CE47" s="23"/>
      <c r="CF47" s="23"/>
      <c r="CG47" s="23"/>
      <c r="CH47" s="23"/>
      <c r="CI47" s="44" t="str">
        <f>IF(CI46="","",IF(VLOOKUP(TEXT(INT(CI46+1),"0000"),차량가!I$2:K$7549,3,0)=$BS$5,TEXT(CI46+1,"0000"),""))</f>
        <v/>
      </c>
      <c r="CJ47" s="43" t="str">
        <f t="shared" si="0"/>
        <v>025</v>
      </c>
      <c r="CK47" s="43" t="str">
        <f>IF(CI47="","",(VLOOKUP(CI47,차량가!$I$2:$K$7549,3,0)))</f>
        <v/>
      </c>
      <c r="CL47" s="43" t="str">
        <f>IF(CI47="","",VLOOKUP(CI47,차량가!$I$2:$L$7549,4,0))</f>
        <v/>
      </c>
      <c r="CM47" s="23" t="str">
        <f t="shared" si="2"/>
        <v/>
      </c>
      <c r="CN47" s="325" t="e">
        <f>VLOOKUP(CI47,차량가!I$2:M$7549,5,0)</f>
        <v>#N/A</v>
      </c>
      <c r="CO47" s="54"/>
      <c r="CP47" s="54"/>
      <c r="CQ47" s="54"/>
      <c r="CR47" s="54"/>
      <c r="CS47" s="54"/>
      <c r="CT47" s="72"/>
      <c r="CU47" s="72"/>
    </row>
    <row r="48" spans="3:99" hidden="1">
      <c r="AV48" s="71"/>
      <c r="AW48" s="71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155"/>
      <c r="BT48" s="29"/>
      <c r="BU48" s="23"/>
      <c r="BV48" s="23"/>
      <c r="BW48" s="23"/>
      <c r="BX48" s="23">
        <v>46</v>
      </c>
      <c r="BY48" s="23" t="str">
        <f>IF(BY47="","",IF(VLOOKUP(TEXT(INT(BY47+1),"0000"),차량가!G$2:J$7549,4,0)=$BS$4,TEXT(BY47+1,"0000"),""))</f>
        <v/>
      </c>
      <c r="BZ48" s="23" t="str">
        <f>IF(ISERROR(VLOOKUP(BY48,차량가!G$2:K$6501,5,0)),"",VLOOKUP(BY48,차량가!G$2:K$6501,5,0))</f>
        <v/>
      </c>
      <c r="CA48" s="23" t="str">
        <f>IF(BY48="","",IF(VLOOKUP(TEXT(INT(BY47+1),"0000"),차량가!G$2:J$7549,4,0)=$BS$4,TEXT(BY47+1,"0000"),""))</f>
        <v/>
      </c>
      <c r="CB48" s="23"/>
      <c r="CC48" s="23"/>
      <c r="CD48" s="23"/>
      <c r="CE48" s="23"/>
      <c r="CF48" s="23"/>
      <c r="CG48" s="23"/>
      <c r="CH48" s="23"/>
      <c r="CI48" s="44" t="str">
        <f>IF(CI47="","",IF(VLOOKUP(TEXT(INT(CI47+1),"0000"),차량가!I$2:K$7549,3,0)=$BS$5,TEXT(CI47+1,"0000"),""))</f>
        <v/>
      </c>
      <c r="CJ48" s="43" t="str">
        <f t="shared" si="0"/>
        <v>025</v>
      </c>
      <c r="CK48" s="43" t="str">
        <f>IF(CI48="","",(VLOOKUP(CI48,차량가!$I$2:$K$7549,3,0)))</f>
        <v/>
      </c>
      <c r="CL48" s="43" t="str">
        <f>IF(CI48="","",VLOOKUP(CI48,차량가!$I$2:$L$7549,4,0))</f>
        <v/>
      </c>
      <c r="CM48" s="23" t="str">
        <f t="shared" si="2"/>
        <v/>
      </c>
      <c r="CN48" s="325" t="e">
        <f>VLOOKUP(CI48,차량가!I$2:M$7549,5,0)</f>
        <v>#N/A</v>
      </c>
      <c r="CO48" s="54"/>
      <c r="CP48" s="54"/>
      <c r="CQ48" s="54"/>
      <c r="CR48" s="54"/>
      <c r="CS48" s="54"/>
      <c r="CT48" s="72"/>
      <c r="CU48" s="72"/>
    </row>
    <row r="49" spans="50:99" hidden="1">
      <c r="AY49" s="842"/>
      <c r="AZ49" s="842"/>
      <c r="BA49" s="826"/>
      <c r="BB49" s="826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155"/>
      <c r="BT49" s="29"/>
      <c r="BU49" s="23"/>
      <c r="BV49" s="23"/>
      <c r="BW49" s="23"/>
      <c r="BX49" s="23">
        <v>47</v>
      </c>
      <c r="BY49" s="23" t="str">
        <f>IF(BY48="","",IF(VLOOKUP(TEXT(INT(BY48+1),"0000"),차량가!G$2:J$7549,4,0)=$BS$4,TEXT(BY48+1,"0000"),""))</f>
        <v/>
      </c>
      <c r="BZ49" s="23" t="str">
        <f>IF(ISERROR(VLOOKUP(BY49,차량가!G$2:K$6501,5,0)),"",VLOOKUP(BY49,차량가!G$2:K$6501,5,0))</f>
        <v/>
      </c>
      <c r="CA49" s="23" t="str">
        <f>IF(BY49="","",IF(VLOOKUP(TEXT(INT(BY48+1),"0000"),차량가!G$2:J$7549,4,0)=$BS$4,TEXT(BY48+1,"0000"),""))</f>
        <v/>
      </c>
      <c r="CB49" s="23"/>
      <c r="CC49" s="23"/>
      <c r="CD49" s="23"/>
      <c r="CE49" s="23"/>
      <c r="CF49" s="23"/>
      <c r="CG49" s="23"/>
      <c r="CH49" s="23"/>
      <c r="CI49" s="44" t="str">
        <f>IF(CI48="","",IF(VLOOKUP(TEXT(INT(CI48+1),"0000"),차량가!I$2:K$7549,3,0)=$BS$5,TEXT(CI48+1,"0000"),""))</f>
        <v/>
      </c>
      <c r="CJ49" s="43" t="str">
        <f t="shared" si="0"/>
        <v>025</v>
      </c>
      <c r="CK49" s="43" t="str">
        <f>IF(CI49="","",(VLOOKUP(CI49,차량가!$I$2:$K$7549,3,0)))</f>
        <v/>
      </c>
      <c r="CL49" s="43" t="str">
        <f>IF(CI49="","",VLOOKUP(CI49,차량가!$I$2:$L$7549,4,0))</f>
        <v/>
      </c>
      <c r="CM49" s="23" t="str">
        <f t="shared" si="2"/>
        <v/>
      </c>
      <c r="CN49" s="325" t="e">
        <f>VLOOKUP(CI49,차량가!I$2:M$7549,5,0)</f>
        <v>#N/A</v>
      </c>
      <c r="CO49" s="54"/>
      <c r="CP49" s="54"/>
      <c r="CQ49" s="54"/>
      <c r="CR49" s="54"/>
      <c r="CS49" s="54"/>
      <c r="CT49" s="72"/>
      <c r="CU49" s="72"/>
    </row>
    <row r="50" spans="50:99" hidden="1">
      <c r="AY50" s="842"/>
      <c r="AZ50" s="842"/>
      <c r="BA50" s="826"/>
      <c r="BB50" s="826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155"/>
      <c r="BT50" s="29"/>
      <c r="BU50" s="23"/>
      <c r="BV50" s="23"/>
      <c r="BW50" s="23"/>
      <c r="BX50" s="23">
        <v>48</v>
      </c>
      <c r="BY50" s="23" t="str">
        <f>IF(BY49="","",IF(VLOOKUP(TEXT(INT(BY49+1),"0000"),차량가!G$2:J$7549,4,0)=$BS$4,TEXT(BY49+1,"0000"),""))</f>
        <v/>
      </c>
      <c r="BZ50" s="23" t="str">
        <f>IF(ISERROR(VLOOKUP(BY50,차량가!G$2:K$6501,5,0)),"",VLOOKUP(BY50,차량가!G$2:K$6501,5,0))</f>
        <v/>
      </c>
      <c r="CA50" s="23" t="str">
        <f>IF(BY50="","",IF(VLOOKUP(TEXT(INT(BY49+1),"0000"),차량가!G$2:J$7549,4,0)=$BS$4,TEXT(BY49+1,"0000"),""))</f>
        <v/>
      </c>
      <c r="CB50" s="23"/>
      <c r="CC50" s="23"/>
      <c r="CD50" s="23"/>
      <c r="CE50" s="23"/>
      <c r="CF50" s="23"/>
      <c r="CG50" s="23"/>
      <c r="CH50" s="23"/>
      <c r="CI50" s="44" t="str">
        <f>IF(CI49="","",IF(VLOOKUP(TEXT(INT(CI49+1),"0000"),차량가!I$2:K$7549,3,0)=$BS$5,TEXT(CI49+1,"0000"),""))</f>
        <v/>
      </c>
      <c r="CJ50" s="43" t="str">
        <f t="shared" si="0"/>
        <v>025</v>
      </c>
      <c r="CK50" s="43" t="str">
        <f>IF(CI50="","",(VLOOKUP(CI50,차량가!$I$2:$K$7549,3,0)))</f>
        <v/>
      </c>
      <c r="CL50" s="43" t="str">
        <f>IF(CI50="","",VLOOKUP(CI50,차량가!$I$2:$L$7549,4,0))</f>
        <v/>
      </c>
      <c r="CM50" s="23" t="str">
        <f t="shared" si="2"/>
        <v/>
      </c>
      <c r="CN50" s="325" t="e">
        <f>VLOOKUP(CI50,차량가!I$2:M$7549,5,0)</f>
        <v>#N/A</v>
      </c>
      <c r="CO50" s="54"/>
      <c r="CP50" s="54"/>
      <c r="CQ50" s="54"/>
      <c r="CR50" s="54"/>
      <c r="CS50" s="54"/>
      <c r="CT50" s="72"/>
      <c r="CU50" s="72"/>
    </row>
    <row r="51" spans="50:99" hidden="1">
      <c r="BH51" s="135" t="s">
        <v>1157</v>
      </c>
      <c r="BI51" s="135"/>
      <c r="BJ51" s="135" t="s">
        <v>2017</v>
      </c>
      <c r="BK51" s="135"/>
      <c r="BL51" s="135"/>
      <c r="BM51" s="135"/>
      <c r="BN51" s="135"/>
      <c r="BO51" s="135"/>
      <c r="BP51" s="135"/>
      <c r="BQ51" s="135"/>
      <c r="BR51" s="129"/>
      <c r="BS51" s="129"/>
      <c r="BT51" s="129"/>
      <c r="BU51" s="129"/>
      <c r="BV51" s="129"/>
      <c r="BW51" s="129"/>
      <c r="BX51" s="23">
        <v>49</v>
      </c>
      <c r="BY51" s="23" t="str">
        <f>IF(BY50="","",IF(VLOOKUP(TEXT(INT(BY50+1),"0000"),차량가!G$2:J$7549,4,0)=$BS$4,TEXT(BY50+1,"0000"),""))</f>
        <v/>
      </c>
      <c r="BZ51" s="23" t="str">
        <f>IF(ISERROR(VLOOKUP(BY51,차량가!G$2:K$6501,5,0)),"",VLOOKUP(BY51,차량가!G$2:K$6501,5,0))</f>
        <v/>
      </c>
      <c r="CA51" s="23" t="str">
        <f>IF(BY51="","",IF(VLOOKUP(TEXT(INT(BY50+1),"0000"),차량가!G$2:J$7549,4,0)=$BS$4,TEXT(BY50+1,"0000"),""))</f>
        <v/>
      </c>
      <c r="CB51" s="28"/>
      <c r="CC51" s="28"/>
      <c r="CD51" s="28"/>
      <c r="CE51" s="28"/>
      <c r="CF51" s="28"/>
      <c r="CG51" s="28"/>
      <c r="CH51" s="23"/>
      <c r="CI51" s="44" t="str">
        <f>IF(CI50="","",IF(VLOOKUP(TEXT(INT(CI50+1),"0000"),차량가!I$2:K$7549,3,0)=$BS$5,TEXT(CI50+1,"0000"),""))</f>
        <v/>
      </c>
      <c r="CJ51" s="43" t="str">
        <f t="shared" si="0"/>
        <v>025</v>
      </c>
      <c r="CK51" s="43" t="str">
        <f>IF(CI51="","",(VLOOKUP(CI51,차량가!$I$2:$K$7549,3,0)))</f>
        <v/>
      </c>
      <c r="CL51" s="43" t="str">
        <f>IF(CI51="","",VLOOKUP(CI51,차량가!$I$2:$L$7549,4,0))</f>
        <v/>
      </c>
      <c r="CM51" s="23" t="str">
        <f t="shared" si="2"/>
        <v/>
      </c>
      <c r="CN51" s="325" t="e">
        <f>VLOOKUP(CI51,차량가!I$2:M$7549,5,0)</f>
        <v>#N/A</v>
      </c>
      <c r="CO51" s="54"/>
      <c r="CP51" s="54"/>
      <c r="CQ51" s="54"/>
      <c r="CR51" s="54"/>
      <c r="CS51" s="54"/>
      <c r="CT51" s="72"/>
      <c r="CU51" s="72"/>
    </row>
    <row r="52" spans="50:99" hidden="1"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29"/>
      <c r="BS52" s="129"/>
      <c r="BT52" s="129"/>
      <c r="BU52" s="129"/>
      <c r="BV52" s="129"/>
      <c r="BW52" s="129"/>
      <c r="BX52" s="23">
        <v>50</v>
      </c>
      <c r="BY52" s="23" t="str">
        <f>IF(BY51="","",IF(VLOOKUP(TEXT(INT(BY51+1),"0000"),차량가!G$2:J$7549,4,0)=$BS$4,TEXT(BY51+1,"0000"),""))</f>
        <v/>
      </c>
      <c r="BZ52" s="23" t="str">
        <f>IF(ISERROR(VLOOKUP(BY52,차량가!G$2:K$6501,5,0)),"",VLOOKUP(BY52,차량가!G$2:K$6501,5,0))</f>
        <v/>
      </c>
      <c r="CA52" s="23" t="str">
        <f>IF(BY52="","",IF(VLOOKUP(TEXT(INT(BY51+1),"0000"),차량가!G$2:J$7549,4,0)=$BS$4,TEXT(BY51+1,"0000"),""))</f>
        <v/>
      </c>
      <c r="CB52" s="28"/>
      <c r="CC52" s="28"/>
      <c r="CD52" s="28"/>
      <c r="CE52" s="28"/>
      <c r="CF52" s="28"/>
      <c r="CG52" s="28"/>
      <c r="CH52" s="23"/>
      <c r="CI52" s="44" t="str">
        <f>IF(CI51="","",IF(VLOOKUP(TEXT(INT(CI51+1),"0000"),차량가!I$2:K$7549,3,0)=$BS$5,TEXT(CI51+1,"0000"),""))</f>
        <v/>
      </c>
      <c r="CJ52" s="43" t="str">
        <f t="shared" si="0"/>
        <v>025</v>
      </c>
      <c r="CK52" s="43" t="str">
        <f>IF(CI52="","",(VLOOKUP(CI52,차량가!$I$2:$K$7549,3,0)))</f>
        <v/>
      </c>
      <c r="CL52" s="43" t="str">
        <f>IF(CI52="","",VLOOKUP(CI52,차량가!$I$2:$L$7549,4,0))</f>
        <v/>
      </c>
      <c r="CM52" s="23" t="str">
        <f t="shared" si="2"/>
        <v/>
      </c>
      <c r="CN52" s="325" t="e">
        <f>VLOOKUP(CI52,차량가!I$2:M$7549,5,0)</f>
        <v>#N/A</v>
      </c>
      <c r="CO52" s="54"/>
      <c r="CP52" s="54"/>
      <c r="CQ52" s="54"/>
      <c r="CR52" s="54"/>
      <c r="CS52" s="54"/>
      <c r="CT52" s="72"/>
      <c r="CU52" s="72"/>
    </row>
    <row r="53" spans="50:99" hidden="1">
      <c r="BH53" s="135">
        <v>24</v>
      </c>
      <c r="BI53" s="159">
        <v>0.6</v>
      </c>
      <c r="BJ53" s="159">
        <v>0.57999999999999996</v>
      </c>
      <c r="BK53" s="159">
        <v>0.55999999999999994</v>
      </c>
      <c r="BL53" s="159">
        <v>0.51999999999999991</v>
      </c>
      <c r="BM53" s="159">
        <v>0.49999999999999994</v>
      </c>
      <c r="BN53" s="159">
        <v>0.46999999999999992</v>
      </c>
      <c r="BO53" s="159">
        <v>0.43999999999999984</v>
      </c>
      <c r="BP53" s="135"/>
      <c r="BQ53" s="135"/>
      <c r="BR53" s="160"/>
      <c r="BS53" s="160"/>
      <c r="BT53" s="160"/>
      <c r="BU53" s="160"/>
      <c r="BV53" s="160"/>
      <c r="BW53" s="160"/>
      <c r="BX53" s="23">
        <v>51</v>
      </c>
      <c r="BY53" s="23" t="str">
        <f>IF(BY52="","",IF(VLOOKUP(TEXT(INT(BY52+1),"0000"),차량가!G$2:J$7549,4,0)=$BS$4,TEXT(BY52+1,"0000"),""))</f>
        <v/>
      </c>
      <c r="BZ53" s="23" t="str">
        <f>IF(ISERROR(VLOOKUP(BY53,차량가!G$2:K$6501,5,0)),"",VLOOKUP(BY53,차량가!G$2:K$6501,5,0))</f>
        <v/>
      </c>
      <c r="CA53" s="23" t="str">
        <f>IF(BY53="","",IF(VLOOKUP(TEXT(INT(BY52+1),"0000"),차량가!G$2:J$7549,4,0)=$BS$4,TEXT(BY52+1,"0000"),""))</f>
        <v/>
      </c>
      <c r="CB53" s="28"/>
      <c r="CC53" s="28"/>
      <c r="CD53" s="28"/>
      <c r="CE53" s="28"/>
      <c r="CF53" s="28"/>
      <c r="CG53" s="28"/>
      <c r="CH53" s="23"/>
      <c r="CI53" s="44" t="str">
        <f>IF(CI52="","",IF(VLOOKUP(TEXT(INT(CI52+1),"0000"),차량가!I$2:K$7549,3,0)=$BS$5,TEXT(CI52+1,"0000"),""))</f>
        <v/>
      </c>
      <c r="CJ53" s="43" t="str">
        <f t="shared" si="0"/>
        <v>025</v>
      </c>
      <c r="CK53" s="43" t="str">
        <f>IF(CI53="","",(VLOOKUP(CI53,차량가!$I$2:$K$7549,3,0)))</f>
        <v/>
      </c>
      <c r="CL53" s="43" t="str">
        <f>IF(CI53="","",VLOOKUP(CI53,차량가!$I$2:$L$7549,4,0))</f>
        <v/>
      </c>
      <c r="CM53" s="23" t="str">
        <f t="shared" si="2"/>
        <v/>
      </c>
      <c r="CN53" s="325" t="e">
        <f>VLOOKUP(CI53,차량가!I$2:M$7549,5,0)</f>
        <v>#N/A</v>
      </c>
      <c r="CO53" s="54"/>
      <c r="CP53" s="54"/>
      <c r="CQ53" s="54"/>
      <c r="CR53" s="54"/>
      <c r="CS53" s="54"/>
      <c r="CT53" s="72"/>
      <c r="CU53" s="72"/>
    </row>
    <row r="54" spans="50:99" hidden="1">
      <c r="AX54" s="300"/>
      <c r="AY54" s="301"/>
      <c r="AZ54" s="301"/>
      <c r="BH54" s="135">
        <v>36</v>
      </c>
      <c r="BI54" s="159">
        <v>0.5</v>
      </c>
      <c r="BJ54" s="159">
        <v>0.48000000000000004</v>
      </c>
      <c r="BK54" s="159">
        <v>0.45999999999999996</v>
      </c>
      <c r="BL54" s="159">
        <v>0.42</v>
      </c>
      <c r="BM54" s="159">
        <v>0.39999999999999997</v>
      </c>
      <c r="BN54" s="159">
        <v>0.37</v>
      </c>
      <c r="BO54" s="159">
        <v>0.33999999999999997</v>
      </c>
      <c r="BP54" s="135"/>
      <c r="BQ54" s="135"/>
      <c r="BR54" s="160"/>
      <c r="BS54" s="160"/>
      <c r="BT54" s="160"/>
      <c r="BU54" s="160"/>
      <c r="BV54" s="160"/>
      <c r="BW54" s="160"/>
      <c r="BX54" s="23">
        <v>52</v>
      </c>
      <c r="BY54" s="23" t="str">
        <f>IF(BY53="","",IF(VLOOKUP(TEXT(INT(BY53+1),"0000"),차량가!G$2:J$7549,4,0)=$BS$4,TEXT(BY53+1,"0000"),""))</f>
        <v/>
      </c>
      <c r="BZ54" s="23" t="str">
        <f>IF(ISERROR(VLOOKUP(BY54,차량가!G$2:K$6501,5,0)),"",VLOOKUP(BY54,차량가!G$2:K$6501,5,0))</f>
        <v/>
      </c>
      <c r="CA54" s="23" t="str">
        <f>IF(BY54="","",IF(VLOOKUP(TEXT(INT(BY53+1),"0000"),차량가!G$2:J$7549,4,0)=$BS$4,TEXT(BY53+1,"0000"),""))</f>
        <v/>
      </c>
      <c r="CB54" s="28"/>
      <c r="CC54" s="28"/>
      <c r="CD54" s="28"/>
      <c r="CE54" s="28"/>
      <c r="CF54" s="28"/>
      <c r="CG54" s="28"/>
      <c r="CH54" s="23"/>
      <c r="CI54" s="44" t="str">
        <f>IF(CI53="","",IF(VLOOKUP(TEXT(INT(CI53+1),"0000"),차량가!I$2:K$7549,3,0)=$BS$5,TEXT(CI53+1,"0000"),""))</f>
        <v/>
      </c>
      <c r="CJ54" s="43" t="str">
        <f t="shared" si="0"/>
        <v>025</v>
      </c>
      <c r="CK54" s="43" t="str">
        <f>IF(CI54="","",(VLOOKUP(CI54,차량가!$I$2:$K$7549,3,0)))</f>
        <v/>
      </c>
      <c r="CL54" s="43" t="str">
        <f>IF(CI54="","",VLOOKUP(CI54,차량가!$I$2:$L$7549,4,0))</f>
        <v/>
      </c>
      <c r="CM54" s="23" t="str">
        <f t="shared" si="2"/>
        <v/>
      </c>
      <c r="CN54" s="325" t="e">
        <f>VLOOKUP(CI54,차량가!I$2:M$7549,5,0)</f>
        <v>#N/A</v>
      </c>
      <c r="CO54" s="54"/>
      <c r="CP54" s="54"/>
      <c r="CQ54" s="54"/>
      <c r="CR54" s="54"/>
      <c r="CS54" s="54"/>
      <c r="CT54" s="72"/>
      <c r="CU54" s="72"/>
    </row>
    <row r="55" spans="50:99" hidden="1">
      <c r="AX55" s="300"/>
      <c r="AY55" s="301"/>
      <c r="AZ55" s="301"/>
      <c r="BH55" s="135">
        <v>48</v>
      </c>
      <c r="BI55" s="159">
        <v>0.42</v>
      </c>
      <c r="BJ55" s="159">
        <v>0.39999999999999997</v>
      </c>
      <c r="BK55" s="159">
        <v>0.37999999999999995</v>
      </c>
      <c r="BL55" s="159">
        <v>0.33999999999999997</v>
      </c>
      <c r="BM55" s="159">
        <v>0.31999999999999995</v>
      </c>
      <c r="BN55" s="159">
        <v>0.28999999999999992</v>
      </c>
      <c r="BO55" s="159">
        <v>0.25999999999999995</v>
      </c>
      <c r="BP55" s="135"/>
      <c r="BQ55" s="135"/>
      <c r="BR55" s="160"/>
      <c r="BS55" s="160"/>
      <c r="BT55" s="160"/>
      <c r="BU55" s="160"/>
      <c r="BV55" s="160"/>
      <c r="BW55" s="160"/>
      <c r="BX55" s="23">
        <v>53</v>
      </c>
      <c r="BY55" s="23" t="str">
        <f>IF(BY54="","",IF(VLOOKUP(TEXT(INT(BY54+1),"0000"),차량가!G$2:J$7549,4,0)=$BS$4,TEXT(BY54+1,"0000"),""))</f>
        <v/>
      </c>
      <c r="BZ55" s="23" t="str">
        <f>IF(ISERROR(VLOOKUP(BY55,차량가!G$2:K$6501,5,0)),"",VLOOKUP(BY55,차량가!G$2:K$6501,5,0))</f>
        <v/>
      </c>
      <c r="CA55" s="23" t="str">
        <f>IF(BY55="","",IF(VLOOKUP(TEXT(INT(BY54+1),"0000"),차량가!G$2:J$7549,4,0)=$BS$4,TEXT(BY54+1,"0000"),""))</f>
        <v/>
      </c>
      <c r="CB55" s="28"/>
      <c r="CC55" s="28"/>
      <c r="CD55" s="28"/>
      <c r="CE55" s="28"/>
      <c r="CF55" s="28"/>
      <c r="CG55" s="28"/>
      <c r="CH55" s="23"/>
      <c r="CI55" s="44" t="str">
        <f>IF(CI54="","",IF(VLOOKUP(TEXT(INT(CI54+1),"0000"),차량가!I$2:K$7549,3,0)=$BS$5,TEXT(CI54+1,"0000"),""))</f>
        <v/>
      </c>
      <c r="CJ55" s="43" t="str">
        <f t="shared" si="0"/>
        <v>025</v>
      </c>
      <c r="CK55" s="43" t="str">
        <f>IF(CI55="","",(VLOOKUP(CI55,차량가!$I$2:$K$7549,3,0)))</f>
        <v/>
      </c>
      <c r="CL55" s="43" t="str">
        <f>IF(CI55="","",VLOOKUP(CI55,차량가!$I$2:$L$7549,4,0))</f>
        <v/>
      </c>
      <c r="CM55" s="23" t="str">
        <f t="shared" si="2"/>
        <v/>
      </c>
      <c r="CN55" s="325" t="e">
        <f>VLOOKUP(CI55,차량가!I$2:M$7549,5,0)</f>
        <v>#N/A</v>
      </c>
      <c r="CO55" s="54"/>
      <c r="CP55" s="54"/>
      <c r="CQ55" s="54"/>
      <c r="CR55" s="54"/>
      <c r="CS55" s="54"/>
      <c r="CT55" s="72"/>
      <c r="CU55" s="72"/>
    </row>
    <row r="56" spans="50:99" hidden="1">
      <c r="AX56" s="300"/>
      <c r="AY56" s="301"/>
      <c r="AZ56" s="301"/>
      <c r="BH56" s="135">
        <v>60</v>
      </c>
      <c r="BI56" s="159">
        <v>0.35000000000000003</v>
      </c>
      <c r="BJ56" s="159">
        <v>0.33</v>
      </c>
      <c r="BK56" s="159">
        <v>0.31</v>
      </c>
      <c r="BL56" s="159">
        <v>0.27</v>
      </c>
      <c r="BM56" s="159">
        <v>0.25000000000000006</v>
      </c>
      <c r="BN56" s="159">
        <v>0.22</v>
      </c>
      <c r="BO56" s="159">
        <v>0.19000000000000003</v>
      </c>
      <c r="BP56" s="135"/>
      <c r="BQ56" s="135"/>
      <c r="BR56" s="160"/>
      <c r="BS56" s="160"/>
      <c r="BT56" s="160"/>
      <c r="BU56" s="160"/>
      <c r="BV56" s="160"/>
      <c r="BW56" s="160"/>
      <c r="BX56" s="23">
        <v>54</v>
      </c>
      <c r="BY56" s="23" t="str">
        <f>IF(BY55="","",IF(VLOOKUP(TEXT(INT(BY55+1),"0000"),차량가!G$2:J$7549,4,0)=$BS$4,TEXT(BY55+1,"0000"),""))</f>
        <v/>
      </c>
      <c r="BZ56" s="23" t="str">
        <f>IF(ISERROR(VLOOKUP(BY56,차량가!G$2:K$6501,5,0)),"",VLOOKUP(BY56,차량가!G$2:K$6501,5,0))</f>
        <v/>
      </c>
      <c r="CA56" s="23" t="str">
        <f>IF(BY56="","",IF(VLOOKUP(TEXT(INT(BY55+1),"0000"),차량가!G$2:J$7549,4,0)=$BS$4,TEXT(BY55+1,"0000"),""))</f>
        <v/>
      </c>
      <c r="CB56" s="28"/>
      <c r="CC56" s="28"/>
      <c r="CD56" s="28"/>
      <c r="CE56" s="28"/>
      <c r="CF56" s="28"/>
      <c r="CG56" s="28"/>
      <c r="CH56" s="23"/>
      <c r="CI56" s="44" t="str">
        <f>IF(CI55="","",IF(VLOOKUP(TEXT(INT(CI55+1),"0000"),차량가!I$2:K$7549,3,0)=$BS$5,TEXT(CI55+1,"0000"),""))</f>
        <v/>
      </c>
      <c r="CJ56" s="43" t="str">
        <f t="shared" si="0"/>
        <v>025</v>
      </c>
      <c r="CK56" s="43" t="str">
        <f>IF(CI56="","",(VLOOKUP(CI56,차량가!$I$2:$K$7549,3,0)))</f>
        <v/>
      </c>
      <c r="CL56" s="43" t="str">
        <f>IF(CI56="","",VLOOKUP(CI56,차량가!$I$2:$L$7549,4,0))</f>
        <v/>
      </c>
      <c r="CM56" s="23" t="str">
        <f t="shared" si="2"/>
        <v/>
      </c>
      <c r="CN56" s="325" t="e">
        <f>VLOOKUP(CI56,차량가!I$2:M$7549,5,0)</f>
        <v>#N/A</v>
      </c>
      <c r="CO56" s="54"/>
      <c r="CP56" s="54"/>
      <c r="CQ56" s="54"/>
      <c r="CR56" s="54"/>
      <c r="CS56" s="54"/>
      <c r="CT56" s="72"/>
      <c r="CU56" s="72"/>
    </row>
    <row r="57" spans="50:99" hidden="1">
      <c r="AX57" s="300"/>
      <c r="AY57" s="301"/>
      <c r="AZ57" s="301"/>
      <c r="BH57" s="135"/>
      <c r="BI57" s="159"/>
      <c r="BJ57" s="159"/>
      <c r="BK57" s="159"/>
      <c r="BL57" s="159"/>
      <c r="BM57" s="159"/>
      <c r="BN57" s="159"/>
      <c r="BO57" s="159"/>
      <c r="BP57" s="135"/>
      <c r="BQ57" s="135"/>
      <c r="BR57" s="160"/>
      <c r="BS57" s="160"/>
      <c r="BT57" s="160"/>
      <c r="BU57" s="160"/>
      <c r="BV57" s="160"/>
      <c r="BW57" s="160"/>
      <c r="BX57" s="23">
        <v>55</v>
      </c>
      <c r="BY57" s="23" t="str">
        <f>IF(BY56="","",IF(VLOOKUP(TEXT(INT(BY56+1),"0000"),차량가!G$2:J$7549,4,0)=$BS$4,TEXT(BY56+1,"0000"),""))</f>
        <v/>
      </c>
      <c r="BZ57" s="23" t="str">
        <f>IF(ISERROR(VLOOKUP(BY57,차량가!G$2:K$6501,5,0)),"",VLOOKUP(BY57,차량가!G$2:K$6501,5,0))</f>
        <v/>
      </c>
      <c r="CA57" s="23" t="str">
        <f>IF(BY57="","",IF(VLOOKUP(TEXT(INT(BY56+1),"0000"),차량가!G$2:J$7549,4,0)=$BS$4,TEXT(BY56+1,"0000"),""))</f>
        <v/>
      </c>
      <c r="CB57" s="28"/>
      <c r="CC57" s="28"/>
      <c r="CD57" s="28"/>
      <c r="CE57" s="28"/>
      <c r="CF57" s="28"/>
      <c r="CG57" s="28"/>
      <c r="CH57" s="23"/>
      <c r="CI57" s="44" t="str">
        <f>IF(CI56="","",IF(VLOOKUP(TEXT(INT(CI56+1),"0000"),차량가!I$2:K$7549,3,0)=$BS$5,TEXT(CI56+1,"0000"),""))</f>
        <v/>
      </c>
      <c r="CJ57" s="43" t="str">
        <f t="shared" si="0"/>
        <v>025</v>
      </c>
      <c r="CK57" s="43" t="str">
        <f>IF(CI57="","",(VLOOKUP(CI57,차량가!$I$2:$K$7549,3,0)))</f>
        <v/>
      </c>
      <c r="CL57" s="43" t="str">
        <f>IF(CI57="","",VLOOKUP(CI57,차량가!$I$2:$L$7549,4,0))</f>
        <v/>
      </c>
      <c r="CM57" s="23" t="str">
        <f t="shared" si="2"/>
        <v/>
      </c>
      <c r="CN57" s="325" t="e">
        <f>VLOOKUP(CI57,차량가!I$2:M$7549,5,0)</f>
        <v>#N/A</v>
      </c>
      <c r="CO57" s="54"/>
      <c r="CP57" s="54"/>
      <c r="CQ57" s="54"/>
      <c r="CR57" s="54"/>
      <c r="CS57" s="54"/>
      <c r="CT57" s="72"/>
      <c r="CU57" s="72"/>
    </row>
    <row r="58" spans="50:99" hidden="1">
      <c r="BH58" s="135"/>
      <c r="BI58" s="159"/>
      <c r="BJ58" s="159"/>
      <c r="BK58" s="159"/>
      <c r="BL58" s="159"/>
      <c r="BM58" s="159"/>
      <c r="BN58" s="159"/>
      <c r="BO58" s="159"/>
      <c r="BP58" s="135"/>
      <c r="BQ58" s="135"/>
      <c r="BR58" s="160"/>
      <c r="BS58" s="160"/>
      <c r="BT58" s="160"/>
      <c r="BU58" s="160"/>
      <c r="BV58" s="160"/>
      <c r="BW58" s="160"/>
      <c r="BX58" s="23">
        <v>56</v>
      </c>
      <c r="BY58" s="23" t="str">
        <f>IF(BY57="","",IF(VLOOKUP(TEXT(INT(BY57+1),"0000"),차량가!G$2:J$7549,4,0)=$BS$4,TEXT(BY57+1,"0000"),""))</f>
        <v/>
      </c>
      <c r="BZ58" s="23" t="str">
        <f>IF(ISERROR(VLOOKUP(BY58,차량가!G$2:K$6501,5,0)),"",VLOOKUP(BY58,차량가!G$2:K$6501,5,0))</f>
        <v/>
      </c>
      <c r="CA58" s="23" t="str">
        <f>IF(BY58="","",IF(VLOOKUP(TEXT(INT(BY57+1),"0000"),차량가!G$2:J$7549,4,0)=$BS$4,TEXT(BY57+1,"0000"),""))</f>
        <v/>
      </c>
      <c r="CB58" s="28"/>
      <c r="CC58" s="28"/>
      <c r="CD58" s="28"/>
      <c r="CE58" s="28"/>
      <c r="CF58" s="28"/>
      <c r="CG58" s="28"/>
      <c r="CH58" s="23"/>
      <c r="CI58" s="44" t="str">
        <f>IF(CI57="","",IF(VLOOKUP(TEXT(INT(CI57+1),"0000"),차량가!I$2:K$7549,3,0)=$BS$5,TEXT(CI57+1,"0000"),""))</f>
        <v/>
      </c>
      <c r="CJ58" s="43" t="str">
        <f t="shared" si="0"/>
        <v>025</v>
      </c>
      <c r="CK58" s="43" t="str">
        <f>IF(CI58="","",(VLOOKUP(CI58,차량가!$I$2:$K$7549,3,0)))</f>
        <v/>
      </c>
      <c r="CL58" s="43" t="str">
        <f>IF(CI58="","",VLOOKUP(CI58,차량가!$I$2:$L$7549,4,0))</f>
        <v/>
      </c>
      <c r="CM58" s="23" t="str">
        <f t="shared" si="2"/>
        <v/>
      </c>
      <c r="CN58" s="325" t="e">
        <f>VLOOKUP(CI58,차량가!I$2:M$7549,5,0)</f>
        <v>#N/A</v>
      </c>
      <c r="CO58" s="54"/>
      <c r="CP58" s="54"/>
      <c r="CQ58" s="54"/>
      <c r="CR58" s="54"/>
      <c r="CS58" s="54"/>
      <c r="CT58" s="72"/>
      <c r="CU58" s="72"/>
    </row>
    <row r="59" spans="50:99" hidden="1">
      <c r="BA59" s="830" t="s">
        <v>3020</v>
      </c>
      <c r="BB59" s="831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54"/>
      <c r="BS59" s="155"/>
      <c r="BT59" s="29"/>
      <c r="BU59" s="23"/>
      <c r="BV59" s="23"/>
      <c r="BW59" s="23"/>
      <c r="BX59" s="23">
        <v>57</v>
      </c>
      <c r="BY59" s="23" t="str">
        <f>IF(BY58="","",IF(VLOOKUP(TEXT(INT(BY58+1),"0000"),차량가!G$2:J$7549,4,0)=$BS$4,TEXT(BY58+1,"0000"),""))</f>
        <v/>
      </c>
      <c r="BZ59" s="23" t="str">
        <f>IF(ISERROR(VLOOKUP(BY59,차량가!G$2:K$6501,5,0)),"",VLOOKUP(BY59,차량가!G$2:K$6501,5,0))</f>
        <v/>
      </c>
      <c r="CA59" s="23" t="str">
        <f>IF(BY59="","",IF(VLOOKUP(TEXT(INT(BY58+1),"0000"),차량가!G$2:J$7549,4,0)=$BS$4,TEXT(BY58+1,"0000"),""))</f>
        <v/>
      </c>
      <c r="CB59" s="23"/>
      <c r="CC59" s="23"/>
      <c r="CD59" s="23"/>
      <c r="CE59" s="23"/>
      <c r="CF59" s="23"/>
      <c r="CG59" s="23"/>
      <c r="CH59" s="23"/>
      <c r="CI59" s="44" t="str">
        <f>IF(CI58="","",IF(VLOOKUP(TEXT(INT(CI58+1),"0000"),차량가!I$2:K$7549,3,0)=$BS$5,TEXT(CI58+1,"0000"),""))</f>
        <v/>
      </c>
      <c r="CJ59" s="43" t="str">
        <f t="shared" si="0"/>
        <v>025</v>
      </c>
      <c r="CK59" s="43" t="str">
        <f>IF(CI59="","",(VLOOKUP(CI59,차량가!$I$2:$K$7549,3,0)))</f>
        <v/>
      </c>
      <c r="CL59" s="43" t="str">
        <f>IF(CI59="","",VLOOKUP(CI59,차량가!$I$2:$L$7549,4,0))</f>
        <v/>
      </c>
      <c r="CM59" s="23" t="str">
        <f t="shared" si="2"/>
        <v/>
      </c>
      <c r="CN59" s="325" t="e">
        <f>VLOOKUP(CI59,차량가!I$2:M$7549,5,0)</f>
        <v>#N/A</v>
      </c>
      <c r="CO59" s="54"/>
      <c r="CP59" s="54"/>
      <c r="CQ59" s="54"/>
      <c r="CR59" s="54"/>
      <c r="CS59" s="54"/>
      <c r="CT59" s="72"/>
      <c r="CU59" s="72"/>
    </row>
    <row r="60" spans="50:99" hidden="1">
      <c r="BA60" s="302" t="str">
        <f ca="1">IF(BC99=BF98,"A",(IF(BC99=BF105,"B",(IF(BC99=BF118,"C")))))</f>
        <v>C</v>
      </c>
      <c r="BB60" s="302">
        <f ca="1">IF(AY28&lt;=BF33,MAX(BH112,BH120,BH132),IF(BM10=1,MAX(BH116,BH123,BH136),MAX(BH117,BH124,BH137)))</f>
        <v>0.53999999999999992</v>
      </c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54"/>
      <c r="BS60" s="155"/>
      <c r="BT60" s="29"/>
      <c r="BU60" s="23"/>
      <c r="BV60" s="23"/>
      <c r="BW60" s="23"/>
      <c r="BX60" s="23">
        <v>58</v>
      </c>
      <c r="BY60" s="23" t="str">
        <f>IF(BY59="","",IF(VLOOKUP(TEXT(INT(BY59+1),"0000"),차량가!G$2:J$7549,4,0)=$BS$4,TEXT(BY59+1,"0000"),""))</f>
        <v/>
      </c>
      <c r="BZ60" s="23" t="str">
        <f>IF(ISERROR(VLOOKUP(BY60,차량가!G$2:K$6501,5,0)),"",VLOOKUP(BY60,차량가!G$2:K$6501,5,0))</f>
        <v/>
      </c>
      <c r="CA60" s="23" t="str">
        <f>IF(BY60="","",IF(VLOOKUP(TEXT(INT(BY59+1),"0000"),차량가!G$2:J$7549,4,0)=$BS$4,TEXT(BY59+1,"0000"),""))</f>
        <v/>
      </c>
      <c r="CB60" s="23"/>
      <c r="CC60" s="23"/>
      <c r="CD60" s="23"/>
      <c r="CE60" s="23"/>
      <c r="CF60" s="23"/>
      <c r="CG60" s="23"/>
      <c r="CH60" s="23"/>
      <c r="CI60" s="44" t="str">
        <f>IF(CI59="","",IF(VLOOKUP(TEXT(INT(CI59+1),"0000"),차량가!I$2:K$7549,3,0)=$BS$5,TEXT(CI59+1,"0000"),""))</f>
        <v/>
      </c>
      <c r="CJ60" s="43" t="str">
        <f t="shared" si="0"/>
        <v>025</v>
      </c>
      <c r="CK60" s="43" t="str">
        <f>IF(CI60="","",(VLOOKUP(CI60,차량가!$I$2:$K$7549,3,0)))</f>
        <v/>
      </c>
      <c r="CL60" s="43" t="str">
        <f>IF(CI60="","",VLOOKUP(CI60,차량가!$I$2:$L$7549,4,0))</f>
        <v/>
      </c>
      <c r="CM60" s="23" t="str">
        <f t="shared" si="2"/>
        <v/>
      </c>
      <c r="CN60" s="325" t="e">
        <f>VLOOKUP(CI60,차량가!I$2:M$7549,5,0)</f>
        <v>#N/A</v>
      </c>
      <c r="CO60" s="54"/>
      <c r="CP60" s="54"/>
      <c r="CQ60" s="54"/>
      <c r="CR60" s="54"/>
      <c r="CS60" s="54"/>
      <c r="CT60" s="72"/>
      <c r="CU60" s="72"/>
    </row>
    <row r="61" spans="50:99" hidden="1">
      <c r="BH61" s="135" t="s">
        <v>1158</v>
      </c>
      <c r="BI61" s="135"/>
      <c r="BJ61" s="135" t="s">
        <v>2017</v>
      </c>
      <c r="BK61" s="135"/>
      <c r="BL61" s="135"/>
      <c r="BM61" s="135"/>
      <c r="BN61" s="135"/>
      <c r="BO61" s="135"/>
      <c r="BP61" s="135" t="s">
        <v>1162</v>
      </c>
      <c r="BQ61" s="135"/>
      <c r="BR61" s="54"/>
      <c r="BS61" s="155"/>
      <c r="BT61" s="29"/>
      <c r="BU61" s="23"/>
      <c r="BV61" s="23"/>
      <c r="BW61" s="23"/>
      <c r="BX61" s="23">
        <v>59</v>
      </c>
      <c r="BY61" s="23" t="str">
        <f>IF(BY60="","",IF(VLOOKUP(TEXT(INT(BY60+1),"0000"),차량가!G$2:J$7549,4,0)=$BS$4,TEXT(BY60+1,"0000"),""))</f>
        <v/>
      </c>
      <c r="BZ61" s="23" t="str">
        <f>IF(ISERROR(VLOOKUP(BY61,차량가!G$2:K$6501,5,0)),"",VLOOKUP(BY61,차량가!G$2:K$6501,5,0))</f>
        <v/>
      </c>
      <c r="CA61" s="23" t="str">
        <f>IF(BY61="","",IF(VLOOKUP(TEXT(INT(BY60+1),"0000"),차량가!G$2:J$7549,4,0)=$BS$4,TEXT(BY60+1,"0000"),""))</f>
        <v/>
      </c>
      <c r="CB61" s="23"/>
      <c r="CC61" s="23"/>
      <c r="CD61" s="23"/>
      <c r="CE61" s="23"/>
      <c r="CF61" s="23"/>
      <c r="CG61" s="23"/>
      <c r="CH61" s="23"/>
      <c r="CI61" s="44" t="str">
        <f>IF(CI60="","",IF(VLOOKUP(TEXT(INT(CI60+1),"0000"),차량가!I$2:K$7549,3,0)=$BS$5,TEXT(CI60+1,"0000"),""))</f>
        <v/>
      </c>
      <c r="CJ61" s="43" t="str">
        <f t="shared" si="0"/>
        <v>025</v>
      </c>
      <c r="CK61" s="43" t="str">
        <f>IF(CI61="","",(VLOOKUP(CI61,차량가!$I$2:$K$7549,3,0)))</f>
        <v/>
      </c>
      <c r="CL61" s="43" t="str">
        <f>IF(CI61="","",VLOOKUP(CI61,차량가!$I$2:$L$7549,4,0))</f>
        <v/>
      </c>
      <c r="CM61" s="23" t="str">
        <f t="shared" si="2"/>
        <v/>
      </c>
      <c r="CN61" s="325" t="e">
        <f>VLOOKUP(CI61,차량가!I$2:M$7549,5,0)</f>
        <v>#N/A</v>
      </c>
      <c r="CO61" s="54"/>
      <c r="CP61" s="54"/>
      <c r="CQ61" s="54"/>
      <c r="CR61" s="54"/>
      <c r="CS61" s="54"/>
      <c r="CT61" s="72"/>
      <c r="CU61" s="72"/>
    </row>
    <row r="62" spans="50:99" hidden="1"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54"/>
      <c r="BS62" s="155"/>
      <c r="BT62" s="29"/>
      <c r="BU62" s="23"/>
      <c r="BV62" s="23"/>
      <c r="BW62" s="23"/>
      <c r="BX62" s="23">
        <v>60</v>
      </c>
      <c r="BY62" s="23" t="str">
        <f>IF(BY61="","",IF(VLOOKUP(TEXT(INT(BY61+1),"0000"),차량가!G$2:J$7549,4,0)=$BS$4,TEXT(BY61+1,"0000"),""))</f>
        <v/>
      </c>
      <c r="BZ62" s="23" t="str">
        <f>IF(ISERROR(VLOOKUP(BY62,차량가!G$2:K$6501,5,0)),"",VLOOKUP(BY62,차량가!G$2:K$6501,5,0))</f>
        <v/>
      </c>
      <c r="CA62" s="23" t="str">
        <f>IF(BY62="","",IF(VLOOKUP(TEXT(INT(BY61+1),"0000"),차량가!G$2:J$7549,4,0)=$BS$4,TEXT(BY61+1,"0000"),""))</f>
        <v/>
      </c>
      <c r="CB62" s="23"/>
      <c r="CC62" s="23"/>
      <c r="CD62" s="23"/>
      <c r="CE62" s="23"/>
      <c r="CF62" s="23"/>
      <c r="CG62" s="23"/>
      <c r="CH62" s="23"/>
      <c r="CI62" s="44" t="str">
        <f>IF(CI61="","",IF(VLOOKUP(TEXT(INT(CI61+1),"0000"),차량가!I$2:K$7549,3,0)=$BS$5,TEXT(CI61+1,"0000"),""))</f>
        <v/>
      </c>
      <c r="CJ62" s="43" t="str">
        <f t="shared" si="0"/>
        <v>025</v>
      </c>
      <c r="CK62" s="43" t="str">
        <f>IF(CI62="","",(VLOOKUP(CI62,차량가!$I$2:$K$7549,3,0)))</f>
        <v/>
      </c>
      <c r="CL62" s="43" t="str">
        <f>IF(CI62="","",VLOOKUP(CI62,차량가!$I$2:$L$7549,4,0))</f>
        <v/>
      </c>
      <c r="CM62" s="23" t="str">
        <f t="shared" si="2"/>
        <v/>
      </c>
      <c r="CN62" s="325" t="e">
        <f>VLOOKUP(CI62,차량가!I$2:M$7549,5,0)</f>
        <v>#N/A</v>
      </c>
      <c r="CO62" s="54"/>
      <c r="CP62" s="54"/>
      <c r="CQ62" s="54"/>
      <c r="CR62" s="54"/>
      <c r="CS62" s="54"/>
      <c r="CT62" s="72"/>
      <c r="CU62" s="72"/>
    </row>
    <row r="63" spans="50:99" hidden="1">
      <c r="BH63" s="135">
        <v>24</v>
      </c>
      <c r="BI63" s="58">
        <v>0.56999999999999995</v>
      </c>
      <c r="BJ63" s="58">
        <v>0.52999999999999992</v>
      </c>
      <c r="BK63" s="59">
        <v>0.49999999999999989</v>
      </c>
      <c r="BL63" s="59">
        <v>0.47999999999999987</v>
      </c>
      <c r="BM63" s="59">
        <v>0.44999999999999984</v>
      </c>
      <c r="BN63" s="59">
        <v>0.41999999999999982</v>
      </c>
      <c r="BO63" s="161"/>
      <c r="BP63" s="135">
        <v>24</v>
      </c>
      <c r="BQ63" s="162">
        <v>0.4</v>
      </c>
      <c r="BR63" s="54"/>
      <c r="BS63" s="155"/>
      <c r="BT63" s="29"/>
      <c r="BU63" s="23"/>
      <c r="BV63" s="23"/>
      <c r="BW63" s="23"/>
      <c r="BX63" s="23">
        <v>61</v>
      </c>
      <c r="BY63" s="23" t="str">
        <f>IF(BY62="","",IF(VLOOKUP(TEXT(INT(BY62+1),"0000"),차량가!G$2:J$7549,4,0)=$BS$4,TEXT(BY62+1,"0000"),""))</f>
        <v/>
      </c>
      <c r="BZ63" s="23" t="str">
        <f>IF(ISERROR(VLOOKUP(BY63,차량가!G$2:K$6501,5,0)),"",VLOOKUP(BY63,차량가!G$2:K$6501,5,0))</f>
        <v/>
      </c>
      <c r="CA63" s="23" t="str">
        <f>IF(BY63="","",IF(VLOOKUP(TEXT(INT(BY62+1),"0000"),차량가!G$2:J$7549,4,0)=$BS$4,TEXT(BY62+1,"0000"),""))</f>
        <v/>
      </c>
      <c r="CB63" s="23"/>
      <c r="CC63" s="23"/>
      <c r="CD63" s="23"/>
      <c r="CE63" s="23"/>
      <c r="CF63" s="23"/>
      <c r="CG63" s="23"/>
      <c r="CH63" s="23"/>
      <c r="CI63" s="44" t="str">
        <f>IF(CI62="","",IF(VLOOKUP(TEXT(INT(CI62+1),"0000"),차량가!I$2:K$7549,3,0)=$BS$5,TEXT(CI62+1,"0000"),""))</f>
        <v/>
      </c>
      <c r="CJ63" s="43" t="str">
        <f t="shared" si="0"/>
        <v>025</v>
      </c>
      <c r="CK63" s="43" t="str">
        <f>IF(CI63="","",(VLOOKUP(CI63,차량가!$I$2:$K$7549,3,0)))</f>
        <v/>
      </c>
      <c r="CL63" s="43" t="str">
        <f>IF(CI63="","",VLOOKUP(CI63,차량가!$I$2:$L$7549,4,0))</f>
        <v/>
      </c>
      <c r="CM63" s="23" t="str">
        <f t="shared" si="2"/>
        <v/>
      </c>
      <c r="CN63" s="325" t="e">
        <f>VLOOKUP(CI63,차량가!I$2:M$7549,5,0)</f>
        <v>#N/A</v>
      </c>
      <c r="CO63" s="54"/>
      <c r="CP63" s="54"/>
      <c r="CQ63" s="54"/>
      <c r="CR63" s="54"/>
      <c r="CS63" s="54"/>
      <c r="CT63" s="72"/>
      <c r="CU63" s="72"/>
    </row>
    <row r="64" spans="50:99" hidden="1">
      <c r="BH64" s="135">
        <v>36</v>
      </c>
      <c r="BI64" s="60">
        <v>0.5</v>
      </c>
      <c r="BJ64" s="60">
        <v>0.45999999999999996</v>
      </c>
      <c r="BK64" s="61">
        <v>0.42999999999999994</v>
      </c>
      <c r="BL64" s="61">
        <v>0.40999999999999992</v>
      </c>
      <c r="BM64" s="61">
        <v>0.37999999999999989</v>
      </c>
      <c r="BN64" s="61">
        <v>0.34999999999999987</v>
      </c>
      <c r="BO64" s="161"/>
      <c r="BP64" s="135">
        <v>36</v>
      </c>
      <c r="BQ64" s="162">
        <v>0.3</v>
      </c>
      <c r="BR64" s="54"/>
      <c r="BS64" s="155"/>
      <c r="BT64" s="29"/>
      <c r="BU64" s="23"/>
      <c r="BV64" s="23"/>
      <c r="BW64" s="23"/>
      <c r="BX64" s="23">
        <v>62</v>
      </c>
      <c r="BY64" s="23" t="str">
        <f>IF(BY63="","",IF(VLOOKUP(TEXT(INT(BY63+1),"0000"),차량가!G$2:J$7549,4,0)=$BS$4,TEXT(BY63+1,"0000"),""))</f>
        <v/>
      </c>
      <c r="BZ64" s="23" t="str">
        <f>IF(ISERROR(VLOOKUP(BY64,차량가!G$2:K$6501,5,0)),"",VLOOKUP(BY64,차량가!G$2:K$6501,5,0))</f>
        <v/>
      </c>
      <c r="CA64" s="23" t="str">
        <f>IF(BY64="","",IF(VLOOKUP(TEXT(INT(BY63+1),"0000"),차량가!G$2:J$7549,4,0)=$BS$4,TEXT(BY63+1,"0000"),""))</f>
        <v/>
      </c>
      <c r="CB64" s="23"/>
      <c r="CC64" s="23"/>
      <c r="CD64" s="23"/>
      <c r="CE64" s="23"/>
      <c r="CF64" s="23"/>
      <c r="CG64" s="23"/>
      <c r="CH64" s="23"/>
      <c r="CI64" s="44" t="str">
        <f>IF(CI63="","",IF(VLOOKUP(TEXT(INT(CI63+1),"0000"),차량가!I$2:K$7549,3,0)=$BS$5,TEXT(CI63+1,"0000"),""))</f>
        <v/>
      </c>
      <c r="CJ64" s="43" t="str">
        <f t="shared" si="0"/>
        <v>025</v>
      </c>
      <c r="CK64" s="43" t="str">
        <f>IF(CI64="","",(VLOOKUP(CI64,차량가!$I$2:$K$7549,3,0)))</f>
        <v/>
      </c>
      <c r="CL64" s="43" t="str">
        <f>IF(CI64="","",VLOOKUP(CI64,차량가!$I$2:$L$7549,4,0))</f>
        <v/>
      </c>
      <c r="CM64" s="23" t="str">
        <f t="shared" si="2"/>
        <v/>
      </c>
      <c r="CN64" s="325" t="e">
        <f>VLOOKUP(CI64,차량가!I$2:M$7549,5,0)</f>
        <v>#N/A</v>
      </c>
      <c r="CO64" s="54"/>
      <c r="CP64" s="54"/>
      <c r="CQ64" s="54"/>
      <c r="CR64" s="54"/>
      <c r="CS64" s="54"/>
      <c r="CT64" s="72"/>
      <c r="CU64" s="72"/>
    </row>
    <row r="65" spans="60:99" hidden="1">
      <c r="BH65" s="135">
        <v>48</v>
      </c>
      <c r="BI65" s="60">
        <v>0.41</v>
      </c>
      <c r="BJ65" s="60">
        <v>0.36999999999999994</v>
      </c>
      <c r="BK65" s="61">
        <v>0.33999999999999991</v>
      </c>
      <c r="BL65" s="61">
        <v>0.3199999999999999</v>
      </c>
      <c r="BM65" s="61">
        <v>0.28999999999999987</v>
      </c>
      <c r="BN65" s="61">
        <v>0.2599999999999999</v>
      </c>
      <c r="BO65" s="161"/>
      <c r="BP65" s="135">
        <v>48</v>
      </c>
      <c r="BQ65" s="162">
        <v>0.2</v>
      </c>
      <c r="BR65" s="54"/>
      <c r="BS65" s="155"/>
      <c r="BT65" s="29"/>
      <c r="BU65" s="23"/>
      <c r="BV65" s="23"/>
      <c r="BW65" s="23"/>
      <c r="BX65" s="23">
        <v>63</v>
      </c>
      <c r="BY65" s="23" t="str">
        <f>IF(BY64="","",IF(VLOOKUP(TEXT(INT(BY64+1),"0000"),차량가!G$2:J$7549,4,0)=$BS$4,TEXT(BY64+1,"0000"),""))</f>
        <v/>
      </c>
      <c r="BZ65" s="23" t="str">
        <f>IF(ISERROR(VLOOKUP(BY65,차량가!G$2:K$6501,5,0)),"",VLOOKUP(BY65,차량가!G$2:K$6501,5,0))</f>
        <v/>
      </c>
      <c r="CA65" s="23" t="str">
        <f>IF(BY65="","",IF(VLOOKUP(TEXT(INT(BY64+1),"0000"),차량가!G$2:J$7549,4,0)=$BS$4,TEXT(BY64+1,"0000"),""))</f>
        <v/>
      </c>
      <c r="CB65" s="23"/>
      <c r="CC65" s="23"/>
      <c r="CD65" s="23"/>
      <c r="CE65" s="23"/>
      <c r="CF65" s="23"/>
      <c r="CG65" s="23"/>
      <c r="CH65" s="23"/>
      <c r="CI65" s="44" t="str">
        <f>IF(CI64="","",IF(VLOOKUP(TEXT(INT(CI64+1),"0000"),차량가!I$2:K$7549,3,0)=$BS$5,TEXT(CI64+1,"0000"),""))</f>
        <v/>
      </c>
      <c r="CJ65" s="43" t="str">
        <f t="shared" si="0"/>
        <v>025</v>
      </c>
      <c r="CK65" s="43" t="str">
        <f>IF(CI65="","",(VLOOKUP(CI65,차량가!$I$2:$K$7549,3,0)))</f>
        <v/>
      </c>
      <c r="CL65" s="43" t="str">
        <f>IF(CI65="","",VLOOKUP(CI65,차량가!$I$2:$L$7549,4,0))</f>
        <v/>
      </c>
      <c r="CM65" s="23" t="str">
        <f t="shared" si="2"/>
        <v/>
      </c>
      <c r="CN65" s="325" t="e">
        <f>VLOOKUP(CI65,차량가!I$2:M$7549,5,0)</f>
        <v>#N/A</v>
      </c>
      <c r="CO65" s="54"/>
      <c r="CP65" s="54"/>
      <c r="CQ65" s="54"/>
      <c r="CR65" s="54"/>
      <c r="CS65" s="54"/>
      <c r="CT65" s="72"/>
      <c r="CU65" s="72"/>
    </row>
    <row r="66" spans="60:99" hidden="1">
      <c r="BH66" s="135">
        <v>60</v>
      </c>
      <c r="BI66" s="60">
        <v>0.35</v>
      </c>
      <c r="BJ66" s="60">
        <v>0.30999999999999994</v>
      </c>
      <c r="BK66" s="61">
        <v>0.27999999999999992</v>
      </c>
      <c r="BL66" s="61">
        <v>0.2599999999999999</v>
      </c>
      <c r="BM66" s="61">
        <v>0.2299999999999999</v>
      </c>
      <c r="BN66" s="61">
        <v>0.1999999999999999</v>
      </c>
      <c r="BO66" s="161"/>
      <c r="BP66" s="135">
        <v>60</v>
      </c>
      <c r="BQ66" s="162">
        <v>0.15</v>
      </c>
      <c r="BR66" s="54"/>
      <c r="BS66" s="155"/>
      <c r="BT66" s="29"/>
      <c r="BU66" s="23"/>
      <c r="BV66" s="23"/>
      <c r="BW66" s="23"/>
      <c r="BX66" s="23">
        <v>64</v>
      </c>
      <c r="BY66" s="23" t="str">
        <f>IF(BY65="","",IF(VLOOKUP(TEXT(INT(BY65+1),"0000"),차량가!G$2:J$7549,4,0)=$BS$4,TEXT(BY65+1,"0000"),""))</f>
        <v/>
      </c>
      <c r="BZ66" s="23" t="str">
        <f>IF(ISERROR(VLOOKUP(BY66,차량가!G$2:K$6501,5,0)),"",VLOOKUP(BY66,차량가!G$2:K$6501,5,0))</f>
        <v/>
      </c>
      <c r="CA66" s="23" t="str">
        <f>IF(BY66="","",IF(VLOOKUP(TEXT(INT(BY65+1),"0000"),차량가!G$2:J$7549,4,0)=$BS$4,TEXT(BY65+1,"0000"),""))</f>
        <v/>
      </c>
      <c r="CB66" s="23"/>
      <c r="CC66" s="23"/>
      <c r="CD66" s="23"/>
      <c r="CE66" s="23"/>
      <c r="CF66" s="23"/>
      <c r="CG66" s="23"/>
      <c r="CH66" s="23"/>
      <c r="CI66" s="44"/>
      <c r="CJ66" s="43"/>
      <c r="CK66" s="43"/>
      <c r="CL66" s="43"/>
      <c r="CM66" s="23"/>
      <c r="CN66" s="325"/>
      <c r="CO66" s="54"/>
      <c r="CP66" s="54"/>
      <c r="CQ66" s="54"/>
      <c r="CR66" s="54"/>
      <c r="CS66" s="54"/>
      <c r="CT66" s="72"/>
      <c r="CU66" s="72"/>
    </row>
    <row r="67" spans="60:99" hidden="1">
      <c r="BH67" s="135"/>
      <c r="BI67" s="60"/>
      <c r="BJ67" s="60"/>
      <c r="BK67" s="61"/>
      <c r="BL67" s="61"/>
      <c r="BM67" s="61"/>
      <c r="BN67" s="61"/>
      <c r="BO67" s="161"/>
      <c r="BP67" s="135"/>
      <c r="BQ67" s="162"/>
      <c r="BR67" s="54"/>
      <c r="BS67" s="155"/>
      <c r="BT67" s="29"/>
      <c r="BU67" s="23"/>
      <c r="BV67" s="23"/>
      <c r="BW67" s="23"/>
      <c r="BX67" s="23">
        <v>65</v>
      </c>
      <c r="BY67" s="23" t="str">
        <f>IF(BY66="","",IF(VLOOKUP(TEXT(INT(BY66+1),"0000"),차량가!G$2:J$7549,4,0)=$BS$4,TEXT(BY66+1,"0000"),""))</f>
        <v/>
      </c>
      <c r="BZ67" s="23" t="str">
        <f>IF(ISERROR(VLOOKUP(BY67,차량가!G$2:K$6501,5,0)),"",VLOOKUP(BY67,차량가!G$2:K$6501,5,0))</f>
        <v/>
      </c>
      <c r="CA67" s="23" t="str">
        <f>IF(BY67="","",IF(VLOOKUP(TEXT(INT(BY66+1),"0000"),차량가!G$2:J$7549,4,0)=$BS$4,TEXT(BY66+1,"0000"),""))</f>
        <v/>
      </c>
      <c r="CB67" s="23"/>
      <c r="CC67" s="23"/>
      <c r="CD67" s="23"/>
      <c r="CE67" s="23"/>
      <c r="CF67" s="23"/>
      <c r="CG67" s="23"/>
      <c r="CH67" s="23"/>
      <c r="CI67" s="44"/>
      <c r="CJ67" s="43"/>
      <c r="CK67" s="43"/>
      <c r="CL67" s="43"/>
      <c r="CM67" s="23"/>
      <c r="CN67" s="325"/>
      <c r="CO67" s="54"/>
      <c r="CP67" s="54"/>
      <c r="CQ67" s="54"/>
      <c r="CR67" s="54"/>
      <c r="CS67" s="54"/>
      <c r="CT67" s="72"/>
      <c r="CU67" s="72"/>
    </row>
    <row r="68" spans="60:99" hidden="1">
      <c r="BH68" s="135"/>
      <c r="BI68" s="60"/>
      <c r="BJ68" s="60"/>
      <c r="BK68" s="61"/>
      <c r="BL68" s="61"/>
      <c r="BM68" s="61"/>
      <c r="BN68" s="61"/>
      <c r="BO68" s="161"/>
      <c r="BP68" s="135"/>
      <c r="BQ68" s="162"/>
      <c r="BR68" s="54"/>
      <c r="BS68" s="155"/>
      <c r="BT68" s="29"/>
      <c r="BU68" s="23"/>
      <c r="BV68" s="23"/>
      <c r="BW68" s="23"/>
      <c r="BX68" s="23"/>
      <c r="BY68" s="23" t="str">
        <f>IF(BY67="","",IF(VLOOKUP(TEXT(INT(BY67+1),"0000"),차량가!G$2:J$7549,4,0)=$BS$4,TEXT(BY67+1,"0000"),""))</f>
        <v/>
      </c>
      <c r="BZ68" s="23" t="str">
        <f>IF(ISERROR(VLOOKUP(BY68,차량가!G$2:K$6501,5,0)),"",VLOOKUP(BY68,차량가!G$2:K$6501,5,0))</f>
        <v/>
      </c>
      <c r="CA68" s="23" t="str">
        <f>IF(BY68="","",IF(VLOOKUP(TEXT(INT(BY67+1),"0000"),차량가!G$2:J$7549,4,0)=$BS$4,TEXT(BY67+1,"0000"),""))</f>
        <v/>
      </c>
      <c r="CB68" s="23"/>
      <c r="CC68" s="23"/>
      <c r="CD68" s="23"/>
      <c r="CE68" s="23"/>
      <c r="CF68" s="23"/>
      <c r="CG68" s="23"/>
      <c r="CH68" s="23"/>
      <c r="CI68" s="44"/>
      <c r="CJ68" s="43"/>
      <c r="CK68" s="43"/>
      <c r="CL68" s="43"/>
      <c r="CM68" s="23"/>
      <c r="CN68" s="325"/>
      <c r="CO68" s="54"/>
      <c r="CP68" s="54"/>
      <c r="CQ68" s="54"/>
      <c r="CR68" s="54"/>
      <c r="CS68" s="54"/>
      <c r="CT68" s="72"/>
      <c r="CU68" s="72"/>
    </row>
    <row r="69" spans="60:99" hidden="1">
      <c r="BH69" s="135"/>
      <c r="BI69" s="136"/>
      <c r="BJ69" s="136"/>
      <c r="BK69" s="136"/>
      <c r="BL69" s="136"/>
      <c r="BM69" s="136"/>
      <c r="BN69" s="136"/>
      <c r="BO69" s="161"/>
      <c r="BP69" s="135"/>
      <c r="BQ69" s="162"/>
      <c r="BR69" s="54"/>
      <c r="BS69" s="155"/>
      <c r="BT69" s="29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44"/>
      <c r="CJ69" s="43"/>
      <c r="CK69" s="43"/>
      <c r="CL69" s="43"/>
      <c r="CM69" s="23"/>
      <c r="CN69" s="325"/>
      <c r="CO69" s="54"/>
      <c r="CP69" s="54"/>
      <c r="CQ69" s="54"/>
      <c r="CR69" s="54"/>
      <c r="CS69" s="54"/>
      <c r="CT69" s="72"/>
      <c r="CU69" s="72"/>
    </row>
    <row r="70" spans="60:99" hidden="1">
      <c r="BH70" s="135" t="s">
        <v>2013</v>
      </c>
      <c r="BI70" s="135"/>
      <c r="BJ70" s="135" t="s">
        <v>2017</v>
      </c>
      <c r="BK70" s="135"/>
      <c r="BL70" s="135"/>
      <c r="BM70" s="135"/>
      <c r="BN70" s="135"/>
      <c r="BO70" s="135"/>
      <c r="BP70" s="135"/>
      <c r="BQ70" s="135"/>
      <c r="BR70" s="54"/>
      <c r="BS70" s="155"/>
      <c r="BT70" s="29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44"/>
      <c r="CJ70" s="43"/>
      <c r="CK70" s="43"/>
      <c r="CL70" s="43"/>
      <c r="CM70" s="23"/>
      <c r="CN70" s="325"/>
      <c r="CO70" s="54"/>
      <c r="CP70" s="54"/>
      <c r="CQ70" s="54"/>
      <c r="CR70" s="54"/>
      <c r="CS70" s="54"/>
      <c r="CT70" s="72"/>
      <c r="CU70" s="72"/>
    </row>
    <row r="71" spans="60:99" hidden="1">
      <c r="BH71" s="135"/>
      <c r="BI71" s="135">
        <v>1</v>
      </c>
      <c r="BJ71" s="135">
        <v>2</v>
      </c>
      <c r="BK71" s="135">
        <v>3</v>
      </c>
      <c r="BL71" s="135">
        <v>4</v>
      </c>
      <c r="BM71" s="135">
        <v>5</v>
      </c>
      <c r="BN71" s="135">
        <v>6</v>
      </c>
      <c r="BO71" s="135">
        <v>7</v>
      </c>
      <c r="BP71" s="135">
        <v>8</v>
      </c>
      <c r="BQ71" s="135">
        <v>9</v>
      </c>
      <c r="BR71" s="135">
        <v>10</v>
      </c>
      <c r="BS71" s="135">
        <v>11</v>
      </c>
      <c r="BT71" s="135">
        <v>12</v>
      </c>
      <c r="BU71" s="135">
        <v>13</v>
      </c>
      <c r="BV71" s="135">
        <v>14</v>
      </c>
      <c r="BW71" s="135">
        <v>15</v>
      </c>
      <c r="BX71" s="135">
        <v>16</v>
      </c>
      <c r="BY71" s="135">
        <v>17</v>
      </c>
      <c r="BZ71" s="135">
        <v>18</v>
      </c>
      <c r="CA71" s="135">
        <v>19</v>
      </c>
      <c r="CB71" s="135">
        <v>20</v>
      </c>
      <c r="CC71" s="135">
        <v>21</v>
      </c>
      <c r="CD71" s="135">
        <v>22</v>
      </c>
      <c r="CE71" s="23"/>
      <c r="CF71" s="23"/>
      <c r="CG71" s="23"/>
      <c r="CH71" s="23"/>
      <c r="CI71" s="44"/>
      <c r="CJ71" s="43"/>
      <c r="CK71" s="43"/>
      <c r="CL71" s="43"/>
      <c r="CM71" s="23"/>
      <c r="CN71" s="325"/>
      <c r="CO71" s="54"/>
      <c r="CP71" s="54"/>
      <c r="CQ71" s="54"/>
      <c r="CR71" s="54"/>
      <c r="CS71" s="54"/>
      <c r="CT71" s="72"/>
      <c r="CU71" s="72"/>
    </row>
    <row r="72" spans="60:99" hidden="1">
      <c r="BH72" s="135">
        <v>24</v>
      </c>
      <c r="BI72" s="136">
        <v>0.6</v>
      </c>
      <c r="BJ72" s="163">
        <v>0.59</v>
      </c>
      <c r="BK72" s="136">
        <v>0.57999999999999996</v>
      </c>
      <c r="BL72" s="163">
        <v>0.57000000000000006</v>
      </c>
      <c r="BM72" s="136">
        <v>0.56000000000000005</v>
      </c>
      <c r="BN72" s="163">
        <v>0.55000000000000004</v>
      </c>
      <c r="BO72" s="136">
        <v>0.54</v>
      </c>
      <c r="BP72" s="163">
        <v>0.53</v>
      </c>
      <c r="BQ72" s="136">
        <v>0.52</v>
      </c>
      <c r="BR72" s="163">
        <v>0.51</v>
      </c>
      <c r="BS72" s="136">
        <v>0.5</v>
      </c>
      <c r="BT72" s="163">
        <v>0.49</v>
      </c>
      <c r="BU72" s="136">
        <v>0.48</v>
      </c>
      <c r="BV72" s="163">
        <v>0.47</v>
      </c>
      <c r="BW72" s="136">
        <v>0.45999999999999996</v>
      </c>
      <c r="BX72" s="136">
        <v>0.45000000000000007</v>
      </c>
      <c r="BY72" s="136">
        <v>0.44000000000000006</v>
      </c>
      <c r="BZ72" s="45">
        <v>0.43000000000000005</v>
      </c>
      <c r="CA72" s="45">
        <v>0.42000000000000004</v>
      </c>
      <c r="CB72" s="45">
        <v>0.41000000000000003</v>
      </c>
      <c r="CC72" s="23"/>
      <c r="CD72" s="23"/>
      <c r="CE72" s="23"/>
      <c r="CF72" s="23"/>
      <c r="CG72" s="23"/>
      <c r="CH72" s="23"/>
      <c r="CI72" s="44"/>
      <c r="CJ72" s="43"/>
      <c r="CK72" s="43"/>
      <c r="CL72" s="43"/>
      <c r="CM72" s="23"/>
      <c r="CN72" s="325"/>
      <c r="CO72" s="54"/>
      <c r="CP72" s="54"/>
      <c r="CQ72" s="54"/>
      <c r="CR72" s="54"/>
      <c r="CS72" s="54"/>
      <c r="CT72" s="72"/>
      <c r="CU72" s="72"/>
    </row>
    <row r="73" spans="60:99" hidden="1">
      <c r="BH73" s="135">
        <v>36</v>
      </c>
      <c r="BI73" s="136">
        <v>0.52</v>
      </c>
      <c r="BJ73" s="163">
        <v>0.51</v>
      </c>
      <c r="BK73" s="136">
        <v>0.5</v>
      </c>
      <c r="BL73" s="163">
        <v>0.49</v>
      </c>
      <c r="BM73" s="136">
        <v>0.48</v>
      </c>
      <c r="BN73" s="163">
        <v>0.47</v>
      </c>
      <c r="BO73" s="136">
        <v>0.45999999999999996</v>
      </c>
      <c r="BP73" s="163">
        <v>0.45000000000000007</v>
      </c>
      <c r="BQ73" s="136">
        <v>0.44000000000000006</v>
      </c>
      <c r="BR73" s="163">
        <v>0.43000000000000005</v>
      </c>
      <c r="BS73" s="136">
        <v>0.42000000000000004</v>
      </c>
      <c r="BT73" s="163">
        <v>0.41000000000000103</v>
      </c>
      <c r="BU73" s="136">
        <v>0.40000000000000102</v>
      </c>
      <c r="BV73" s="163">
        <v>0.39000000000000101</v>
      </c>
      <c r="BW73" s="136">
        <v>0.380000000000001</v>
      </c>
      <c r="BX73" s="136">
        <v>0.37000000000000099</v>
      </c>
      <c r="BY73" s="136">
        <v>0.36000000000000099</v>
      </c>
      <c r="BZ73" s="45">
        <v>0.35000000000000098</v>
      </c>
      <c r="CA73" s="45">
        <v>0.34000000000000102</v>
      </c>
      <c r="CB73" s="45">
        <v>0.33000000000000101</v>
      </c>
      <c r="CC73" s="23"/>
      <c r="CD73" s="23"/>
      <c r="CE73" s="23"/>
      <c r="CF73" s="23"/>
      <c r="CG73" s="23"/>
      <c r="CH73" s="23"/>
      <c r="CI73" s="44"/>
      <c r="CJ73" s="43"/>
      <c r="CK73" s="43"/>
      <c r="CL73" s="43"/>
      <c r="CM73" s="23"/>
      <c r="CN73" s="325"/>
      <c r="CO73" s="54"/>
      <c r="CP73" s="54"/>
      <c r="CQ73" s="54"/>
      <c r="CR73" s="54"/>
      <c r="CS73" s="54"/>
      <c r="CT73" s="72"/>
      <c r="CU73" s="72"/>
    </row>
    <row r="74" spans="60:99" hidden="1">
      <c r="BH74" s="135">
        <v>48</v>
      </c>
      <c r="BI74" s="136">
        <v>0.44000000000000006</v>
      </c>
      <c r="BJ74" s="163">
        <v>0.43000000000000005</v>
      </c>
      <c r="BK74" s="136">
        <v>0.42000000000000004</v>
      </c>
      <c r="BL74" s="163">
        <v>0.41000000000000003</v>
      </c>
      <c r="BM74" s="136">
        <v>0.4</v>
      </c>
      <c r="BN74" s="163">
        <v>0.39</v>
      </c>
      <c r="BO74" s="136">
        <v>0.38</v>
      </c>
      <c r="BP74" s="163">
        <v>0.37</v>
      </c>
      <c r="BQ74" s="136">
        <v>0.36</v>
      </c>
      <c r="BR74" s="163">
        <v>0.35</v>
      </c>
      <c r="BS74" s="136">
        <v>0.34</v>
      </c>
      <c r="BT74" s="163">
        <v>0.33</v>
      </c>
      <c r="BU74" s="136">
        <v>0.32</v>
      </c>
      <c r="BV74" s="163">
        <v>0.31000000000000005</v>
      </c>
      <c r="BW74" s="136">
        <v>0.30000000000000004</v>
      </c>
      <c r="BX74" s="136">
        <v>0.29000000000000004</v>
      </c>
      <c r="BY74" s="136">
        <v>0.28000000000000003</v>
      </c>
      <c r="BZ74" s="45">
        <v>0.27</v>
      </c>
      <c r="CA74" s="45">
        <v>0.26</v>
      </c>
      <c r="CB74" s="45">
        <v>0.25</v>
      </c>
      <c r="CC74" s="23"/>
      <c r="CD74" s="23"/>
      <c r="CE74" s="23"/>
      <c r="CF74" s="23"/>
      <c r="CG74" s="23"/>
      <c r="CH74" s="23"/>
      <c r="CI74" s="44"/>
      <c r="CJ74" s="43"/>
      <c r="CK74" s="43"/>
      <c r="CL74" s="43"/>
      <c r="CM74" s="23"/>
      <c r="CN74" s="325"/>
      <c r="CO74" s="54"/>
      <c r="CP74" s="54"/>
      <c r="CQ74" s="54"/>
      <c r="CR74" s="54"/>
      <c r="CS74" s="54"/>
      <c r="CT74" s="72"/>
      <c r="CU74" s="72"/>
    </row>
    <row r="75" spans="60:99" hidden="1">
      <c r="BH75" s="135">
        <v>60</v>
      </c>
      <c r="BI75" s="136">
        <v>0.35</v>
      </c>
      <c r="BJ75" s="163">
        <v>0.34</v>
      </c>
      <c r="BK75" s="136">
        <v>0.33</v>
      </c>
      <c r="BL75" s="163">
        <v>0.32</v>
      </c>
      <c r="BM75" s="136">
        <v>0.31000000000000005</v>
      </c>
      <c r="BN75" s="163">
        <v>0.30000000000000004</v>
      </c>
      <c r="BO75" s="136">
        <v>0.29000000000000004</v>
      </c>
      <c r="BP75" s="163">
        <v>0.28000000000000003</v>
      </c>
      <c r="BQ75" s="136">
        <v>0.27</v>
      </c>
      <c r="BR75" s="163">
        <v>0.26</v>
      </c>
      <c r="BS75" s="136">
        <v>0.25</v>
      </c>
      <c r="BT75" s="163">
        <v>0.24000000000000002</v>
      </c>
      <c r="BU75" s="136">
        <v>0.23</v>
      </c>
      <c r="BV75" s="163">
        <v>0.22000000000000003</v>
      </c>
      <c r="BW75" s="136">
        <v>0.21000000000000002</v>
      </c>
      <c r="BX75" s="136">
        <v>0.2</v>
      </c>
      <c r="BY75" s="136">
        <v>0.19</v>
      </c>
      <c r="BZ75" s="45">
        <v>0.18000000000000002</v>
      </c>
      <c r="CA75" s="45">
        <v>0.17</v>
      </c>
      <c r="CB75" s="45">
        <v>0.16000000000000003</v>
      </c>
      <c r="CC75" s="23"/>
      <c r="CD75" s="23"/>
      <c r="CE75" s="23"/>
      <c r="CF75" s="23"/>
      <c r="CG75" s="23"/>
      <c r="CH75" s="23"/>
      <c r="CI75" s="44"/>
      <c r="CJ75" s="43"/>
      <c r="CK75" s="43"/>
      <c r="CL75" s="43"/>
      <c r="CM75" s="23"/>
      <c r="CN75" s="325"/>
      <c r="CO75" s="54"/>
      <c r="CP75" s="54"/>
      <c r="CQ75" s="54"/>
      <c r="CR75" s="54"/>
      <c r="CS75" s="54"/>
      <c r="CT75" s="72"/>
      <c r="CU75" s="72"/>
    </row>
    <row r="76" spans="60:99" hidden="1">
      <c r="BH76" s="135"/>
      <c r="BI76" s="136"/>
      <c r="BJ76" s="163"/>
      <c r="BK76" s="136"/>
      <c r="BL76" s="163"/>
      <c r="BM76" s="136"/>
      <c r="BN76" s="163"/>
      <c r="BO76" s="136"/>
      <c r="BP76" s="163"/>
      <c r="BQ76" s="136"/>
      <c r="BR76" s="163"/>
      <c r="BS76" s="136"/>
      <c r="BT76" s="163"/>
      <c r="BU76" s="136"/>
      <c r="BV76" s="163"/>
      <c r="BW76" s="136"/>
      <c r="BX76" s="136"/>
      <c r="BY76" s="136"/>
      <c r="BZ76" s="45"/>
      <c r="CA76" s="45"/>
      <c r="CB76" s="45"/>
      <c r="CC76" s="23"/>
      <c r="CD76" s="23"/>
      <c r="CE76" s="23"/>
      <c r="CF76" s="23"/>
      <c r="CG76" s="23"/>
      <c r="CH76" s="23"/>
      <c r="CI76" s="44"/>
      <c r="CJ76" s="43"/>
      <c r="CK76" s="43"/>
      <c r="CL76" s="43"/>
      <c r="CM76" s="23"/>
      <c r="CN76" s="325"/>
      <c r="CO76" s="54"/>
      <c r="CP76" s="54"/>
      <c r="CQ76" s="54"/>
      <c r="CR76" s="54"/>
      <c r="CS76" s="54"/>
      <c r="CT76" s="72"/>
      <c r="CU76" s="72"/>
    </row>
    <row r="77" spans="60:99" hidden="1">
      <c r="BH77" s="135"/>
      <c r="BI77" s="136"/>
      <c r="BJ77" s="163"/>
      <c r="BK77" s="136"/>
      <c r="BL77" s="163"/>
      <c r="BM77" s="136"/>
      <c r="BN77" s="163"/>
      <c r="BO77" s="136"/>
      <c r="BP77" s="163"/>
      <c r="BQ77" s="136"/>
      <c r="BR77" s="163"/>
      <c r="BS77" s="136"/>
      <c r="BT77" s="163"/>
      <c r="BU77" s="136"/>
      <c r="BV77" s="163"/>
      <c r="BW77" s="136"/>
      <c r="BX77" s="136"/>
      <c r="BY77" s="136"/>
      <c r="BZ77" s="45"/>
      <c r="CA77" s="45"/>
      <c r="CB77" s="45"/>
      <c r="CC77" s="23"/>
      <c r="CD77" s="23"/>
      <c r="CE77" s="23"/>
      <c r="CF77" s="23"/>
      <c r="CG77" s="23"/>
      <c r="CH77" s="23"/>
      <c r="CI77" s="44"/>
      <c r="CJ77" s="43"/>
      <c r="CK77" s="43"/>
      <c r="CL77" s="43"/>
      <c r="CM77" s="23"/>
      <c r="CN77" s="325"/>
      <c r="CO77" s="54"/>
      <c r="CP77" s="54"/>
      <c r="CQ77" s="54"/>
      <c r="CR77" s="54"/>
      <c r="CS77" s="54"/>
      <c r="CT77" s="72"/>
      <c r="CU77" s="72"/>
    </row>
    <row r="78" spans="60:99" hidden="1">
      <c r="BH78" s="135"/>
      <c r="BI78" s="56">
        <f>BI74-BI73</f>
        <v>-7.999999999999996E-2</v>
      </c>
      <c r="BJ78" s="56">
        <f t="shared" ref="BJ78:CD78" si="3">BJ74-BJ73</f>
        <v>-7.999999999999996E-2</v>
      </c>
      <c r="BK78" s="56">
        <f t="shared" si="3"/>
        <v>-7.999999999999996E-2</v>
      </c>
      <c r="BL78" s="56">
        <f t="shared" si="3"/>
        <v>-7.999999999999996E-2</v>
      </c>
      <c r="BM78" s="56">
        <f t="shared" si="3"/>
        <v>-7.999999999999996E-2</v>
      </c>
      <c r="BN78" s="56">
        <f t="shared" si="3"/>
        <v>-7.999999999999996E-2</v>
      </c>
      <c r="BO78" s="56">
        <f t="shared" si="3"/>
        <v>-7.999999999999996E-2</v>
      </c>
      <c r="BP78" s="56">
        <f t="shared" si="3"/>
        <v>-8.0000000000000071E-2</v>
      </c>
      <c r="BQ78" s="56">
        <f t="shared" si="3"/>
        <v>-8.0000000000000071E-2</v>
      </c>
      <c r="BR78" s="56">
        <f t="shared" si="3"/>
        <v>-8.0000000000000071E-2</v>
      </c>
      <c r="BS78" s="56">
        <f t="shared" si="3"/>
        <v>-8.0000000000000016E-2</v>
      </c>
      <c r="BT78" s="56">
        <f t="shared" si="3"/>
        <v>-8.0000000000001015E-2</v>
      </c>
      <c r="BU78" s="56">
        <f t="shared" si="3"/>
        <v>-8.0000000000001015E-2</v>
      </c>
      <c r="BV78" s="56">
        <f t="shared" si="3"/>
        <v>-8.0000000000000959E-2</v>
      </c>
      <c r="BW78" s="56">
        <f t="shared" si="3"/>
        <v>-8.0000000000000959E-2</v>
      </c>
      <c r="BX78" s="56">
        <f t="shared" si="3"/>
        <v>-8.0000000000000959E-2</v>
      </c>
      <c r="BY78" s="56">
        <f t="shared" si="3"/>
        <v>-8.0000000000000959E-2</v>
      </c>
      <c r="BZ78" s="56">
        <f t="shared" si="3"/>
        <v>-8.0000000000000959E-2</v>
      </c>
      <c r="CA78" s="56">
        <f t="shared" si="3"/>
        <v>-8.0000000000001015E-2</v>
      </c>
      <c r="CB78" s="56">
        <f t="shared" si="3"/>
        <v>-8.0000000000001015E-2</v>
      </c>
      <c r="CC78" s="56">
        <f t="shared" si="3"/>
        <v>0</v>
      </c>
      <c r="CD78" s="56">
        <f t="shared" si="3"/>
        <v>0</v>
      </c>
      <c r="CE78" s="23"/>
      <c r="CF78" s="23"/>
      <c r="CG78" s="23"/>
      <c r="CH78" s="23"/>
      <c r="CI78" s="44"/>
      <c r="CJ78" s="43"/>
      <c r="CK78" s="43"/>
      <c r="CL78" s="43"/>
      <c r="CM78" s="23"/>
      <c r="CN78" s="325"/>
      <c r="CO78" s="54"/>
      <c r="CP78" s="54"/>
      <c r="CQ78" s="54"/>
      <c r="CR78" s="54"/>
      <c r="CS78" s="54"/>
      <c r="CT78" s="72"/>
      <c r="CU78" s="72"/>
    </row>
    <row r="79" spans="60:99" hidden="1">
      <c r="BH79" s="135"/>
      <c r="BI79" s="179">
        <f>BI73-BI75</f>
        <v>0.17000000000000004</v>
      </c>
      <c r="BJ79" s="179">
        <f t="shared" ref="BJ79:CD79" si="4">BJ73-BJ75</f>
        <v>0.16999999999999998</v>
      </c>
      <c r="BK79" s="179">
        <f t="shared" si="4"/>
        <v>0.16999999999999998</v>
      </c>
      <c r="BL79" s="179">
        <f t="shared" si="4"/>
        <v>0.16999999999999998</v>
      </c>
      <c r="BM79" s="179">
        <f t="shared" si="4"/>
        <v>0.16999999999999993</v>
      </c>
      <c r="BN79" s="179">
        <f t="shared" si="4"/>
        <v>0.16999999999999993</v>
      </c>
      <c r="BO79" s="179">
        <f t="shared" si="4"/>
        <v>0.16999999999999993</v>
      </c>
      <c r="BP79" s="179">
        <f t="shared" si="4"/>
        <v>0.17000000000000004</v>
      </c>
      <c r="BQ79" s="179">
        <f t="shared" si="4"/>
        <v>0.17000000000000004</v>
      </c>
      <c r="BR79" s="179">
        <f t="shared" si="4"/>
        <v>0.17000000000000004</v>
      </c>
      <c r="BS79" s="179">
        <f t="shared" si="4"/>
        <v>0.17000000000000004</v>
      </c>
      <c r="BT79" s="179">
        <f t="shared" si="4"/>
        <v>0.17000000000000101</v>
      </c>
      <c r="BU79" s="179">
        <f t="shared" si="4"/>
        <v>0.17000000000000101</v>
      </c>
      <c r="BV79" s="179">
        <f t="shared" si="4"/>
        <v>0.17000000000000098</v>
      </c>
      <c r="BW79" s="179">
        <f t="shared" si="4"/>
        <v>0.17000000000000098</v>
      </c>
      <c r="BX79" s="179">
        <f t="shared" si="4"/>
        <v>0.17000000000000098</v>
      </c>
      <c r="BY79" s="179">
        <f t="shared" si="4"/>
        <v>0.17000000000000098</v>
      </c>
      <c r="BZ79" s="179">
        <f t="shared" si="4"/>
        <v>0.17000000000000096</v>
      </c>
      <c r="CA79" s="179">
        <f t="shared" si="4"/>
        <v>0.17000000000000101</v>
      </c>
      <c r="CB79" s="179">
        <f t="shared" si="4"/>
        <v>0.17000000000000098</v>
      </c>
      <c r="CC79" s="179">
        <f t="shared" si="4"/>
        <v>0</v>
      </c>
      <c r="CD79" s="179">
        <f t="shared" si="4"/>
        <v>0</v>
      </c>
      <c r="CE79" s="23"/>
      <c r="CF79" s="23"/>
      <c r="CG79" s="23"/>
      <c r="CH79" s="23"/>
      <c r="CI79" s="44"/>
      <c r="CJ79" s="43"/>
      <c r="CK79" s="43"/>
      <c r="CL79" s="43"/>
      <c r="CM79" s="23"/>
      <c r="CN79" s="325"/>
      <c r="CO79" s="54"/>
      <c r="CP79" s="54"/>
      <c r="CQ79" s="54"/>
      <c r="CR79" s="54"/>
      <c r="CS79" s="54"/>
      <c r="CT79" s="72"/>
      <c r="CU79" s="72"/>
    </row>
    <row r="80" spans="60:99" hidden="1">
      <c r="BH80" s="135" t="s">
        <v>2014</v>
      </c>
      <c r="BI80" s="135"/>
      <c r="BJ80" s="135" t="s">
        <v>2017</v>
      </c>
      <c r="BK80" s="135"/>
      <c r="BL80" s="135"/>
      <c r="BM80" s="135"/>
      <c r="BN80" s="135"/>
      <c r="BO80" s="135"/>
      <c r="BP80" s="135"/>
      <c r="BQ80" s="135"/>
      <c r="BR80" s="54"/>
      <c r="BS80" s="155"/>
      <c r="BT80" s="29"/>
      <c r="BU80" s="23"/>
      <c r="BV80" s="23"/>
      <c r="BW80" s="23"/>
      <c r="BX80" s="23"/>
      <c r="BY80" s="23"/>
      <c r="BZ80" s="23"/>
      <c r="CA80" s="23"/>
      <c r="CB80" s="23"/>
      <c r="CC80" s="135" t="s">
        <v>1162</v>
      </c>
      <c r="CD80" s="135"/>
      <c r="CE80" s="23"/>
      <c r="CF80" s="23"/>
      <c r="CG80" s="23"/>
      <c r="CH80" s="23"/>
      <c r="CI80" s="44"/>
      <c r="CJ80" s="43"/>
      <c r="CK80" s="43"/>
      <c r="CL80" s="43"/>
      <c r="CM80" s="23"/>
      <c r="CN80" s="325"/>
      <c r="CO80" s="54"/>
      <c r="CP80" s="54"/>
      <c r="CQ80" s="54"/>
      <c r="CR80" s="54"/>
      <c r="CS80" s="54"/>
      <c r="CT80" s="72"/>
      <c r="CU80" s="72"/>
    </row>
    <row r="81" spans="60:99" hidden="1">
      <c r="BH81" s="135"/>
      <c r="BI81" s="135">
        <v>1</v>
      </c>
      <c r="BJ81" s="135">
        <v>2</v>
      </c>
      <c r="BK81" s="135">
        <v>3</v>
      </c>
      <c r="BL81" s="135">
        <v>4</v>
      </c>
      <c r="BM81" s="135">
        <v>5</v>
      </c>
      <c r="BN81" s="135">
        <v>6</v>
      </c>
      <c r="BO81" s="135">
        <v>7</v>
      </c>
      <c r="BP81" s="135">
        <v>8</v>
      </c>
      <c r="BQ81" s="135">
        <v>9</v>
      </c>
      <c r="BR81" s="135">
        <v>10</v>
      </c>
      <c r="BS81" s="135">
        <v>11</v>
      </c>
      <c r="BT81" s="135">
        <v>12</v>
      </c>
      <c r="BU81" s="135">
        <v>13</v>
      </c>
      <c r="BV81" s="135">
        <v>14</v>
      </c>
      <c r="BW81" s="135">
        <v>15</v>
      </c>
      <c r="BX81" s="135">
        <v>16</v>
      </c>
      <c r="BY81" s="135">
        <v>17</v>
      </c>
      <c r="BZ81" s="135">
        <v>18</v>
      </c>
      <c r="CA81" s="135">
        <v>19</v>
      </c>
      <c r="CB81" s="135">
        <v>20</v>
      </c>
      <c r="CC81" s="135">
        <v>21</v>
      </c>
      <c r="CD81" s="135">
        <v>22</v>
      </c>
      <c r="CE81" s="129"/>
      <c r="CF81" s="129"/>
      <c r="CG81" s="129"/>
      <c r="CH81" s="23"/>
      <c r="CI81" s="44"/>
      <c r="CJ81" s="43"/>
      <c r="CK81" s="43"/>
      <c r="CL81" s="43"/>
      <c r="CM81" s="23"/>
      <c r="CN81" s="325"/>
      <c r="CO81" s="54"/>
      <c r="CP81" s="54"/>
      <c r="CQ81" s="54"/>
      <c r="CR81" s="54"/>
      <c r="CS81" s="54"/>
      <c r="CT81" s="72"/>
      <c r="CU81" s="72"/>
    </row>
    <row r="82" spans="60:99" hidden="1">
      <c r="BH82" s="135">
        <v>24</v>
      </c>
      <c r="BI82" s="390">
        <v>0.57999999999999996</v>
      </c>
      <c r="BJ82" s="390">
        <v>0.57000000000000006</v>
      </c>
      <c r="BK82" s="390">
        <v>0.56000000000000005</v>
      </c>
      <c r="BL82" s="390">
        <v>0.55000000000000004</v>
      </c>
      <c r="BM82" s="390">
        <v>0.54</v>
      </c>
      <c r="BN82" s="390">
        <v>0.53</v>
      </c>
      <c r="BO82" s="390">
        <v>0.52</v>
      </c>
      <c r="BP82" s="390">
        <v>0.51</v>
      </c>
      <c r="BQ82" s="390">
        <v>0.5</v>
      </c>
      <c r="BR82" s="390">
        <v>0.49</v>
      </c>
      <c r="BS82" s="390">
        <v>0.48</v>
      </c>
      <c r="BT82" s="390">
        <v>0.47000000000000097</v>
      </c>
      <c r="BU82" s="390">
        <v>0.46000000000000096</v>
      </c>
      <c r="BV82" s="390">
        <v>0.45000000000000107</v>
      </c>
      <c r="BW82" s="390">
        <v>0.44000000000000106</v>
      </c>
      <c r="BX82" s="390">
        <v>0.43000000000000105</v>
      </c>
      <c r="BY82" s="390">
        <v>0.42000000000000104</v>
      </c>
      <c r="BZ82" s="390">
        <v>0.41000000000000103</v>
      </c>
      <c r="CA82" s="390">
        <v>0.40000000000000102</v>
      </c>
      <c r="CB82" s="390">
        <v>0.39000000000000101</v>
      </c>
      <c r="CC82" s="390">
        <v>0.380000000000001</v>
      </c>
      <c r="CD82" s="390">
        <v>0.33</v>
      </c>
      <c r="CE82" s="129"/>
      <c r="CF82" s="129"/>
      <c r="CG82" s="129"/>
      <c r="CH82" s="23"/>
      <c r="CI82" s="44"/>
      <c r="CJ82" s="43"/>
      <c r="CK82" s="43"/>
      <c r="CL82" s="43"/>
      <c r="CM82" s="23"/>
      <c r="CN82" s="325"/>
      <c r="CO82" s="54"/>
      <c r="CP82" s="54"/>
      <c r="CQ82" s="54"/>
      <c r="CR82" s="54"/>
      <c r="CS82" s="54"/>
      <c r="CT82" s="72"/>
      <c r="CU82" s="72"/>
    </row>
    <row r="83" spans="60:99" hidden="1">
      <c r="BH83" s="135">
        <v>36</v>
      </c>
      <c r="BI83" s="390">
        <v>0.5</v>
      </c>
      <c r="BJ83" s="390">
        <v>0.49</v>
      </c>
      <c r="BK83" s="390">
        <v>0.48</v>
      </c>
      <c r="BL83" s="390">
        <v>0.47</v>
      </c>
      <c r="BM83" s="390">
        <v>0.45999999999999996</v>
      </c>
      <c r="BN83" s="390">
        <v>0.45000000000000007</v>
      </c>
      <c r="BO83" s="390">
        <v>0.44000000000000006</v>
      </c>
      <c r="BP83" s="390">
        <v>0.43000000000000005</v>
      </c>
      <c r="BQ83" s="390">
        <v>0.42000000000000004</v>
      </c>
      <c r="BR83" s="390">
        <v>0.41000000000000003</v>
      </c>
      <c r="BS83" s="390">
        <v>0.4</v>
      </c>
      <c r="BT83" s="390">
        <v>0.39</v>
      </c>
      <c r="BU83" s="390">
        <v>0.38</v>
      </c>
      <c r="BV83" s="390">
        <v>0.37</v>
      </c>
      <c r="BW83" s="390">
        <v>0.36</v>
      </c>
      <c r="BX83" s="390">
        <v>0.35</v>
      </c>
      <c r="BY83" s="390">
        <v>0.34</v>
      </c>
      <c r="BZ83" s="390">
        <v>0.33</v>
      </c>
      <c r="CA83" s="390">
        <v>0.32</v>
      </c>
      <c r="CB83" s="390">
        <v>0.31000000000000005</v>
      </c>
      <c r="CC83" s="390">
        <v>0.30000000000000004</v>
      </c>
      <c r="CD83" s="390">
        <v>0.28000000000000003</v>
      </c>
      <c r="CE83" s="129"/>
      <c r="CF83" s="129"/>
      <c r="CG83" s="129"/>
      <c r="CH83" s="23"/>
      <c r="CI83" s="44"/>
      <c r="CJ83" s="43"/>
      <c r="CK83" s="43"/>
      <c r="CL83" s="43"/>
      <c r="CM83" s="23"/>
      <c r="CN83" s="325"/>
      <c r="CO83" s="54"/>
      <c r="CP83" s="54"/>
      <c r="CQ83" s="54"/>
      <c r="CR83" s="54"/>
      <c r="CS83" s="54"/>
      <c r="CT83" s="72"/>
      <c r="CU83" s="72"/>
    </row>
    <row r="84" spans="60:99" hidden="1">
      <c r="BH84" s="135">
        <v>48</v>
      </c>
      <c r="BI84" s="390">
        <v>0.42000000000000004</v>
      </c>
      <c r="BJ84" s="390">
        <v>0.41000000000000003</v>
      </c>
      <c r="BK84" s="390">
        <v>0.4</v>
      </c>
      <c r="BL84" s="390">
        <v>0.39</v>
      </c>
      <c r="BM84" s="390">
        <v>0.38</v>
      </c>
      <c r="BN84" s="390">
        <v>0.37</v>
      </c>
      <c r="BO84" s="390">
        <v>0.36</v>
      </c>
      <c r="BP84" s="390">
        <v>0.35</v>
      </c>
      <c r="BQ84" s="390">
        <v>0.34</v>
      </c>
      <c r="BR84" s="390">
        <v>0.33</v>
      </c>
      <c r="BS84" s="390">
        <v>0.32</v>
      </c>
      <c r="BT84" s="390">
        <v>0.31000000000000005</v>
      </c>
      <c r="BU84" s="390">
        <v>0.30000000000000004</v>
      </c>
      <c r="BV84" s="390">
        <v>0.29000000000000004</v>
      </c>
      <c r="BW84" s="390">
        <v>0.28000000000000003</v>
      </c>
      <c r="BX84" s="390">
        <v>0.27</v>
      </c>
      <c r="BY84" s="390">
        <v>0.26</v>
      </c>
      <c r="BZ84" s="390">
        <v>0.25</v>
      </c>
      <c r="CA84" s="390">
        <v>0.24000000000000002</v>
      </c>
      <c r="CB84" s="390">
        <v>0.23</v>
      </c>
      <c r="CC84" s="390">
        <v>0.22000000000000003</v>
      </c>
      <c r="CD84" s="390">
        <v>0.18000000000000002</v>
      </c>
      <c r="CE84" s="129"/>
      <c r="CF84" s="129"/>
      <c r="CG84" s="129"/>
      <c r="CH84" s="23"/>
      <c r="CI84" s="44"/>
      <c r="CJ84" s="43"/>
      <c r="CK84" s="43"/>
      <c r="CL84" s="43"/>
      <c r="CM84" s="23"/>
      <c r="CN84" s="325"/>
      <c r="CO84" s="54"/>
      <c r="CP84" s="54"/>
      <c r="CQ84" s="54"/>
      <c r="CR84" s="54"/>
      <c r="CS84" s="54"/>
      <c r="CT84" s="72"/>
      <c r="CU84" s="72"/>
    </row>
    <row r="85" spans="60:99" hidden="1">
      <c r="BH85" s="135">
        <v>60</v>
      </c>
      <c r="BI85" s="390">
        <v>0.36</v>
      </c>
      <c r="BJ85" s="390">
        <v>0.35</v>
      </c>
      <c r="BK85" s="390">
        <v>0.34</v>
      </c>
      <c r="BL85" s="390">
        <v>0.33</v>
      </c>
      <c r="BM85" s="390">
        <v>0.32</v>
      </c>
      <c r="BN85" s="390">
        <v>0.31000000000000005</v>
      </c>
      <c r="BO85" s="390">
        <v>0.30000000000000004</v>
      </c>
      <c r="BP85" s="390">
        <v>0.29000000000000004</v>
      </c>
      <c r="BQ85" s="390">
        <v>0.28000000000000003</v>
      </c>
      <c r="BR85" s="390">
        <v>0.27</v>
      </c>
      <c r="BS85" s="390">
        <v>0.26</v>
      </c>
      <c r="BT85" s="390">
        <v>0.25</v>
      </c>
      <c r="BU85" s="390">
        <v>0.24000000000000002</v>
      </c>
      <c r="BV85" s="390">
        <v>0.23</v>
      </c>
      <c r="BW85" s="390">
        <v>0.22000000000000003</v>
      </c>
      <c r="BX85" s="390">
        <v>0.21000000000000002</v>
      </c>
      <c r="BY85" s="390">
        <v>0.2</v>
      </c>
      <c r="BZ85" s="390">
        <v>0.19</v>
      </c>
      <c r="CA85" s="390">
        <v>0.18000000000000002</v>
      </c>
      <c r="CB85" s="390">
        <v>0.17</v>
      </c>
      <c r="CC85" s="390">
        <v>0.16000000000000003</v>
      </c>
      <c r="CD85" s="390">
        <v>0.11</v>
      </c>
      <c r="CE85" s="129"/>
      <c r="CF85" s="129"/>
      <c r="CG85" s="129"/>
      <c r="CH85" s="23"/>
      <c r="CI85" s="44"/>
      <c r="CJ85" s="43"/>
      <c r="CK85" s="43"/>
      <c r="CL85" s="43"/>
      <c r="CM85" s="23"/>
      <c r="CN85" s="325"/>
      <c r="CO85" s="54"/>
      <c r="CP85" s="54"/>
      <c r="CQ85" s="54"/>
      <c r="CR85" s="54"/>
      <c r="CS85" s="54"/>
      <c r="CT85" s="72"/>
      <c r="CU85" s="72"/>
    </row>
    <row r="86" spans="60:99" hidden="1">
      <c r="BH86" s="135"/>
      <c r="BI86" s="390"/>
      <c r="BJ86" s="390"/>
      <c r="BK86" s="390"/>
      <c r="BL86" s="390"/>
      <c r="BM86" s="390"/>
      <c r="BN86" s="390"/>
      <c r="BO86" s="390"/>
      <c r="BP86" s="390"/>
      <c r="BQ86" s="390"/>
      <c r="BR86" s="390"/>
      <c r="BS86" s="390"/>
      <c r="BT86" s="390"/>
      <c r="BU86" s="390"/>
      <c r="BV86" s="390"/>
      <c r="BW86" s="390"/>
      <c r="BX86" s="390"/>
      <c r="BY86" s="390"/>
      <c r="BZ86" s="390"/>
      <c r="CA86" s="390"/>
      <c r="CB86" s="390"/>
      <c r="CC86" s="390"/>
      <c r="CD86" s="390"/>
      <c r="CE86" s="129"/>
      <c r="CF86" s="129"/>
      <c r="CG86" s="129"/>
      <c r="CH86" s="23"/>
      <c r="CI86" s="44"/>
      <c r="CJ86" s="43"/>
      <c r="CK86" s="43"/>
      <c r="CL86" s="43"/>
      <c r="CM86" s="23"/>
      <c r="CN86" s="325"/>
      <c r="CO86" s="54"/>
      <c r="CP86" s="54"/>
      <c r="CQ86" s="54"/>
      <c r="CR86" s="54"/>
      <c r="CS86" s="54"/>
      <c r="CT86" s="72"/>
      <c r="CU86" s="72"/>
    </row>
    <row r="87" spans="60:99" hidden="1">
      <c r="BH87" s="135"/>
      <c r="BI87" s="390"/>
      <c r="BJ87" s="390"/>
      <c r="BK87" s="390"/>
      <c r="BL87" s="390"/>
      <c r="BM87" s="390"/>
      <c r="BN87" s="390"/>
      <c r="BO87" s="390"/>
      <c r="BP87" s="390"/>
      <c r="BQ87" s="390"/>
      <c r="BR87" s="390"/>
      <c r="BS87" s="390"/>
      <c r="BT87" s="390"/>
      <c r="BU87" s="390"/>
      <c r="BV87" s="390"/>
      <c r="BW87" s="390"/>
      <c r="BX87" s="390"/>
      <c r="BY87" s="390"/>
      <c r="BZ87" s="390"/>
      <c r="CA87" s="390"/>
      <c r="CB87" s="390"/>
      <c r="CC87" s="390"/>
      <c r="CD87" s="390"/>
      <c r="CE87" s="129"/>
      <c r="CF87" s="129"/>
      <c r="CG87" s="129"/>
      <c r="CH87" s="23"/>
      <c r="CI87" s="44"/>
      <c r="CJ87" s="43"/>
      <c r="CK87" s="43"/>
      <c r="CL87" s="43"/>
      <c r="CM87" s="23"/>
      <c r="CN87" s="325"/>
      <c r="CO87" s="54"/>
      <c r="CP87" s="54"/>
      <c r="CQ87" s="54"/>
      <c r="CR87" s="54"/>
      <c r="CS87" s="54"/>
      <c r="CT87" s="72"/>
      <c r="CU87" s="72"/>
    </row>
    <row r="88" spans="60:99" hidden="1">
      <c r="BH88" s="135"/>
      <c r="BI88" s="56">
        <f>BI84-BI83</f>
        <v>-7.999999999999996E-2</v>
      </c>
      <c r="BJ88" s="56">
        <f t="shared" ref="BJ88:CD88" si="5">BJ84-BJ83</f>
        <v>-7.999999999999996E-2</v>
      </c>
      <c r="BK88" s="56">
        <f t="shared" si="5"/>
        <v>-7.999999999999996E-2</v>
      </c>
      <c r="BL88" s="56">
        <f t="shared" si="5"/>
        <v>-7.999999999999996E-2</v>
      </c>
      <c r="BM88" s="56">
        <f t="shared" si="5"/>
        <v>-7.999999999999996E-2</v>
      </c>
      <c r="BN88" s="56">
        <f t="shared" si="5"/>
        <v>-8.0000000000000071E-2</v>
      </c>
      <c r="BO88" s="56">
        <f t="shared" si="5"/>
        <v>-8.0000000000000071E-2</v>
      </c>
      <c r="BP88" s="56">
        <f t="shared" si="5"/>
        <v>-8.0000000000000071E-2</v>
      </c>
      <c r="BQ88" s="56">
        <f t="shared" si="5"/>
        <v>-8.0000000000000016E-2</v>
      </c>
      <c r="BR88" s="56">
        <f t="shared" si="5"/>
        <v>-8.0000000000000016E-2</v>
      </c>
      <c r="BS88" s="56">
        <f t="shared" si="5"/>
        <v>-8.0000000000000016E-2</v>
      </c>
      <c r="BT88" s="56">
        <f t="shared" si="5"/>
        <v>-7.999999999999996E-2</v>
      </c>
      <c r="BU88" s="56">
        <f t="shared" si="5"/>
        <v>-7.999999999999996E-2</v>
      </c>
      <c r="BV88" s="56">
        <f t="shared" si="5"/>
        <v>-7.999999999999996E-2</v>
      </c>
      <c r="BW88" s="56">
        <f t="shared" si="5"/>
        <v>-7.999999999999996E-2</v>
      </c>
      <c r="BX88" s="56">
        <f t="shared" si="5"/>
        <v>-7.999999999999996E-2</v>
      </c>
      <c r="BY88" s="56">
        <f t="shared" si="5"/>
        <v>-8.0000000000000016E-2</v>
      </c>
      <c r="BZ88" s="56">
        <f t="shared" si="5"/>
        <v>-8.0000000000000016E-2</v>
      </c>
      <c r="CA88" s="56">
        <f t="shared" si="5"/>
        <v>-7.9999999999999988E-2</v>
      </c>
      <c r="CB88" s="56">
        <f t="shared" si="5"/>
        <v>-8.0000000000000043E-2</v>
      </c>
      <c r="CC88" s="56">
        <f t="shared" si="5"/>
        <v>-8.0000000000000016E-2</v>
      </c>
      <c r="CD88" s="56">
        <f t="shared" si="5"/>
        <v>-0.1</v>
      </c>
      <c r="CE88" s="129"/>
      <c r="CF88" s="129"/>
      <c r="CG88" s="129"/>
      <c r="CH88" s="23"/>
      <c r="CI88" s="44"/>
      <c r="CJ88" s="43"/>
      <c r="CK88" s="43"/>
      <c r="CL88" s="43"/>
      <c r="CM88" s="23"/>
      <c r="CN88" s="325"/>
      <c r="CO88" s="54"/>
      <c r="CP88" s="54"/>
      <c r="CQ88" s="54"/>
      <c r="CR88" s="54"/>
      <c r="CS88" s="54"/>
      <c r="CT88" s="72"/>
      <c r="CU88" s="72"/>
    </row>
    <row r="89" spans="60:99" hidden="1">
      <c r="BH89" s="54"/>
      <c r="BI89" s="179">
        <f>BI83-BI85</f>
        <v>0.14000000000000001</v>
      </c>
      <c r="BJ89" s="179">
        <f t="shared" ref="BJ89:CD89" si="6">BJ83-BJ85</f>
        <v>0.14000000000000001</v>
      </c>
      <c r="BK89" s="179">
        <f t="shared" si="6"/>
        <v>0.13999999999999996</v>
      </c>
      <c r="BL89" s="179">
        <f t="shared" si="6"/>
        <v>0.13999999999999996</v>
      </c>
      <c r="BM89" s="179">
        <f t="shared" si="6"/>
        <v>0.13999999999999996</v>
      </c>
      <c r="BN89" s="179">
        <f t="shared" si="6"/>
        <v>0.14000000000000001</v>
      </c>
      <c r="BO89" s="179">
        <f t="shared" si="6"/>
        <v>0.14000000000000001</v>
      </c>
      <c r="BP89" s="179">
        <f t="shared" si="6"/>
        <v>0.14000000000000001</v>
      </c>
      <c r="BQ89" s="179">
        <f t="shared" si="6"/>
        <v>0.14000000000000001</v>
      </c>
      <c r="BR89" s="179">
        <f t="shared" si="6"/>
        <v>0.14000000000000001</v>
      </c>
      <c r="BS89" s="179">
        <f t="shared" si="6"/>
        <v>0.14000000000000001</v>
      </c>
      <c r="BT89" s="179">
        <f t="shared" si="6"/>
        <v>0.14000000000000001</v>
      </c>
      <c r="BU89" s="179">
        <f t="shared" si="6"/>
        <v>0.13999999999999999</v>
      </c>
      <c r="BV89" s="179">
        <f t="shared" si="6"/>
        <v>0.13999999999999999</v>
      </c>
      <c r="BW89" s="179">
        <f t="shared" si="6"/>
        <v>0.13999999999999996</v>
      </c>
      <c r="BX89" s="179">
        <f t="shared" si="6"/>
        <v>0.13999999999999996</v>
      </c>
      <c r="BY89" s="179">
        <f t="shared" si="6"/>
        <v>0.14000000000000001</v>
      </c>
      <c r="BZ89" s="179">
        <f t="shared" si="6"/>
        <v>0.14000000000000001</v>
      </c>
      <c r="CA89" s="179">
        <f t="shared" si="6"/>
        <v>0.13999999999999999</v>
      </c>
      <c r="CB89" s="179">
        <f t="shared" si="6"/>
        <v>0.14000000000000004</v>
      </c>
      <c r="CC89" s="179">
        <f t="shared" si="6"/>
        <v>0.14000000000000001</v>
      </c>
      <c r="CD89" s="179">
        <f t="shared" si="6"/>
        <v>0.17000000000000004</v>
      </c>
      <c r="CE89" s="129"/>
      <c r="CF89" s="129"/>
      <c r="CG89" s="129"/>
      <c r="CH89" s="23"/>
      <c r="CI89" s="44"/>
      <c r="CJ89" s="43"/>
      <c r="CK89" s="43"/>
      <c r="CL89" s="43"/>
      <c r="CM89" s="23"/>
      <c r="CN89" s="325"/>
      <c r="CO89" s="54"/>
      <c r="CP89" s="54"/>
      <c r="CQ89" s="54"/>
      <c r="CR89" s="54"/>
      <c r="CS89" s="54"/>
      <c r="CT89" s="72"/>
      <c r="CU89" s="72"/>
    </row>
    <row r="90" spans="60:99" hidden="1">
      <c r="BH90" s="135" t="s">
        <v>2007</v>
      </c>
      <c r="BI90" s="135"/>
      <c r="BJ90" s="135" t="s">
        <v>2017</v>
      </c>
      <c r="BK90" s="135"/>
      <c r="BL90" s="135"/>
      <c r="BM90" s="135"/>
      <c r="BN90" s="135"/>
      <c r="BO90" s="135"/>
      <c r="BP90" s="135"/>
      <c r="BQ90" s="135"/>
      <c r="BR90" s="54"/>
      <c r="BS90" s="155"/>
      <c r="BT90" s="29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44"/>
      <c r="CJ90" s="43"/>
      <c r="CK90" s="43"/>
      <c r="CL90" s="43"/>
      <c r="CM90" s="23"/>
      <c r="CN90" s="325"/>
      <c r="CO90" s="54"/>
      <c r="CP90" s="54"/>
      <c r="CQ90" s="54"/>
      <c r="CR90" s="54"/>
      <c r="CS90" s="54"/>
      <c r="CT90" s="72"/>
      <c r="CU90" s="72"/>
    </row>
    <row r="91" spans="60:99" hidden="1">
      <c r="BH91" s="135"/>
      <c r="BI91" s="3">
        <v>1</v>
      </c>
      <c r="BJ91" s="3">
        <v>2</v>
      </c>
      <c r="BK91" s="3">
        <v>3</v>
      </c>
      <c r="BL91" s="3">
        <v>4</v>
      </c>
      <c r="BM91" s="3">
        <v>5</v>
      </c>
      <c r="BN91" s="3">
        <v>6</v>
      </c>
      <c r="BO91" s="3">
        <v>7</v>
      </c>
      <c r="BP91" s="3">
        <v>8</v>
      </c>
      <c r="BQ91" s="3">
        <v>9</v>
      </c>
      <c r="BR91" s="3">
        <v>10</v>
      </c>
      <c r="BS91" s="3">
        <v>11</v>
      </c>
      <c r="BT91" s="3">
        <v>12</v>
      </c>
      <c r="BU91" s="3">
        <v>13</v>
      </c>
      <c r="BV91" s="3">
        <v>14</v>
      </c>
      <c r="BW91" s="3">
        <v>15</v>
      </c>
      <c r="BX91" s="3">
        <v>16</v>
      </c>
      <c r="BY91" s="3">
        <v>17</v>
      </c>
      <c r="BZ91" s="3">
        <v>18</v>
      </c>
      <c r="CA91" s="3">
        <v>19</v>
      </c>
      <c r="CB91" s="3">
        <v>20</v>
      </c>
      <c r="CC91" s="341"/>
      <c r="CD91" s="23"/>
      <c r="CE91" s="23"/>
      <c r="CF91" s="23"/>
      <c r="CG91" s="23"/>
      <c r="CH91" s="23"/>
      <c r="CI91" s="44"/>
      <c r="CJ91" s="43"/>
      <c r="CK91" s="43"/>
      <c r="CL91" s="43"/>
      <c r="CM91" s="23"/>
      <c r="CN91" s="325"/>
      <c r="CO91" s="54"/>
      <c r="CP91" s="54"/>
      <c r="CQ91" s="54"/>
      <c r="CR91" s="54"/>
      <c r="CS91" s="54"/>
      <c r="CT91" s="72"/>
      <c r="CU91" s="72"/>
    </row>
    <row r="92" spans="60:99" hidden="1">
      <c r="BH92" s="135">
        <v>24</v>
      </c>
      <c r="BI92" s="53">
        <v>0.62</v>
      </c>
      <c r="BJ92" s="53">
        <v>0.61</v>
      </c>
      <c r="BK92" s="53">
        <v>0.6</v>
      </c>
      <c r="BL92" s="53">
        <v>0.59</v>
      </c>
      <c r="BM92" s="53">
        <v>0.57999999999999996</v>
      </c>
      <c r="BN92" s="53">
        <v>0.56999999999999995</v>
      </c>
      <c r="BO92" s="53">
        <v>0.55999999999999994</v>
      </c>
      <c r="BP92" s="53">
        <v>0.54999999999999993</v>
      </c>
      <c r="BQ92" s="53">
        <v>0.53999999999999992</v>
      </c>
      <c r="BR92" s="53">
        <v>0.52999999999999992</v>
      </c>
      <c r="BS92" s="53">
        <v>0.51999999999999991</v>
      </c>
      <c r="BT92" s="53">
        <v>0.5099999999999999</v>
      </c>
      <c r="BU92" s="53">
        <v>0.49999999999999989</v>
      </c>
      <c r="BV92" s="525">
        <v>0.48999999999999988</v>
      </c>
      <c r="BW92" s="525">
        <v>0.47999999999999993</v>
      </c>
      <c r="BX92" s="525">
        <v>0.46999999999999992</v>
      </c>
      <c r="BY92" s="525">
        <v>0.45999999999999991</v>
      </c>
      <c r="BZ92" s="525">
        <v>0.4499999999999999</v>
      </c>
      <c r="CA92" s="525">
        <v>0.43999999999999984</v>
      </c>
      <c r="CB92" s="525">
        <v>0.42999999999999983</v>
      </c>
      <c r="CC92" s="340">
        <v>0.01</v>
      </c>
      <c r="CD92" s="23"/>
      <c r="CE92" s="23"/>
      <c r="CF92" s="23"/>
      <c r="CG92" s="23"/>
      <c r="CH92" s="23"/>
      <c r="CI92" s="44"/>
      <c r="CJ92" s="43"/>
      <c r="CK92" s="43"/>
      <c r="CL92" s="43"/>
      <c r="CM92" s="23"/>
      <c r="CN92" s="325"/>
      <c r="CO92" s="54"/>
      <c r="CP92" s="54"/>
      <c r="CQ92" s="54"/>
      <c r="CR92" s="54"/>
      <c r="CS92" s="54"/>
      <c r="CT92" s="72"/>
      <c r="CU92" s="72"/>
    </row>
    <row r="93" spans="60:99" hidden="1">
      <c r="BH93" s="135">
        <v>36</v>
      </c>
      <c r="BI93" s="53">
        <v>0.54</v>
      </c>
      <c r="BJ93" s="53">
        <v>0.53</v>
      </c>
      <c r="BK93" s="53">
        <v>0.52</v>
      </c>
      <c r="BL93" s="53">
        <v>0.51</v>
      </c>
      <c r="BM93" s="53">
        <v>0.5</v>
      </c>
      <c r="BN93" s="53">
        <v>0.49</v>
      </c>
      <c r="BO93" s="53">
        <v>0.48</v>
      </c>
      <c r="BP93" s="53">
        <v>0.47000000000000003</v>
      </c>
      <c r="BQ93" s="53">
        <v>0.46</v>
      </c>
      <c r="BR93" s="53">
        <v>0.45</v>
      </c>
      <c r="BS93" s="53">
        <v>0.43999999999999995</v>
      </c>
      <c r="BT93" s="53">
        <v>0.42999999999999994</v>
      </c>
      <c r="BU93" s="53">
        <v>0.41999999999999993</v>
      </c>
      <c r="BV93" s="525">
        <v>0.40999999999999992</v>
      </c>
      <c r="BW93" s="525">
        <v>0.39999999999999991</v>
      </c>
      <c r="BX93" s="525">
        <v>0.3899999999999999</v>
      </c>
      <c r="BY93" s="525">
        <v>0.37999999999999989</v>
      </c>
      <c r="BZ93" s="525">
        <v>0.36999999999999988</v>
      </c>
      <c r="CA93" s="525">
        <v>0.35999999999999988</v>
      </c>
      <c r="CB93" s="525">
        <v>0.34999999999999987</v>
      </c>
      <c r="CC93" s="340">
        <v>0.01</v>
      </c>
      <c r="CD93" s="23"/>
      <c r="CE93" s="23"/>
      <c r="CF93" s="23"/>
      <c r="CG93" s="23"/>
      <c r="CH93" s="23"/>
      <c r="CI93" s="44"/>
      <c r="CJ93" s="43"/>
      <c r="CK93" s="43"/>
      <c r="CL93" s="43"/>
      <c r="CM93" s="23"/>
      <c r="CN93" s="325"/>
      <c r="CO93" s="54"/>
      <c r="CP93" s="54"/>
      <c r="CQ93" s="54"/>
      <c r="CR93" s="54"/>
      <c r="CS93" s="54"/>
      <c r="CT93" s="72"/>
      <c r="CU93" s="72"/>
    </row>
    <row r="94" spans="60:99" hidden="1">
      <c r="BH94" s="135">
        <v>48</v>
      </c>
      <c r="BI94" s="53">
        <v>0.46</v>
      </c>
      <c r="BJ94" s="53">
        <v>0.45</v>
      </c>
      <c r="BK94" s="53">
        <v>0.44</v>
      </c>
      <c r="BL94" s="53">
        <v>0.43</v>
      </c>
      <c r="BM94" s="53">
        <v>0.42</v>
      </c>
      <c r="BN94" s="53">
        <v>0.41</v>
      </c>
      <c r="BO94" s="53">
        <v>0.39999999999999997</v>
      </c>
      <c r="BP94" s="53">
        <v>0.38999999999999996</v>
      </c>
      <c r="BQ94" s="53">
        <v>0.37999999999999995</v>
      </c>
      <c r="BR94" s="53">
        <v>0.36999999999999994</v>
      </c>
      <c r="BS94" s="53">
        <v>0.35999999999999993</v>
      </c>
      <c r="BT94" s="53">
        <v>0.34999999999999992</v>
      </c>
      <c r="BU94" s="53">
        <v>0.33999999999999991</v>
      </c>
      <c r="BV94" s="525">
        <v>0.3299999999999999</v>
      </c>
      <c r="BW94" s="525">
        <v>0.3199999999999999</v>
      </c>
      <c r="BX94" s="525">
        <v>0.30999999999999989</v>
      </c>
      <c r="BY94" s="525">
        <v>0.29999999999999988</v>
      </c>
      <c r="BZ94" s="525">
        <v>0.28999999999999987</v>
      </c>
      <c r="CA94" s="525">
        <v>0.27999999999999986</v>
      </c>
      <c r="CB94" s="525">
        <v>0.26999999999999985</v>
      </c>
      <c r="CC94" s="340">
        <v>0.01</v>
      </c>
      <c r="CD94" s="23"/>
      <c r="CE94" s="23"/>
      <c r="CF94" s="23"/>
      <c r="CG94" s="23"/>
      <c r="CH94" s="23"/>
      <c r="CI94" s="44"/>
      <c r="CJ94" s="43"/>
      <c r="CK94" s="43"/>
      <c r="CL94" s="43"/>
      <c r="CM94" s="23"/>
      <c r="CN94" s="325"/>
      <c r="CO94" s="54"/>
      <c r="CP94" s="54"/>
      <c r="CQ94" s="54"/>
      <c r="CR94" s="54"/>
      <c r="CS94" s="54"/>
      <c r="CT94" s="72"/>
      <c r="CU94" s="72"/>
    </row>
    <row r="95" spans="60:99" hidden="1">
      <c r="BH95" s="135">
        <v>60</v>
      </c>
      <c r="BI95" s="53">
        <v>0.37</v>
      </c>
      <c r="BJ95" s="53">
        <v>0.36</v>
      </c>
      <c r="BK95" s="53">
        <v>0.35</v>
      </c>
      <c r="BL95" s="53">
        <v>0.33999999999999997</v>
      </c>
      <c r="BM95" s="53">
        <v>0.32999999999999996</v>
      </c>
      <c r="BN95" s="53">
        <v>0.31999999999999995</v>
      </c>
      <c r="BO95" s="53">
        <v>0.30999999999999994</v>
      </c>
      <c r="BP95" s="53">
        <v>0.29999999999999993</v>
      </c>
      <c r="BQ95" s="53">
        <v>0.28999999999999992</v>
      </c>
      <c r="BR95" s="53">
        <v>0.27999999999999992</v>
      </c>
      <c r="BS95" s="53">
        <v>0.26999999999999991</v>
      </c>
      <c r="BT95" s="53">
        <v>0.2599999999999999</v>
      </c>
      <c r="BU95" s="53">
        <v>0.24999999999999992</v>
      </c>
      <c r="BV95" s="525">
        <v>0.23999999999999991</v>
      </c>
      <c r="BW95" s="525">
        <v>0.22999999999999987</v>
      </c>
      <c r="BX95" s="525">
        <v>0.21999999999999986</v>
      </c>
      <c r="BY95" s="525">
        <v>0.20999999999999985</v>
      </c>
      <c r="BZ95" s="525">
        <v>0.19999999999999984</v>
      </c>
      <c r="CA95" s="525">
        <v>0.18999999999999986</v>
      </c>
      <c r="CB95" s="525">
        <v>0.17999999999999985</v>
      </c>
      <c r="CC95" s="340">
        <v>0.01</v>
      </c>
      <c r="CD95" s="23"/>
      <c r="CE95" s="23"/>
      <c r="CF95" s="23"/>
      <c r="CG95" s="23"/>
      <c r="CH95" s="23"/>
      <c r="CI95" s="44"/>
      <c r="CJ95" s="43"/>
      <c r="CK95" s="43"/>
      <c r="CL95" s="43"/>
      <c r="CM95" s="23"/>
      <c r="CN95" s="325"/>
      <c r="CO95" s="54"/>
      <c r="CP95" s="54"/>
      <c r="CQ95" s="54"/>
      <c r="CR95" s="54"/>
      <c r="CS95" s="54"/>
      <c r="CT95" s="72"/>
      <c r="CU95" s="72"/>
    </row>
    <row r="96" spans="60:99" hidden="1">
      <c r="BH96" s="135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25"/>
      <c r="BW96" s="525"/>
      <c r="BX96" s="525"/>
      <c r="BY96" s="525"/>
      <c r="BZ96" s="525"/>
      <c r="CA96" s="525"/>
      <c r="CB96" s="525"/>
      <c r="CC96" s="340"/>
      <c r="CD96" s="23"/>
      <c r="CE96" s="23"/>
      <c r="CF96" s="23"/>
      <c r="CG96" s="23"/>
      <c r="CH96" s="23"/>
      <c r="CI96" s="44"/>
      <c r="CJ96" s="43"/>
      <c r="CK96" s="43"/>
      <c r="CL96" s="43"/>
      <c r="CM96" s="23"/>
      <c r="CN96" s="325"/>
      <c r="CO96" s="54"/>
      <c r="CP96" s="54"/>
      <c r="CQ96" s="54"/>
      <c r="CR96" s="54"/>
      <c r="CS96" s="54"/>
      <c r="CT96" s="72"/>
      <c r="CU96" s="72"/>
    </row>
    <row r="97" spans="54:99" hidden="1">
      <c r="BF97" s="126" t="s">
        <v>1279</v>
      </c>
      <c r="BH97" s="135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25"/>
      <c r="BW97" s="525"/>
      <c r="BX97" s="525"/>
      <c r="BY97" s="525"/>
      <c r="BZ97" s="525"/>
      <c r="CA97" s="525"/>
      <c r="CB97" s="525"/>
      <c r="CC97" s="340"/>
      <c r="CD97" s="23"/>
      <c r="CE97" s="23"/>
      <c r="CF97" s="23"/>
      <c r="CG97" s="23"/>
      <c r="CH97" s="23"/>
      <c r="CI97" s="44"/>
      <c r="CJ97" s="43"/>
      <c r="CK97" s="43"/>
      <c r="CL97" s="43"/>
      <c r="CM97" s="23"/>
      <c r="CN97" s="325"/>
      <c r="CO97" s="54"/>
      <c r="CP97" s="54"/>
      <c r="CQ97" s="54"/>
      <c r="CR97" s="54"/>
      <c r="CS97" s="54"/>
      <c r="CT97" s="72"/>
      <c r="CU97" s="72"/>
    </row>
    <row r="98" spans="54:99" hidden="1">
      <c r="BC98" s="122"/>
      <c r="BD98" s="568"/>
      <c r="BE98" s="122"/>
      <c r="BF98" s="164">
        <f ca="1">TRUNC(BI41+IF(AND(BT10=1,BK10=1),BM40,0),0)+BK116+1</f>
        <v>513913</v>
      </c>
      <c r="BH98" s="135"/>
      <c r="BI98" s="135"/>
      <c r="BJ98" s="135"/>
      <c r="BK98" s="135"/>
      <c r="BL98" s="135"/>
      <c r="BM98" s="135"/>
      <c r="BN98" s="135"/>
      <c r="BO98" s="135"/>
      <c r="BP98" s="135"/>
      <c r="BQ98" s="135"/>
      <c r="BR98" s="54"/>
      <c r="BS98" s="155"/>
      <c r="BT98" s="29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44"/>
      <c r="CJ98" s="43"/>
      <c r="CK98" s="43"/>
      <c r="CL98" s="43"/>
      <c r="CM98" s="23"/>
      <c r="CN98" s="325"/>
      <c r="CO98" s="54"/>
      <c r="CP98" s="54"/>
      <c r="CQ98" s="54"/>
      <c r="CR98" s="54"/>
      <c r="CS98" s="54"/>
      <c r="CT98" s="72"/>
      <c r="CU98" s="72"/>
    </row>
    <row r="99" spans="54:99" hidden="1">
      <c r="BC99" s="123">
        <f ca="1">IF(BF119="가능",BF118,IF(AND(BF99="가능",BF106="가능",BF119="가능"),IF(BF98&gt;=BF105&gt;=BF118,BF118,BF105),IF(AND(BF99="가능",BF106="불가",BF119="불가"),BF98,IF(AND(BF99="불가",BF106="가능",BF119="가능"),BF118,BF105))))</f>
        <v>513912</v>
      </c>
      <c r="BD99" s="569"/>
      <c r="BE99" s="123"/>
      <c r="BF99" s="126" t="str">
        <f ca="1">IF(AG18&gt;IF(BM10=1,BH116,BH117),"불가","가능")</f>
        <v>불가</v>
      </c>
      <c r="BH99" s="135"/>
      <c r="BI99" s="135"/>
      <c r="BJ99" s="135"/>
      <c r="BK99" s="135"/>
      <c r="BL99" s="135"/>
      <c r="BM99" s="135"/>
      <c r="BN99" s="135"/>
      <c r="BO99" s="135"/>
      <c r="BP99" s="135"/>
      <c r="BQ99" s="135"/>
      <c r="BR99" s="54"/>
      <c r="BS99" s="155"/>
      <c r="BT99" s="29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44"/>
      <c r="CJ99" s="43"/>
      <c r="CK99" s="43"/>
      <c r="CL99" s="43"/>
      <c r="CM99" s="23"/>
      <c r="CN99" s="325"/>
      <c r="CO99" s="54"/>
      <c r="CP99" s="54"/>
      <c r="CQ99" s="54"/>
      <c r="CR99" s="54"/>
      <c r="CS99" s="54"/>
      <c r="CT99" s="72"/>
      <c r="CU99" s="72"/>
    </row>
    <row r="100" spans="54:99" hidden="1">
      <c r="BC100" s="70" t="str">
        <f ca="1">IF(AND(BF99="불가",BF106="불가",BF119="불가"),"취급불가","")</f>
        <v/>
      </c>
      <c r="BF100" s="165">
        <f>TRUNC(BI41+IF(AND(BT10=1,BK10=1),BM40,0),0)+1</f>
        <v>503763</v>
      </c>
      <c r="BH100" s="135" t="s">
        <v>1158</v>
      </c>
      <c r="BI100" s="135"/>
      <c r="BJ100" s="135" t="s">
        <v>2017</v>
      </c>
      <c r="BK100" s="135"/>
      <c r="BL100" s="135"/>
      <c r="BM100" s="135"/>
      <c r="BN100" s="135"/>
      <c r="BO100" s="135"/>
      <c r="BP100" s="135"/>
      <c r="BQ100" s="135"/>
      <c r="BR100" s="135"/>
      <c r="BS100" s="166"/>
      <c r="BT100" s="39"/>
      <c r="BU100" s="38"/>
      <c r="BV100" s="38"/>
      <c r="BW100" s="38"/>
      <c r="BX100" s="38"/>
      <c r="BY100" s="135"/>
      <c r="BZ100" s="135"/>
      <c r="CA100" s="28"/>
      <c r="CB100" s="28"/>
      <c r="CC100" s="28"/>
      <c r="CD100" s="129"/>
      <c r="CE100" s="23"/>
      <c r="CF100" s="23"/>
      <c r="CG100" s="23"/>
      <c r="CH100" s="23"/>
      <c r="CI100" s="44"/>
      <c r="CJ100" s="43"/>
      <c r="CK100" s="43"/>
      <c r="CL100" s="43"/>
      <c r="CM100" s="23"/>
      <c r="CN100" s="325"/>
      <c r="CO100" s="54"/>
      <c r="CP100" s="54"/>
      <c r="CQ100" s="54"/>
      <c r="CR100" s="54"/>
      <c r="CS100" s="54"/>
      <c r="CT100" s="72"/>
      <c r="CU100" s="72"/>
    </row>
    <row r="101" spans="54:99" hidden="1">
      <c r="BC101" s="124"/>
      <c r="BD101" s="570"/>
      <c r="BE101" s="124"/>
      <c r="BH101" s="135"/>
      <c r="BI101" s="3">
        <v>1</v>
      </c>
      <c r="BJ101" s="3">
        <v>2</v>
      </c>
      <c r="BK101" s="3">
        <v>3</v>
      </c>
      <c r="BL101" s="3">
        <v>4</v>
      </c>
      <c r="BM101" s="3">
        <v>5</v>
      </c>
      <c r="BN101" s="3">
        <v>6</v>
      </c>
      <c r="BO101" s="3">
        <v>7</v>
      </c>
      <c r="BP101" s="3">
        <v>8</v>
      </c>
      <c r="BQ101" s="3">
        <v>9</v>
      </c>
      <c r="BR101" s="3">
        <v>10</v>
      </c>
      <c r="BS101" s="3">
        <v>11</v>
      </c>
      <c r="BT101" s="3">
        <v>12</v>
      </c>
      <c r="BU101" s="3">
        <v>13</v>
      </c>
      <c r="BV101" s="3">
        <v>14</v>
      </c>
      <c r="BW101" s="3">
        <v>15</v>
      </c>
      <c r="BX101" s="3">
        <v>16</v>
      </c>
      <c r="BY101" s="3">
        <v>17</v>
      </c>
      <c r="BZ101" s="3">
        <v>18</v>
      </c>
      <c r="CA101" s="3">
        <v>19</v>
      </c>
      <c r="CB101" s="3">
        <v>20</v>
      </c>
      <c r="CC101" s="3">
        <v>21</v>
      </c>
      <c r="CD101" s="3">
        <v>22</v>
      </c>
      <c r="CE101" s="3">
        <v>23</v>
      </c>
      <c r="CF101" s="3">
        <v>24</v>
      </c>
      <c r="CG101" s="3">
        <v>25</v>
      </c>
      <c r="CH101" s="23"/>
      <c r="CI101" s="44"/>
      <c r="CJ101" s="43"/>
      <c r="CK101" s="43"/>
      <c r="CL101" s="43"/>
      <c r="CM101" s="23"/>
      <c r="CN101" s="325"/>
      <c r="CO101" s="54"/>
      <c r="CP101" s="54"/>
      <c r="CQ101" s="54"/>
      <c r="CR101" s="54"/>
      <c r="CS101" s="54"/>
      <c r="CT101" s="72"/>
      <c r="CU101" s="72"/>
    </row>
    <row r="102" spans="54:99" hidden="1">
      <c r="BH102" s="135">
        <v>24</v>
      </c>
      <c r="BI102" s="612">
        <v>0.73</v>
      </c>
      <c r="BJ102" s="612">
        <v>0.72</v>
      </c>
      <c r="BK102" s="612">
        <v>0.71</v>
      </c>
      <c r="BL102" s="612">
        <v>0.7</v>
      </c>
      <c r="BM102" s="612">
        <v>0.69</v>
      </c>
      <c r="BN102" s="612">
        <v>0.67999999999999994</v>
      </c>
      <c r="BO102" s="612">
        <v>0.66999999999999993</v>
      </c>
      <c r="BP102" s="612">
        <v>0.65999999999999992</v>
      </c>
      <c r="BQ102" s="612">
        <v>0.64999999999999991</v>
      </c>
      <c r="BR102" s="612">
        <v>0.64</v>
      </c>
      <c r="BS102" s="612">
        <v>0.63</v>
      </c>
      <c r="BT102" s="612">
        <v>0.62</v>
      </c>
      <c r="BU102" s="612">
        <v>0.61</v>
      </c>
      <c r="BV102" s="612">
        <v>0.6</v>
      </c>
      <c r="BW102" s="612">
        <v>0.59</v>
      </c>
      <c r="BX102" s="612">
        <v>0.57999999999999996</v>
      </c>
      <c r="BY102" s="612">
        <v>0.56999999999999995</v>
      </c>
      <c r="BZ102" s="612">
        <v>0.55999999999999994</v>
      </c>
      <c r="CA102" s="612">
        <v>0.54999999999999993</v>
      </c>
      <c r="CB102" s="612">
        <v>0.53999999999999992</v>
      </c>
      <c r="CC102" s="612">
        <v>0.52999999999999992</v>
      </c>
      <c r="CD102" s="612">
        <v>0.52</v>
      </c>
      <c r="CE102" s="612">
        <v>0.51</v>
      </c>
      <c r="CF102" s="612">
        <v>0.5</v>
      </c>
      <c r="CG102" s="613">
        <v>0.49</v>
      </c>
      <c r="CH102" s="23"/>
      <c r="CI102" s="44"/>
      <c r="CJ102" s="43"/>
      <c r="CK102" s="43"/>
      <c r="CL102" s="43"/>
      <c r="CM102" s="23"/>
      <c r="CN102" s="325"/>
      <c r="CO102" s="54"/>
      <c r="CP102" s="54"/>
      <c r="CQ102" s="54"/>
      <c r="CR102" s="54"/>
      <c r="CS102" s="54"/>
      <c r="CT102" s="72"/>
      <c r="CU102" s="72"/>
    </row>
    <row r="103" spans="54:99" hidden="1">
      <c r="BH103" s="135">
        <v>36</v>
      </c>
      <c r="BI103" s="612">
        <v>0.64</v>
      </c>
      <c r="BJ103" s="612">
        <v>0.63</v>
      </c>
      <c r="BK103" s="612">
        <v>0.62</v>
      </c>
      <c r="BL103" s="612">
        <v>0.61</v>
      </c>
      <c r="BM103" s="612">
        <v>0.6</v>
      </c>
      <c r="BN103" s="612">
        <v>0.59</v>
      </c>
      <c r="BO103" s="612">
        <v>0.57999999999999996</v>
      </c>
      <c r="BP103" s="612">
        <v>0.56999999999999995</v>
      </c>
      <c r="BQ103" s="612">
        <v>0.55999999999999994</v>
      </c>
      <c r="BR103" s="612">
        <v>0.54999999999999993</v>
      </c>
      <c r="BS103" s="612">
        <v>0.53999999999999992</v>
      </c>
      <c r="BT103" s="612">
        <v>0.52999999999999992</v>
      </c>
      <c r="BU103" s="612">
        <v>0.52</v>
      </c>
      <c r="BV103" s="612">
        <v>0.51</v>
      </c>
      <c r="BW103" s="612">
        <v>0.5</v>
      </c>
      <c r="BX103" s="612">
        <v>0.49</v>
      </c>
      <c r="BY103" s="612">
        <v>0.48</v>
      </c>
      <c r="BZ103" s="612">
        <v>0.47</v>
      </c>
      <c r="CA103" s="612">
        <v>0.45999999999999996</v>
      </c>
      <c r="CB103" s="612">
        <v>0.44999999999999996</v>
      </c>
      <c r="CC103" s="612">
        <v>0.43999999999999995</v>
      </c>
      <c r="CD103" s="612">
        <v>0.42999999999999994</v>
      </c>
      <c r="CE103" s="612">
        <v>0.42</v>
      </c>
      <c r="CF103" s="612">
        <v>0.41</v>
      </c>
      <c r="CG103" s="613">
        <v>0.39999999999999997</v>
      </c>
      <c r="CH103" s="23"/>
      <c r="CI103" s="44"/>
      <c r="CJ103" s="43"/>
      <c r="CK103" s="43"/>
      <c r="CL103" s="43"/>
      <c r="CM103" s="23"/>
      <c r="CN103" s="325"/>
      <c r="CO103" s="54"/>
      <c r="CP103" s="54"/>
      <c r="CQ103" s="54"/>
      <c r="CR103" s="54"/>
      <c r="CS103" s="54"/>
      <c r="CT103" s="72"/>
      <c r="CU103" s="72"/>
    </row>
    <row r="104" spans="54:99" hidden="1">
      <c r="BC104" s="229" t="s">
        <v>3016</v>
      </c>
      <c r="BD104" s="571"/>
      <c r="BE104" s="229"/>
      <c r="BF104" s="126" t="s">
        <v>1280</v>
      </c>
      <c r="BH104" s="135">
        <v>48</v>
      </c>
      <c r="BI104" s="612">
        <v>0.55999999999999994</v>
      </c>
      <c r="BJ104" s="612">
        <v>0.54999999999999993</v>
      </c>
      <c r="BK104" s="612">
        <v>0.53999999999999992</v>
      </c>
      <c r="BL104" s="612">
        <v>0.52999999999999992</v>
      </c>
      <c r="BM104" s="612">
        <v>0.52</v>
      </c>
      <c r="BN104" s="612">
        <v>0.51</v>
      </c>
      <c r="BO104" s="612">
        <v>0.5</v>
      </c>
      <c r="BP104" s="612">
        <v>0.49</v>
      </c>
      <c r="BQ104" s="612">
        <v>0.48</v>
      </c>
      <c r="BR104" s="612">
        <v>0.47</v>
      </c>
      <c r="BS104" s="612">
        <v>0.45999999999999996</v>
      </c>
      <c r="BT104" s="612">
        <v>0.44999999999999996</v>
      </c>
      <c r="BU104" s="612">
        <v>0.43999999999999995</v>
      </c>
      <c r="BV104" s="612">
        <v>0.42999999999999994</v>
      </c>
      <c r="BW104" s="612">
        <v>0.42</v>
      </c>
      <c r="BX104" s="612">
        <v>0.41</v>
      </c>
      <c r="BY104" s="612">
        <v>0.39999999999999997</v>
      </c>
      <c r="BZ104" s="612">
        <v>0.38999999999999996</v>
      </c>
      <c r="CA104" s="612">
        <v>0.37999999999999995</v>
      </c>
      <c r="CB104" s="612">
        <v>0.36999999999999994</v>
      </c>
      <c r="CC104" s="612">
        <v>0.36</v>
      </c>
      <c r="CD104" s="612">
        <v>0.35</v>
      </c>
      <c r="CE104" s="612">
        <v>0.33999999999999997</v>
      </c>
      <c r="CF104" s="612">
        <v>0.32999999999999996</v>
      </c>
      <c r="CG104" s="613">
        <v>0.31999999999999995</v>
      </c>
      <c r="CH104" s="23"/>
      <c r="CI104" s="44"/>
      <c r="CJ104" s="43"/>
      <c r="CK104" s="43"/>
      <c r="CL104" s="43"/>
      <c r="CM104" s="23"/>
      <c r="CN104" s="325"/>
      <c r="CO104" s="54"/>
      <c r="CP104" s="54"/>
      <c r="CQ104" s="54"/>
      <c r="CR104" s="54"/>
      <c r="CS104" s="54"/>
      <c r="CT104" s="72"/>
      <c r="CU104" s="72"/>
    </row>
    <row r="105" spans="54:99" ht="17.25" hidden="1" thickBot="1">
      <c r="BC105" s="221">
        <f>TRUNC(BI41+IF(AND(BT10=1,BK10=1),BM40,0),0)+IF(BO11=1,BQ129,BM129)</f>
        <v>503762</v>
      </c>
      <c r="BD105" s="572"/>
      <c r="BE105" s="221"/>
      <c r="BF105" s="164">
        <f ca="1">TRUNC(BI41+IF(AND(BT10=1,BK10=1),BM40,0),0)+BM126</f>
        <v>512694</v>
      </c>
      <c r="BH105" s="135">
        <v>60</v>
      </c>
      <c r="BI105" s="614">
        <v>0.5</v>
      </c>
      <c r="BJ105" s="614">
        <v>0.49</v>
      </c>
      <c r="BK105" s="614">
        <v>0.48</v>
      </c>
      <c r="BL105" s="614">
        <v>0.47</v>
      </c>
      <c r="BM105" s="614">
        <v>0.45999999999999996</v>
      </c>
      <c r="BN105" s="614">
        <v>0.44999999999999996</v>
      </c>
      <c r="BO105" s="614">
        <v>0.43999999999999995</v>
      </c>
      <c r="BP105" s="614">
        <v>0.42999999999999994</v>
      </c>
      <c r="BQ105" s="614">
        <v>0.42</v>
      </c>
      <c r="BR105" s="614">
        <v>0.41</v>
      </c>
      <c r="BS105" s="614">
        <v>0.39999999999999997</v>
      </c>
      <c r="BT105" s="614">
        <v>0.38999999999999996</v>
      </c>
      <c r="BU105" s="614">
        <v>0.37999999999999995</v>
      </c>
      <c r="BV105" s="614">
        <v>0.36999999999999994</v>
      </c>
      <c r="BW105" s="614">
        <v>0.36</v>
      </c>
      <c r="BX105" s="614">
        <v>0.35</v>
      </c>
      <c r="BY105" s="614">
        <v>0.33999999999999997</v>
      </c>
      <c r="BZ105" s="614">
        <v>0.32999999999999996</v>
      </c>
      <c r="CA105" s="614">
        <v>0.31999999999999995</v>
      </c>
      <c r="CB105" s="614">
        <v>0.30999999999999994</v>
      </c>
      <c r="CC105" s="614">
        <v>0.3</v>
      </c>
      <c r="CD105" s="614">
        <v>0.28999999999999998</v>
      </c>
      <c r="CE105" s="614">
        <v>0.27999999999999997</v>
      </c>
      <c r="CF105" s="614">
        <v>0.26999999999999996</v>
      </c>
      <c r="CG105" s="615">
        <v>0.25999999999999995</v>
      </c>
      <c r="CH105" s="23"/>
      <c r="CI105" s="44"/>
      <c r="CJ105" s="43"/>
      <c r="CK105" s="43"/>
      <c r="CL105" s="43"/>
      <c r="CM105" s="23"/>
      <c r="CN105" s="325"/>
      <c r="CO105" s="54"/>
      <c r="CP105" s="54"/>
      <c r="CQ105" s="54"/>
      <c r="CR105" s="54"/>
      <c r="CS105" s="54"/>
      <c r="CT105" s="72"/>
      <c r="CU105" s="72"/>
    </row>
    <row r="106" spans="54:99" ht="17.25" hidden="1" thickTop="1">
      <c r="BB106" s="228" t="s">
        <v>2798</v>
      </c>
      <c r="BC106" s="223">
        <f ca="1">IF(CA188=1,BC105,BF105)</f>
        <v>512694</v>
      </c>
      <c r="BD106" s="573"/>
      <c r="BE106" s="223"/>
      <c r="BF106" s="126" t="str">
        <f ca="1">IF(AG18&gt;IF(BM10=1,BH123,BH124),"불가","가능")</f>
        <v>불가</v>
      </c>
      <c r="BH106" s="135"/>
      <c r="BI106" s="52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24"/>
      <c r="BX106" s="524"/>
      <c r="BY106" s="135"/>
      <c r="BZ106" s="135"/>
      <c r="CA106" s="339"/>
      <c r="CB106" s="339"/>
      <c r="CC106" s="339"/>
      <c r="CD106" s="129"/>
      <c r="CE106" s="23"/>
      <c r="CF106" s="23"/>
      <c r="CG106" s="23"/>
      <c r="CH106" s="23"/>
      <c r="CI106" s="44"/>
      <c r="CJ106" s="43"/>
      <c r="CK106" s="43"/>
      <c r="CL106" s="43"/>
      <c r="CM106" s="23"/>
      <c r="CN106" s="325"/>
      <c r="CO106" s="54"/>
      <c r="CP106" s="54"/>
      <c r="CQ106" s="54"/>
      <c r="CR106" s="54"/>
      <c r="CS106" s="54"/>
      <c r="CT106" s="72"/>
      <c r="CU106" s="72"/>
    </row>
    <row r="107" spans="54:99" hidden="1">
      <c r="BC107" s="222"/>
      <c r="BD107" s="574"/>
      <c r="BE107" s="222"/>
      <c r="BH107" s="135"/>
      <c r="BI107" s="52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24"/>
      <c r="BX107" s="524"/>
      <c r="BY107" s="135"/>
      <c r="BZ107" s="135"/>
      <c r="CA107" s="339"/>
      <c r="CB107" s="339"/>
      <c r="CC107" s="339"/>
      <c r="CD107" s="129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54"/>
      <c r="CP107" s="54"/>
      <c r="CQ107" s="54"/>
      <c r="CR107" s="54"/>
      <c r="CS107" s="54"/>
      <c r="CT107" s="72"/>
      <c r="CU107" s="72"/>
    </row>
    <row r="108" spans="54:99" hidden="1">
      <c r="BF108" s="126" t="s">
        <v>1369</v>
      </c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155"/>
      <c r="BT108" s="29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54"/>
      <c r="CP108" s="54"/>
      <c r="CQ108" s="54"/>
      <c r="CR108" s="54"/>
      <c r="CS108" s="54"/>
      <c r="CT108" s="72"/>
      <c r="CU108" s="72"/>
    </row>
    <row r="109" spans="54:99" hidden="1">
      <c r="BF109" s="126">
        <f>TRUNC(BI41+IF(AND(BT10=1,BK10=1),BM40,0),0)</f>
        <v>503762</v>
      </c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155"/>
      <c r="BT109" s="29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54"/>
      <c r="CP109" s="54"/>
      <c r="CQ109" s="54"/>
      <c r="CR109" s="54"/>
      <c r="CS109" s="54"/>
      <c r="CT109" s="72"/>
      <c r="CU109" s="72"/>
    </row>
    <row r="110" spans="54:99" ht="17.25" hidden="1" thickBot="1">
      <c r="BF110" s="126" t="str">
        <f ca="1">IF(AG18&gt;BF31,"불가","가능")</f>
        <v>불가</v>
      </c>
      <c r="BH110" s="54" t="s">
        <v>1159</v>
      </c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155"/>
      <c r="BT110" s="29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54"/>
      <c r="CP110" s="54"/>
      <c r="CQ110" s="54"/>
      <c r="CR110" s="54"/>
      <c r="CS110" s="54"/>
      <c r="CT110" s="72"/>
      <c r="CU110" s="72"/>
    </row>
    <row r="111" spans="54:99" hidden="1">
      <c r="BH111" s="167" t="s">
        <v>1160</v>
      </c>
      <c r="BI111" s="168" t="s">
        <v>1161</v>
      </c>
      <c r="BJ111" s="168" t="s">
        <v>1163</v>
      </c>
      <c r="BK111" s="168" t="s">
        <v>1160</v>
      </c>
      <c r="BL111" s="168" t="s">
        <v>1161</v>
      </c>
      <c r="BM111" s="168"/>
      <c r="BN111" s="168"/>
      <c r="BO111" s="168"/>
      <c r="BP111" s="169"/>
      <c r="BQ111" s="54"/>
      <c r="BR111" s="54"/>
      <c r="BS111" s="155"/>
      <c r="BT111" s="29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54"/>
      <c r="CP111" s="54"/>
      <c r="CQ111" s="54"/>
      <c r="CR111" s="54"/>
      <c r="CS111" s="54"/>
      <c r="CT111" s="72"/>
      <c r="CU111" s="72"/>
    </row>
    <row r="112" spans="54:99" hidden="1">
      <c r="BH112" s="371">
        <f ca="1">OFFSET(IF($BT$10=1,$BH$52,$BH$62),$BG$27,$BV$4)+BV5/100+BR166</f>
        <v>0.32999999999999996</v>
      </c>
      <c r="BI112" s="170">
        <f ca="1">OFFSET($BP$62,$BG$27,1)</f>
        <v>0.15</v>
      </c>
      <c r="BJ112" s="54"/>
      <c r="BK112" s="171">
        <f ca="1">ROUNDDOWN(BH112*$K$10/$N$16,2)</f>
        <v>0.31</v>
      </c>
      <c r="BL112" s="171">
        <f ca="1">ROUNDDOWN(BI112*$K$10/$N$16,2)</f>
        <v>0.14000000000000001</v>
      </c>
      <c r="BM112" s="54"/>
      <c r="BN112" s="54"/>
      <c r="BO112" s="54"/>
      <c r="BP112" s="172"/>
      <c r="BQ112" s="54"/>
      <c r="BR112" s="54"/>
      <c r="BS112" s="155"/>
      <c r="BT112" s="29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54"/>
      <c r="CP112" s="54"/>
      <c r="CQ112" s="54"/>
      <c r="CR112" s="54"/>
      <c r="CS112" s="54"/>
      <c r="CT112" s="72"/>
      <c r="CU112" s="72"/>
    </row>
    <row r="113" spans="50:99" hidden="1">
      <c r="BH113" s="173"/>
      <c r="BI113" s="54"/>
      <c r="BJ113" s="54"/>
      <c r="BK113" s="54"/>
      <c r="BL113" s="54"/>
      <c r="BM113" s="54"/>
      <c r="BN113" s="54"/>
      <c r="BO113" s="54"/>
      <c r="BP113" s="172"/>
      <c r="BQ113" s="54"/>
      <c r="BR113" s="54"/>
      <c r="BS113" s="155"/>
      <c r="BT113" s="29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54"/>
      <c r="CP113" s="54"/>
      <c r="CQ113" s="54"/>
      <c r="CR113" s="54"/>
      <c r="CS113" s="54"/>
      <c r="CT113" s="72"/>
      <c r="CU113" s="72"/>
    </row>
    <row r="114" spans="50:99" hidden="1">
      <c r="AX114" s="70"/>
      <c r="AY114" s="294" t="s">
        <v>1957</v>
      </c>
      <c r="AZ114" s="231" t="s">
        <v>1958</v>
      </c>
      <c r="BA114" s="231" t="s">
        <v>1959</v>
      </c>
      <c r="BB114" s="302" t="s">
        <v>3015</v>
      </c>
      <c r="BH114" s="173"/>
      <c r="BI114" s="54"/>
      <c r="BJ114" s="54"/>
      <c r="BK114" s="54"/>
      <c r="BL114" s="54"/>
      <c r="BM114" s="54"/>
      <c r="BN114" s="54"/>
      <c r="BO114" s="54"/>
      <c r="BP114" s="172"/>
      <c r="BQ114" s="54"/>
      <c r="BR114" s="54"/>
      <c r="BS114" s="155"/>
      <c r="BT114" s="29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54"/>
      <c r="CP114" s="54"/>
      <c r="CQ114" s="54"/>
      <c r="CR114" s="54"/>
      <c r="CS114" s="54"/>
      <c r="CT114" s="72"/>
      <c r="CU114" s="72"/>
    </row>
    <row r="115" spans="50:99" hidden="1">
      <c r="AY115" s="295" t="str">
        <f ca="1">IF(BF99="가능",BF98,"불가")</f>
        <v>불가</v>
      </c>
      <c r="AZ115" s="295" t="str">
        <f ca="1">IF(BF106="가능",BC106,"불가")</f>
        <v>불가</v>
      </c>
      <c r="BA115" s="295">
        <f ca="1">IF(AND(BE13=2,BV12="전기차"),"불가",IF(AND(BE13=2,BT10=1),"불가",IF(BF119="가능",BF118,"불가")))</f>
        <v>513912</v>
      </c>
      <c r="BB115" s="297">
        <f ca="1">+MIN(AZ115,BA115)</f>
        <v>513912</v>
      </c>
      <c r="BH115" s="173" t="s">
        <v>1235</v>
      </c>
      <c r="BI115" s="54" t="s">
        <v>1236</v>
      </c>
      <c r="BJ115" s="54"/>
      <c r="BK115" s="54" t="s">
        <v>1237</v>
      </c>
      <c r="BL115" s="54" t="s">
        <v>1277</v>
      </c>
      <c r="BM115" s="54" t="s">
        <v>1278</v>
      </c>
      <c r="BN115" s="54"/>
      <c r="BO115" s="54"/>
      <c r="BP115" s="172"/>
      <c r="BQ115" s="54"/>
      <c r="BR115" s="54"/>
      <c r="BS115" s="155"/>
      <c r="BT115" s="29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54"/>
      <c r="CP115" s="54"/>
      <c r="CQ115" s="54"/>
      <c r="CR115" s="54"/>
      <c r="CS115" s="54"/>
      <c r="CT115" s="72"/>
      <c r="CU115" s="72"/>
    </row>
    <row r="116" spans="50:99" hidden="1">
      <c r="BH116" s="174">
        <f ca="1">BH112+IF(BT10=1,5%,6%)</f>
        <v>0.38999999999999996</v>
      </c>
      <c r="BI116" s="175">
        <f ca="1">BH112+3%</f>
        <v>0.36</v>
      </c>
      <c r="BJ116" s="54"/>
      <c r="BK116" s="54">
        <f ca="1">TRUNC(IF(AG18&gt;IF(BM9=1,BI116,BI117),K10*1.5%,K10*IF(BT9=1,0.9%,0.75%))/AG11,0)</f>
        <v>10150</v>
      </c>
      <c r="BL116" s="156">
        <f ca="1">PMT($BI$39/12,AG11,-N16+AK17+AK16+BL38-BI38-BJ38-BK38,BH117*K10-AY27,0)+1</f>
        <v>610130.31782724825</v>
      </c>
      <c r="BM116" s="156">
        <f ca="1">TRUNC(BL116+IF(AND(BT10=1,BK10=1),BM40,0),0)+K10*1.5%/AG11</f>
        <v>620280</v>
      </c>
      <c r="BN116" s="54"/>
      <c r="BO116" s="54"/>
      <c r="BP116" s="172"/>
      <c r="BQ116" s="54"/>
      <c r="BR116" s="54"/>
      <c r="BS116" s="155"/>
      <c r="BT116" s="29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54"/>
      <c r="CP116" s="54"/>
      <c r="CQ116" s="54"/>
      <c r="CR116" s="54"/>
      <c r="CS116" s="54"/>
      <c r="CT116" s="72"/>
      <c r="CU116" s="72"/>
    </row>
    <row r="117" spans="50:99" hidden="1">
      <c r="BF117" s="126" t="s">
        <v>1960</v>
      </c>
      <c r="BH117" s="173">
        <f ca="1">ROUNDDOWN(BH116*$K$10/$N$16,2)</f>
        <v>0.36</v>
      </c>
      <c r="BI117" s="54">
        <f ca="1">ROUNDDOWN(BI116*$K$10/$N$16,2)</f>
        <v>0.33</v>
      </c>
      <c r="BJ117" s="54"/>
      <c r="BK117" s="54"/>
      <c r="BL117" s="54"/>
      <c r="BM117" s="54"/>
      <c r="BN117" s="54"/>
      <c r="BO117" s="54"/>
      <c r="BP117" s="172"/>
      <c r="BQ117" s="54"/>
      <c r="BR117" s="54"/>
      <c r="BS117" s="155"/>
      <c r="BT117" s="29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54"/>
      <c r="CP117" s="54"/>
      <c r="CQ117" s="54"/>
      <c r="CR117" s="54"/>
      <c r="CS117" s="54"/>
      <c r="CT117" s="72"/>
      <c r="CU117" s="72"/>
    </row>
    <row r="118" spans="50:99" hidden="1">
      <c r="BC118" s="122"/>
      <c r="BD118" s="568"/>
      <c r="BE118" s="122"/>
      <c r="BF118" s="164">
        <f ca="1">TRUNC(BI41+IF(AND(BT10=1,BK10=1),BM40,0),0)+BM140</f>
        <v>513912</v>
      </c>
      <c r="BH118" s="173"/>
      <c r="BI118" s="54"/>
      <c r="BJ118" s="54"/>
      <c r="BK118" s="54"/>
      <c r="BL118" s="54"/>
      <c r="BM118" s="54"/>
      <c r="BN118" s="54"/>
      <c r="BO118" s="54"/>
      <c r="BP118" s="172"/>
      <c r="BQ118" s="54"/>
      <c r="BR118" s="54"/>
      <c r="BS118" s="155"/>
      <c r="BT118" s="29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54"/>
      <c r="CP118" s="54"/>
      <c r="CQ118" s="54"/>
      <c r="CR118" s="54"/>
      <c r="CS118" s="54"/>
      <c r="CT118" s="72"/>
      <c r="CU118" s="72"/>
    </row>
    <row r="119" spans="50:99" hidden="1">
      <c r="BF119" s="126" t="str">
        <f ca="1">IF(BE13=2,"가능",IF(AG18&gt;IF(BM10=1,BH136,BH137),"불가","가능"))</f>
        <v>가능</v>
      </c>
      <c r="BH119" s="173" t="s">
        <v>2004</v>
      </c>
      <c r="BI119" s="54"/>
      <c r="BJ119" s="54"/>
      <c r="BK119" s="54"/>
      <c r="BL119" s="54"/>
      <c r="BM119" s="54"/>
      <c r="BN119" s="54"/>
      <c r="BO119" s="54"/>
      <c r="BP119" s="172"/>
      <c r="BQ119" s="54"/>
      <c r="BR119" s="54"/>
      <c r="BS119" s="155"/>
      <c r="BT119" s="29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54"/>
      <c r="CP119" s="54"/>
      <c r="CQ119" s="54"/>
      <c r="CR119" s="54"/>
      <c r="CS119" s="54"/>
      <c r="CT119" s="72"/>
      <c r="CU119" s="72"/>
    </row>
    <row r="120" spans="50:99" hidden="1">
      <c r="BC120" s="551" t="s">
        <v>2012</v>
      </c>
      <c r="BD120" s="575"/>
      <c r="BE120" s="528"/>
      <c r="BF120" s="176">
        <f>TRUNC(BI41+IF(AND(BT10=1,BK10=1),BM40,0),0)</f>
        <v>503762</v>
      </c>
      <c r="BH120" s="370">
        <f ca="1">OFFSET(IF($BT$10=1,$BH$71,$BH$81),$BG$27,$BV$6)+BT166-(IF(BE13=2,10%,0%))</f>
        <v>0.39</v>
      </c>
      <c r="BI120" s="54"/>
      <c r="BJ120" s="54"/>
      <c r="BK120" s="54"/>
      <c r="BL120" s="54"/>
      <c r="BM120" s="54"/>
      <c r="BN120" s="54"/>
      <c r="BO120" s="54"/>
      <c r="BP120" s="172"/>
      <c r="BQ120" s="54"/>
      <c r="BR120" s="54"/>
      <c r="BS120" s="155"/>
      <c r="BT120" s="29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54"/>
      <c r="CP120" s="54"/>
      <c r="CQ120" s="54"/>
      <c r="CR120" s="54"/>
      <c r="CS120" s="54"/>
      <c r="CT120" s="72"/>
      <c r="CU120" s="72"/>
    </row>
    <row r="121" spans="50:99" hidden="1">
      <c r="BC121" s="554">
        <f ca="1">+MIN(BA124,BB124,BC124)</f>
        <v>503762</v>
      </c>
      <c r="BD121" s="576"/>
      <c r="BE121" s="529"/>
      <c r="BH121" s="173">
        <f ca="1">ROUNDDOWN(BH120*$K$10/$N$16,2)</f>
        <v>0.36</v>
      </c>
      <c r="BI121" s="54"/>
      <c r="BJ121" s="54"/>
      <c r="BK121" s="54"/>
      <c r="BL121" s="54"/>
      <c r="BM121" s="54"/>
      <c r="BN121" s="54"/>
      <c r="BO121" s="54"/>
      <c r="BP121" s="172"/>
      <c r="BQ121" s="54"/>
      <c r="BR121" s="54"/>
      <c r="BS121" s="28"/>
      <c r="BT121" s="29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54"/>
      <c r="CP121" s="54"/>
      <c r="CQ121" s="54"/>
      <c r="CR121" s="54"/>
      <c r="CS121" s="54"/>
      <c r="CT121" s="72"/>
      <c r="CU121" s="72"/>
    </row>
    <row r="122" spans="50:99" hidden="1">
      <c r="BH122" s="173" t="s">
        <v>2005</v>
      </c>
      <c r="BI122" s="54" t="s">
        <v>2006</v>
      </c>
      <c r="BJ122" s="54"/>
      <c r="BK122" s="54"/>
      <c r="BL122" s="54" t="s">
        <v>1277</v>
      </c>
      <c r="BM122" s="54" t="s">
        <v>1278</v>
      </c>
      <c r="BN122" s="54"/>
      <c r="BO122" s="54"/>
      <c r="BP122" s="172"/>
      <c r="BQ122" s="54"/>
      <c r="BR122" s="54"/>
      <c r="BS122" s="28"/>
      <c r="BT122" s="29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54"/>
      <c r="CP122" s="54"/>
      <c r="CQ122" s="54"/>
      <c r="CR122" s="54"/>
      <c r="CS122" s="54"/>
      <c r="CT122" s="72"/>
      <c r="CU122" s="72"/>
    </row>
    <row r="123" spans="50:99" ht="15.75" hidden="1" customHeight="1">
      <c r="BA123" s="294" t="s">
        <v>1957</v>
      </c>
      <c r="BB123" s="294" t="s">
        <v>1958</v>
      </c>
      <c r="BC123" s="555" t="s">
        <v>1959</v>
      </c>
      <c r="BD123" s="577"/>
      <c r="BE123" s="71"/>
      <c r="BF123" s="177">
        <f ca="1">+MIN(BA124,BB124,BC124)</f>
        <v>503762</v>
      </c>
      <c r="BH123" s="224">
        <f ca="1">BH120+6%</f>
        <v>0.45</v>
      </c>
      <c r="BI123" s="179">
        <f ca="1">BH120+3%+BV130</f>
        <v>0.42000000000000004</v>
      </c>
      <c r="BJ123" s="54"/>
      <c r="BK123" s="180"/>
      <c r="BL123" s="156">
        <f ca="1">PMT($BI$39/12,AG11,-N16+AK17+AK16+BL38-BI38-BJ38-BK38,BH123*K10-AY27,0)+1</f>
        <v>556946.20352547511</v>
      </c>
      <c r="BM123" s="156">
        <f ca="1">TRUNC(BL123+IF(AND(BT10=1,BK10=1),BM40,0),0)+K10*1%/AG11</f>
        <v>563712.66666666663</v>
      </c>
      <c r="BN123" s="54"/>
      <c r="BO123" s="54"/>
      <c r="BP123" s="172"/>
      <c r="BQ123" s="54"/>
      <c r="BR123" s="54"/>
      <c r="BS123" s="28"/>
      <c r="BT123" s="29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54"/>
      <c r="CP123" s="54"/>
      <c r="CQ123" s="54"/>
      <c r="CR123" s="54"/>
      <c r="CS123" s="54"/>
      <c r="CT123" s="72"/>
      <c r="CU123" s="72"/>
    </row>
    <row r="124" spans="50:99" ht="17.25" hidden="1" customHeight="1">
      <c r="BA124" s="296" t="str">
        <f ca="1">IF(BF99="가능",BF100,"불가")</f>
        <v>불가</v>
      </c>
      <c r="BB124" s="296" t="str">
        <f ca="1">+IF(BF106="가능",BF109,"불가")</f>
        <v>불가</v>
      </c>
      <c r="BC124" s="556">
        <f ca="1">IF(BF119="가능",BF120,"불가")</f>
        <v>503762</v>
      </c>
      <c r="BD124" s="578"/>
      <c r="BE124" s="530"/>
      <c r="BH124" s="173">
        <f ca="1">ROUNDDOWN(BH123*$K$10/$N$16,2)</f>
        <v>0.42</v>
      </c>
      <c r="BI124" s="54">
        <f ca="1">ROUNDDOWN(BI123*$K$10/$N$16,2)</f>
        <v>0.39</v>
      </c>
      <c r="BJ124" s="54"/>
      <c r="BK124" s="54"/>
      <c r="BL124" s="156"/>
      <c r="BM124" s="54"/>
      <c r="BN124" s="54"/>
      <c r="BO124" s="54"/>
      <c r="BP124" s="172"/>
      <c r="BQ124" s="54"/>
      <c r="BR124" s="54"/>
      <c r="BS124" s="28"/>
      <c r="BT124" s="29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54"/>
      <c r="CP124" s="54"/>
      <c r="CQ124" s="54"/>
      <c r="CR124" s="54"/>
      <c r="CS124" s="54"/>
      <c r="CT124" s="72"/>
      <c r="CU124" s="72"/>
    </row>
    <row r="125" spans="50:99" hidden="1">
      <c r="BH125" s="173"/>
      <c r="BI125" s="54"/>
      <c r="BJ125" s="54"/>
      <c r="BK125" s="181" t="s">
        <v>1962</v>
      </c>
      <c r="BL125" s="181" t="s">
        <v>1963</v>
      </c>
      <c r="BM125" s="181" t="s">
        <v>1964</v>
      </c>
      <c r="BN125" s="878"/>
      <c r="BO125" s="54"/>
      <c r="BP125" s="172"/>
      <c r="BQ125" s="54"/>
      <c r="BR125" s="54"/>
      <c r="BS125" s="23"/>
      <c r="BT125" s="37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54"/>
      <c r="CP125" s="54"/>
      <c r="CQ125" s="54"/>
      <c r="CR125" s="54"/>
      <c r="CS125" s="54"/>
      <c r="CT125" s="72"/>
      <c r="CU125" s="72"/>
    </row>
    <row r="126" spans="50:99" ht="27" hidden="1" customHeight="1">
      <c r="BC126" s="125"/>
      <c r="BD126" s="579"/>
      <c r="BE126" s="125"/>
      <c r="BH126" s="178"/>
      <c r="BI126" s="54"/>
      <c r="BJ126" s="54"/>
      <c r="BK126" s="182">
        <f ca="1">(AK18-(K10*BH120))/K10</f>
        <v>0.15</v>
      </c>
      <c r="BL126" s="181" t="str">
        <f ca="1">IF(BK126&gt;5.01%,"6구간",IF(BK126&gt;4.01%,"5구간",IF(BK126&gt;3.01%,"4구간",IF(BK126&gt;2.01%,"3구간",IF(BK126&gt;1.01%,"2구간",IF(BK126&gt;0.01%,"1구간","해당없음"))))))</f>
        <v>6구간</v>
      </c>
      <c r="BM126" s="183">
        <f ca="1">IF(BL126="6구간",1.32%*K10,IF(BL126="5구간",1.1%*K10,IF(BL126="4구간",0.88%*K10,IF(BL126="3구간",0.66%*K10,IF(BL126="2구간",0.44%*K10,IF(BL126="1구간",0.22%*K10,IF(BL126="해당없음",0%)))))))/AG11</f>
        <v>8932</v>
      </c>
      <c r="BN126" s="878"/>
      <c r="BO126" s="170"/>
      <c r="BP126" s="172"/>
      <c r="BQ126" s="220"/>
      <c r="BR126" s="54"/>
      <c r="BS126" s="23"/>
      <c r="BT126" s="37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54"/>
      <c r="CP126" s="54"/>
      <c r="CQ126" s="54"/>
      <c r="CR126" s="54"/>
      <c r="CS126" s="54"/>
      <c r="CT126" s="72"/>
      <c r="CU126" s="72"/>
    </row>
    <row r="127" spans="50:99" ht="20.25" hidden="1" customHeight="1">
      <c r="AX127" s="225" t="str">
        <f ca="1">IF(BH123=BH136,"Y","N")</f>
        <v>N</v>
      </c>
      <c r="BC127" s="72"/>
      <c r="BD127" s="580"/>
      <c r="BE127" s="72"/>
      <c r="BH127" s="173"/>
      <c r="BI127" s="54"/>
      <c r="BJ127" s="54"/>
      <c r="BK127" s="54"/>
      <c r="BL127" s="54"/>
      <c r="BM127" s="54"/>
      <c r="BN127" s="54"/>
      <c r="BO127" s="54"/>
      <c r="BP127" s="172"/>
      <c r="BQ127" s="54"/>
      <c r="BR127" s="54"/>
      <c r="BS127" s="23"/>
      <c r="BT127" s="37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54"/>
      <c r="CP127" s="54"/>
      <c r="CQ127" s="54"/>
      <c r="CR127" s="54"/>
      <c r="CS127" s="54"/>
      <c r="CT127" s="72"/>
      <c r="CU127" s="72"/>
    </row>
    <row r="128" spans="50:99" hidden="1">
      <c r="BH128" s="173"/>
      <c r="BI128" s="54"/>
      <c r="BJ128" s="54"/>
      <c r="BK128" s="54"/>
      <c r="BL128" s="54"/>
      <c r="BM128" s="54"/>
      <c r="BN128" s="54"/>
      <c r="BO128" s="54"/>
      <c r="BP128" s="172"/>
      <c r="BQ128" s="54"/>
      <c r="BR128" s="54"/>
      <c r="BS128" s="23"/>
      <c r="BT128" s="37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54"/>
      <c r="CP128" s="54"/>
      <c r="CQ128" s="54"/>
      <c r="CR128" s="54"/>
      <c r="CS128" s="54"/>
      <c r="CT128" s="72"/>
      <c r="CU128" s="72"/>
    </row>
    <row r="129" spans="59:99" hidden="1">
      <c r="BG129" s="196">
        <f>IF(AND(BK129="true",BT10=2),VLOOKUP(BT6,$BW$167:$CA$186,IF(BG27=2,3,IF(BG27=3,4,IF(BG27=4,5,0))),0),0)</f>
        <v>0</v>
      </c>
      <c r="BH129" s="173"/>
      <c r="BI129" s="54"/>
      <c r="BJ129" s="54"/>
      <c r="BK129" s="54"/>
      <c r="BL129" s="54"/>
      <c r="BM129" s="54"/>
      <c r="BN129" s="54"/>
      <c r="BO129" s="54"/>
      <c r="BP129" s="172"/>
      <c r="BQ129" s="54"/>
      <c r="BR129" s="54"/>
      <c r="BS129" s="23"/>
      <c r="BT129" s="37"/>
      <c r="BU129" s="23"/>
      <c r="BV129" s="62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54"/>
      <c r="CP129" s="54"/>
      <c r="CQ129" s="54"/>
      <c r="CR129" s="54"/>
      <c r="CS129" s="54"/>
      <c r="CT129" s="72"/>
      <c r="CU129" s="72"/>
    </row>
    <row r="130" spans="59:99" ht="17.25" hidden="1" thickBot="1">
      <c r="BH130" s="184"/>
      <c r="BI130" s="185"/>
      <c r="BJ130" s="54"/>
      <c r="BK130" s="54"/>
      <c r="BL130" s="54"/>
      <c r="BM130" s="54"/>
      <c r="BN130" s="54"/>
      <c r="BO130" s="54"/>
      <c r="BP130" s="172"/>
      <c r="BQ130" s="54"/>
      <c r="BR130" s="54"/>
      <c r="BS130" s="23"/>
      <c r="BT130" s="37"/>
      <c r="BU130" s="23"/>
      <c r="BV130" s="6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54"/>
      <c r="CP130" s="54"/>
      <c r="CQ130" s="54"/>
      <c r="CR130" s="54"/>
      <c r="CS130" s="54"/>
      <c r="CT130" s="72"/>
      <c r="CU130" s="72"/>
    </row>
    <row r="131" spans="59:99" hidden="1">
      <c r="BH131" s="167" t="s">
        <v>1160</v>
      </c>
      <c r="BI131" s="168" t="s">
        <v>1161</v>
      </c>
      <c r="BJ131" s="168" t="s">
        <v>1163</v>
      </c>
      <c r="BK131" s="168" t="s">
        <v>1160</v>
      </c>
      <c r="BL131" s="168" t="s">
        <v>1161</v>
      </c>
      <c r="BM131" s="168"/>
      <c r="BN131" s="168"/>
      <c r="BO131" s="168"/>
      <c r="BP131" s="169"/>
      <c r="BQ131" s="54"/>
      <c r="BR131" s="54"/>
      <c r="BS131" s="23"/>
      <c r="BT131" s="37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54"/>
      <c r="CP131" s="54"/>
      <c r="CQ131" s="54"/>
      <c r="CR131" s="54"/>
      <c r="CS131" s="54"/>
      <c r="CT131" s="72"/>
      <c r="CU131" s="72"/>
    </row>
    <row r="132" spans="59:99" hidden="1">
      <c r="BG132" s="187"/>
      <c r="BH132" s="371">
        <f ca="1">OFFSET(IF($BT$10=1,$BH$91,$BH$101),$BG$27,$BV$8)+BO166-(IF(AND(BE13=2,BW12=1,BT10=2),10%,0%)-(IF(AND(BE13=2,BT10=1),20%,0%)))</f>
        <v>0.47999999999999993</v>
      </c>
      <c r="BI132" s="170">
        <f ca="1">OFFSET($BP$62,$BG$27,1)</f>
        <v>0.15</v>
      </c>
      <c r="BJ132" s="54"/>
      <c r="BK132" s="171">
        <f ca="1">ROUNDDOWN(BH132*$K$10/$N$16,2)</f>
        <v>0.45</v>
      </c>
      <c r="BL132" s="171">
        <f ca="1">ROUNDDOWN(BI132*$K$10/$N$16,2)</f>
        <v>0.14000000000000001</v>
      </c>
      <c r="BM132" s="54"/>
      <c r="BN132" s="54"/>
      <c r="BO132" s="54"/>
      <c r="BP132" s="172"/>
      <c r="BQ132" s="54"/>
      <c r="BR132" s="54"/>
      <c r="BS132" s="23"/>
      <c r="BT132" s="37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54"/>
      <c r="CP132" s="54"/>
      <c r="CQ132" s="54"/>
      <c r="CR132" s="54"/>
      <c r="CS132" s="54"/>
      <c r="CT132" s="72"/>
      <c r="CU132" s="72"/>
    </row>
    <row r="133" spans="59:99" hidden="1">
      <c r="BG133" s="187"/>
      <c r="BH133" s="173">
        <f ca="1">ROUNDDOWN(BH132*$K$10/$N$16,2)</f>
        <v>0.45</v>
      </c>
      <c r="BI133" s="54"/>
      <c r="BJ133" s="54"/>
      <c r="BK133" s="54"/>
      <c r="BL133" s="54"/>
      <c r="BM133" s="54"/>
      <c r="BN133" s="54"/>
      <c r="BO133" s="54"/>
      <c r="BP133" s="172"/>
      <c r="BQ133" s="54"/>
      <c r="BR133" s="54"/>
      <c r="BS133" s="23"/>
      <c r="BT133" s="37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54"/>
      <c r="CP133" s="54"/>
      <c r="CQ133" s="54"/>
      <c r="CR133" s="54"/>
      <c r="CS133" s="54"/>
      <c r="CT133" s="72"/>
      <c r="CU133" s="72"/>
    </row>
    <row r="134" spans="59:99" hidden="1">
      <c r="BG134" s="187"/>
      <c r="BH134" s="173"/>
      <c r="BI134" s="54"/>
      <c r="BJ134" s="54"/>
      <c r="BK134" s="54"/>
      <c r="BL134" s="54"/>
      <c r="BM134" s="54"/>
      <c r="BN134" s="54"/>
      <c r="BO134" s="54"/>
      <c r="BP134" s="172"/>
      <c r="BQ134" s="54"/>
      <c r="BR134" s="54"/>
      <c r="BS134" s="23"/>
      <c r="BT134" s="37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54"/>
      <c r="CP134" s="54"/>
      <c r="CQ134" s="54"/>
      <c r="CR134" s="54"/>
      <c r="CS134" s="54"/>
      <c r="CT134" s="72"/>
      <c r="CU134" s="72"/>
    </row>
    <row r="135" spans="59:99" hidden="1">
      <c r="BG135" s="603" t="s">
        <v>3487</v>
      </c>
      <c r="BH135" s="173" t="s">
        <v>1235</v>
      </c>
      <c r="BI135" s="54"/>
      <c r="BJ135" s="54"/>
      <c r="BK135" s="54"/>
      <c r="BL135" s="54" t="s">
        <v>1277</v>
      </c>
      <c r="BM135" s="54" t="s">
        <v>1278</v>
      </c>
      <c r="BN135" s="54"/>
      <c r="BO135" s="54"/>
      <c r="BP135" s="172"/>
      <c r="BQ135" s="54"/>
      <c r="BR135" s="54"/>
      <c r="BS135" s="23"/>
      <c r="BT135" s="37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54"/>
      <c r="CP135" s="54"/>
      <c r="CQ135" s="54"/>
      <c r="CR135" s="54"/>
      <c r="CS135" s="54"/>
      <c r="CT135" s="72"/>
      <c r="CU135" s="72"/>
    </row>
    <row r="136" spans="59:99" ht="15.75" hidden="1" customHeight="1">
      <c r="BG136" s="187"/>
      <c r="BH136" s="606">
        <f ca="1">BH132+6%</f>
        <v>0.53999999999999992</v>
      </c>
      <c r="BI136" s="179">
        <f ca="1">BH132+3%</f>
        <v>0.5099999999999999</v>
      </c>
      <c r="BJ136" s="54"/>
      <c r="BK136" s="188"/>
      <c r="BL136" s="156">
        <f ca="1">PMT($BI$39/12,AG11,-N16+AK17+AK16+BL38-BI38-BJ38-BK38,BH136*K10-AY27,0)+1</f>
        <v>503762.08922370197</v>
      </c>
      <c r="BM136" s="156">
        <f ca="1">TRUNC(BL136+IF(AND(BT10=1,BK10=1),BM40,0),0)+K10*1%/AG11</f>
        <v>510528.66666666669</v>
      </c>
      <c r="BN136" s="54"/>
      <c r="BO136" s="54"/>
      <c r="BP136" s="172"/>
      <c r="BQ136" s="54"/>
      <c r="BR136" s="54"/>
      <c r="BS136" s="23"/>
      <c r="BT136" s="37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54"/>
      <c r="CP136" s="54"/>
      <c r="CQ136" s="54"/>
      <c r="CR136" s="54"/>
      <c r="CS136" s="54"/>
      <c r="CT136" s="72"/>
      <c r="CU136" s="72"/>
    </row>
    <row r="137" spans="59:99" hidden="1">
      <c r="BG137" s="187"/>
      <c r="BH137" s="173">
        <f ca="1">ROUNDDOWN(BH136*$K$10/$N$16,2)</f>
        <v>0.5</v>
      </c>
      <c r="BI137" s="54">
        <f ca="1">ROUNDDOWN(BI136*$K$10/$N$16,2)</f>
        <v>0.47</v>
      </c>
      <c r="BJ137" s="54"/>
      <c r="BK137" s="54"/>
      <c r="BL137" s="54"/>
      <c r="BM137" s="54"/>
      <c r="BN137" s="54"/>
      <c r="BO137" s="54"/>
      <c r="BP137" s="172"/>
      <c r="BQ137" s="54"/>
      <c r="BR137" s="54"/>
      <c r="BS137" s="23"/>
      <c r="BT137" s="37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54"/>
      <c r="CP137" s="54"/>
      <c r="CQ137" s="54"/>
      <c r="CR137" s="54"/>
      <c r="CS137" s="54"/>
      <c r="CT137" s="72"/>
      <c r="CU137" s="72"/>
    </row>
    <row r="138" spans="59:99" hidden="1">
      <c r="BG138" s="187"/>
      <c r="BH138" s="173"/>
      <c r="BI138" s="54"/>
      <c r="BJ138" s="54"/>
      <c r="BK138" s="54"/>
      <c r="BL138" s="54"/>
      <c r="BM138" s="54"/>
      <c r="BN138" s="54"/>
      <c r="BO138" s="54"/>
      <c r="BP138" s="172"/>
      <c r="BQ138" s="54"/>
      <c r="BR138" s="54"/>
      <c r="BS138" s="23"/>
      <c r="BT138" s="37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54"/>
      <c r="CP138" s="54"/>
      <c r="CQ138" s="54"/>
      <c r="CR138" s="54"/>
      <c r="CS138" s="54"/>
      <c r="CT138" s="72"/>
      <c r="CU138" s="72"/>
    </row>
    <row r="139" spans="59:99" hidden="1">
      <c r="BG139" s="187"/>
      <c r="BH139" s="173"/>
      <c r="BI139" s="54"/>
      <c r="BJ139" s="54"/>
      <c r="BK139" s="181" t="s">
        <v>1962</v>
      </c>
      <c r="BL139" s="181" t="s">
        <v>1963</v>
      </c>
      <c r="BM139" s="181" t="s">
        <v>1964</v>
      </c>
      <c r="BN139" s="54"/>
      <c r="BO139" s="54"/>
      <c r="BP139" s="172"/>
      <c r="BQ139" s="54"/>
      <c r="BR139" s="54"/>
      <c r="BS139" s="23"/>
      <c r="BT139" s="37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54"/>
      <c r="CP139" s="54"/>
      <c r="CQ139" s="54"/>
      <c r="CR139" s="54"/>
      <c r="CS139" s="54"/>
      <c r="CT139" s="72"/>
      <c r="CU139" s="72"/>
    </row>
    <row r="140" spans="59:99" hidden="1">
      <c r="BG140" s="187"/>
      <c r="BH140" s="173"/>
      <c r="BI140" s="54"/>
      <c r="BJ140" s="54"/>
      <c r="BK140" s="182">
        <f ca="1">(AK18-(K10*BH132))/K10</f>
        <v>6.0000000000000095E-2</v>
      </c>
      <c r="BL140" s="181" t="str">
        <f ca="1">IF(BK140&gt;5.01%,"6구간",IF(BK140&gt;4.01%,"5구간",IF(BK140&gt;3.01%,"4구간",IF(BK140&gt;2.01%,"3구간",IF(BK140&gt;1.01%,"2구간",IF(BK140&gt;0.01%,"1구간",IF(AND(BE13=2,BK140&gt;15.01%),"6구간",IF(AND(BE13=2,BK140&gt;14.01%),"5구간",IF(AND(BE13=2,BK140&gt;13.01%),"4구간",IF(AND(BE13=2,BK140&gt;12.01%),"3구간",IF(AND(BE13=2,BK140&gt;11.01%),"2구간",IF(AND(BE13=2,BK140&gt;10.01%),"1구간","해당없음"))))))))))))</f>
        <v>6구간</v>
      </c>
      <c r="BM140" s="183">
        <f ca="1">IF(AND(BT10=2,OR(BL140="6구간",BL140="5구간",BL140="4구간")),1.5%*K10,IF(AND(BT10=2,OR(BL140="3구간",BL140="2구간",BL140="1구간")),0.75%*K10,IF(AND(BT10=1,BL140="6구간"),1.32%*K10,IF(AND(BT10=1,BL140="5구간"),1.1%*K10,IF(AND(BT10=1,BL140="4구간"),0.88%*K10,IF(AND(BT10=1,BL140="3구간"),0.66%*K10,IF(AND(BT10=1,BL140="2구간"),0.44%*K10,IF(AND(BT10=1,BL140="1구간"),0.22%*K10,IF(BL140="해당없음",0%)))))))))/AG11</f>
        <v>10150</v>
      </c>
      <c r="BN140" s="54"/>
      <c r="BO140" s="54"/>
      <c r="BP140" s="172"/>
      <c r="BQ140" s="54"/>
      <c r="BR140" s="54"/>
      <c r="BS140" s="23"/>
      <c r="BT140" s="37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54"/>
      <c r="CP140" s="54"/>
      <c r="CQ140" s="54"/>
      <c r="CR140" s="54"/>
      <c r="CS140" s="54"/>
      <c r="CT140" s="72"/>
      <c r="CU140" s="72"/>
    </row>
    <row r="141" spans="59:99" hidden="1">
      <c r="BG141" s="187"/>
      <c r="BH141" s="173"/>
      <c r="BI141" s="54"/>
      <c r="BJ141" s="54"/>
      <c r="BK141" s="54"/>
      <c r="BL141" s="54"/>
      <c r="BM141" s="54"/>
      <c r="BN141" s="54"/>
      <c r="BO141" s="54"/>
      <c r="BP141" s="172"/>
      <c r="BQ141" s="54"/>
      <c r="BR141" s="54"/>
      <c r="BS141" s="23"/>
      <c r="BT141" s="37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54"/>
      <c r="CP141" s="54"/>
      <c r="CQ141" s="54"/>
      <c r="CR141" s="54"/>
      <c r="CS141" s="54"/>
      <c r="CT141" s="72"/>
      <c r="CU141" s="72"/>
    </row>
    <row r="142" spans="59:99" ht="17.25" hidden="1" thickBot="1">
      <c r="BG142" s="187"/>
      <c r="BH142" s="184"/>
      <c r="BI142" s="185"/>
      <c r="BJ142" s="185"/>
      <c r="BK142" s="185"/>
      <c r="BL142" s="185"/>
      <c r="BM142" s="185"/>
      <c r="BN142" s="185"/>
      <c r="BO142" s="185"/>
      <c r="BP142" s="186"/>
      <c r="BQ142" s="54"/>
      <c r="BR142" s="54"/>
      <c r="BS142" s="23"/>
      <c r="BT142" s="37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54"/>
      <c r="CP142" s="54"/>
      <c r="CQ142" s="54"/>
      <c r="CR142" s="54"/>
      <c r="CS142" s="54"/>
      <c r="CT142" s="72"/>
      <c r="CU142" s="72"/>
    </row>
    <row r="143" spans="59:99" hidden="1">
      <c r="BG143" s="187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23"/>
      <c r="BT143" s="37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54"/>
      <c r="CP143" s="54"/>
      <c r="CQ143" s="54"/>
      <c r="CR143" s="54"/>
      <c r="CS143" s="54"/>
      <c r="CT143" s="72"/>
      <c r="CU143" s="72"/>
    </row>
    <row r="144" spans="59:99" hidden="1">
      <c r="BG144" s="187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23"/>
      <c r="BT144" s="29"/>
      <c r="BU144" s="28"/>
      <c r="BV144" s="28"/>
      <c r="BW144" s="28"/>
      <c r="BX144" s="28"/>
      <c r="BY144" s="28"/>
      <c r="BZ144" s="28"/>
      <c r="CA144" s="28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54"/>
      <c r="CP144" s="54"/>
      <c r="CQ144" s="54"/>
      <c r="CR144" s="54"/>
      <c r="CS144" s="54"/>
      <c r="CT144" s="72"/>
      <c r="CU144" s="72"/>
    </row>
    <row r="145" spans="59:99" hidden="1">
      <c r="BG145" s="187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23"/>
      <c r="BT145" s="29"/>
      <c r="BU145" s="28"/>
      <c r="BV145" s="62"/>
      <c r="BW145" s="62"/>
      <c r="BX145" s="62"/>
      <c r="BY145" s="62"/>
      <c r="BZ145" s="28"/>
      <c r="CA145" s="342"/>
      <c r="CB145" s="23"/>
      <c r="CC145" s="23"/>
      <c r="CD145" s="23"/>
      <c r="CE145" s="343"/>
      <c r="CF145" s="343"/>
      <c r="CG145" s="343"/>
      <c r="CH145" s="23"/>
      <c r="CI145" s="23"/>
      <c r="CJ145" s="23"/>
      <c r="CK145" s="23"/>
      <c r="CL145" s="23"/>
      <c r="CM145" s="23"/>
      <c r="CN145" s="23"/>
      <c r="CO145" s="54"/>
      <c r="CP145" s="54"/>
      <c r="CQ145" s="54"/>
      <c r="CR145" s="54"/>
      <c r="CS145" s="54"/>
      <c r="CT145" s="72"/>
      <c r="CU145" s="72"/>
    </row>
    <row r="146" spans="59:99" hidden="1">
      <c r="BG146" s="187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23"/>
      <c r="BT146" s="29"/>
      <c r="BU146" s="28"/>
      <c r="BV146" s="63"/>
      <c r="BW146" s="28"/>
      <c r="BX146" s="28"/>
      <c r="BY146" s="28"/>
      <c r="BZ146" s="28"/>
      <c r="CA146" s="344"/>
      <c r="CB146" s="23"/>
      <c r="CC146" s="23"/>
      <c r="CD146" s="23"/>
      <c r="CE146" s="28"/>
      <c r="CF146" s="28"/>
      <c r="CG146" s="28"/>
      <c r="CH146" s="23"/>
      <c r="CI146" s="23"/>
      <c r="CJ146" s="23"/>
      <c r="CK146" s="23"/>
      <c r="CL146" s="23"/>
      <c r="CM146" s="23"/>
      <c r="CN146" s="23"/>
      <c r="CO146" s="54"/>
      <c r="CP146" s="54"/>
      <c r="CQ146" s="54"/>
      <c r="CR146" s="54"/>
      <c r="CS146" s="54"/>
      <c r="CT146" s="72"/>
      <c r="CU146" s="72"/>
    </row>
    <row r="147" spans="59:99" hidden="1">
      <c r="BG147" s="187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23"/>
      <c r="BT147" s="29"/>
      <c r="BU147" s="28"/>
      <c r="BV147" s="28"/>
      <c r="BW147" s="28"/>
      <c r="BX147" s="28"/>
      <c r="BY147" s="28"/>
      <c r="BZ147" s="28"/>
      <c r="CA147" s="28"/>
      <c r="CB147" s="23"/>
      <c r="CC147" s="23"/>
      <c r="CD147" s="23"/>
      <c r="CE147" s="28"/>
      <c r="CF147" s="28"/>
      <c r="CG147" s="28"/>
      <c r="CH147" s="23"/>
      <c r="CI147" s="23"/>
      <c r="CJ147" s="23"/>
      <c r="CK147" s="23"/>
      <c r="CL147" s="23"/>
      <c r="CM147" s="23"/>
      <c r="CN147" s="23"/>
      <c r="CO147" s="54"/>
      <c r="CP147" s="54"/>
      <c r="CQ147" s="54"/>
      <c r="CR147" s="54"/>
      <c r="CS147" s="54"/>
      <c r="CT147" s="72"/>
      <c r="CU147" s="72"/>
    </row>
    <row r="148" spans="59:99" hidden="1">
      <c r="BG148" s="187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23"/>
      <c r="BT148" s="62"/>
      <c r="BU148" s="62"/>
      <c r="BV148" s="62"/>
      <c r="BW148" s="62"/>
      <c r="BX148" s="28"/>
      <c r="BY148" s="28"/>
      <c r="BZ148" s="28"/>
      <c r="CA148" s="28"/>
      <c r="CB148" s="23"/>
      <c r="CC148" s="23"/>
      <c r="CD148" s="23"/>
      <c r="CE148" s="28"/>
      <c r="CF148" s="28"/>
      <c r="CG148" s="28"/>
      <c r="CH148" s="23"/>
      <c r="CI148" s="23"/>
      <c r="CJ148" s="23"/>
      <c r="CK148" s="23"/>
      <c r="CL148" s="23"/>
      <c r="CM148" s="23"/>
      <c r="CN148" s="23"/>
      <c r="CO148" s="54"/>
      <c r="CP148" s="54"/>
      <c r="CQ148" s="54"/>
      <c r="CR148" s="54"/>
      <c r="CS148" s="54"/>
      <c r="CT148" s="72"/>
      <c r="CU148" s="72"/>
    </row>
    <row r="149" spans="59:99" hidden="1">
      <c r="BG149" s="187"/>
      <c r="BH149" s="54"/>
      <c r="BI149" s="54"/>
      <c r="BJ149" s="54"/>
      <c r="BK149" s="54"/>
      <c r="BL149" s="54"/>
      <c r="BM149" s="126" t="s">
        <v>3541</v>
      </c>
      <c r="BN149" s="54"/>
      <c r="BO149" s="54"/>
      <c r="BP149" s="54"/>
      <c r="BQ149" s="54"/>
      <c r="BR149" s="54"/>
      <c r="BS149" s="23"/>
      <c r="BT149" s="29"/>
      <c r="BU149" s="28"/>
      <c r="BV149" s="28"/>
      <c r="BW149" s="28"/>
      <c r="BX149" s="28"/>
      <c r="BY149" s="28"/>
      <c r="BZ149" s="28"/>
      <c r="CA149" s="28"/>
      <c r="CB149" s="23"/>
      <c r="CC149" s="23"/>
      <c r="CD149" s="23"/>
      <c r="CE149" s="28"/>
      <c r="CF149" s="28"/>
      <c r="CG149" s="28"/>
      <c r="CH149" s="23"/>
      <c r="CI149" s="23"/>
      <c r="CJ149" s="23"/>
      <c r="CK149" s="23"/>
      <c r="CL149" s="23"/>
      <c r="CM149" s="23"/>
      <c r="CN149" s="23"/>
      <c r="CO149" s="54"/>
      <c r="CP149" s="54"/>
      <c r="CQ149" s="54"/>
      <c r="CR149" s="129" t="s">
        <v>3542</v>
      </c>
      <c r="CS149" s="54"/>
      <c r="CT149" s="72"/>
      <c r="CU149" s="72"/>
    </row>
    <row r="150" spans="59:99" hidden="1">
      <c r="BG150" s="187"/>
      <c r="BH150" s="129"/>
      <c r="BI150" s="129"/>
      <c r="BJ150" s="129"/>
      <c r="BK150" s="129"/>
      <c r="BL150" s="129"/>
      <c r="BM150" s="189" t="s">
        <v>1948</v>
      </c>
      <c r="BN150" s="129"/>
      <c r="BO150" s="129"/>
      <c r="BP150" s="129"/>
      <c r="BQ150" s="129"/>
      <c r="BR150" s="129"/>
      <c r="BS150" s="28"/>
      <c r="BT150" s="29"/>
      <c r="BU150" s="28"/>
      <c r="BV150" s="28"/>
      <c r="BW150" s="63"/>
      <c r="BX150" s="28"/>
      <c r="BY150" s="28"/>
      <c r="BZ150" s="28"/>
      <c r="CA150" s="28"/>
      <c r="CB150" s="23"/>
      <c r="CC150" s="23"/>
      <c r="CD150" s="23"/>
      <c r="CE150" s="28"/>
      <c r="CF150" s="28"/>
      <c r="CG150" s="28"/>
      <c r="CH150" s="23"/>
      <c r="CI150" s="23"/>
      <c r="CJ150" s="23"/>
      <c r="CK150" s="23"/>
      <c r="CL150" s="23"/>
      <c r="CM150" s="23"/>
      <c r="CN150" s="23"/>
      <c r="CO150" s="54"/>
      <c r="CP150" s="54"/>
      <c r="CQ150" s="54"/>
      <c r="CR150" s="54">
        <f>COUNTIF(CR152:CR173,BI3)</f>
        <v>0</v>
      </c>
      <c r="CS150" s="54"/>
      <c r="CT150" s="72"/>
      <c r="CU150" s="72"/>
    </row>
    <row r="151" spans="59:99" ht="17.25" hidden="1" thickBot="1">
      <c r="BG151" s="187"/>
      <c r="BH151" s="129"/>
      <c r="BI151" s="129"/>
      <c r="BJ151" s="129"/>
      <c r="BK151" s="129"/>
      <c r="BL151" s="129"/>
      <c r="BM151" s="190">
        <f>COUNTIF(BM152:BM164,BI3)</f>
        <v>0</v>
      </c>
      <c r="BN151" s="129"/>
      <c r="BO151" s="129"/>
      <c r="BP151" s="129"/>
      <c r="BQ151" s="129" t="s">
        <v>3542</v>
      </c>
      <c r="BR151" s="129" t="s">
        <v>3542</v>
      </c>
      <c r="BS151" s="28"/>
      <c r="BT151" s="29"/>
      <c r="BU151" s="129" t="s">
        <v>3542</v>
      </c>
      <c r="BV151" s="28"/>
      <c r="BW151" s="63"/>
      <c r="BX151" s="28"/>
      <c r="BY151" s="28"/>
      <c r="BZ151" s="28"/>
      <c r="CA151" s="28"/>
      <c r="CB151" s="23"/>
      <c r="CC151" s="23"/>
      <c r="CD151" s="23"/>
      <c r="CE151" s="28"/>
      <c r="CF151" s="28"/>
      <c r="CG151" s="28"/>
      <c r="CH151" s="23"/>
      <c r="CI151" s="23"/>
      <c r="CJ151" s="23"/>
      <c r="CK151" s="23"/>
      <c r="CL151" s="23"/>
      <c r="CM151" s="23"/>
      <c r="CN151" s="23"/>
      <c r="CO151" s="54"/>
      <c r="CP151" s="54"/>
      <c r="CQ151" s="54"/>
      <c r="CR151" s="54" t="s">
        <v>3039</v>
      </c>
      <c r="CS151" s="54"/>
      <c r="CT151" s="72"/>
      <c r="CU151" s="72"/>
    </row>
    <row r="152" spans="59:99" ht="17.25" hidden="1" thickBot="1">
      <c r="BG152" s="187"/>
      <c r="BH152" s="129"/>
      <c r="BI152" s="191"/>
      <c r="BJ152" s="129"/>
      <c r="BK152" s="129"/>
      <c r="BL152" s="129"/>
      <c r="BM152" s="192" t="s">
        <v>3188</v>
      </c>
      <c r="BN152" s="129"/>
      <c r="BO152" s="129" t="s">
        <v>3540</v>
      </c>
      <c r="BP152" s="129" t="s">
        <v>3542</v>
      </c>
      <c r="BQ152" s="126" t="s">
        <v>1243</v>
      </c>
      <c r="BR152" s="832" t="s">
        <v>3043</v>
      </c>
      <c r="BS152" s="833"/>
      <c r="BT152" s="834"/>
      <c r="BU152" s="389" t="s">
        <v>3147</v>
      </c>
      <c r="BV152" s="28"/>
      <c r="BW152" s="23"/>
      <c r="BX152" s="23"/>
      <c r="BY152" s="23"/>
      <c r="BZ152" s="23"/>
      <c r="CA152" s="23"/>
      <c r="CB152" s="23"/>
      <c r="CC152" s="23"/>
      <c r="CD152" s="23"/>
      <c r="CE152" s="28"/>
      <c r="CF152" s="28"/>
      <c r="CG152" s="28"/>
      <c r="CH152" s="23"/>
      <c r="CI152" s="23"/>
      <c r="CJ152" s="23"/>
      <c r="CK152" s="23"/>
      <c r="CL152" s="23"/>
      <c r="CM152" s="23"/>
      <c r="CN152" s="23"/>
      <c r="CO152" s="54"/>
      <c r="CP152" s="54"/>
      <c r="CQ152" s="54"/>
      <c r="CR152" s="319" t="s">
        <v>167</v>
      </c>
      <c r="CS152" s="54"/>
      <c r="CT152" s="72"/>
      <c r="CU152" s="72"/>
    </row>
    <row r="153" spans="59:99" hidden="1">
      <c r="BG153" s="187"/>
      <c r="BH153" s="129"/>
      <c r="BI153" s="129"/>
      <c r="BJ153" s="129"/>
      <c r="BK153" s="129"/>
      <c r="BL153" s="129"/>
      <c r="BM153" s="192" t="s">
        <v>1949</v>
      </c>
      <c r="BN153" s="129"/>
      <c r="BO153" s="193" t="s">
        <v>1980</v>
      </c>
      <c r="BP153" s="193" t="s">
        <v>1981</v>
      </c>
      <c r="BQ153" s="193" t="s">
        <v>2037</v>
      </c>
      <c r="BR153" s="193" t="s">
        <v>3257</v>
      </c>
      <c r="BS153" s="193" t="s">
        <v>3042</v>
      </c>
      <c r="BT153" s="193" t="s">
        <v>3044</v>
      </c>
      <c r="BU153" s="273" t="s">
        <v>3089</v>
      </c>
      <c r="BV153" s="28"/>
      <c r="BW153" s="23"/>
      <c r="BX153" s="23"/>
      <c r="BY153" s="23"/>
      <c r="BZ153" s="23"/>
      <c r="CA153" s="23"/>
      <c r="CB153" s="23"/>
      <c r="CC153" s="23"/>
      <c r="CD153" s="23"/>
      <c r="CE153" s="28"/>
      <c r="CF153" s="28"/>
      <c r="CG153" s="28"/>
      <c r="CH153" s="23"/>
      <c r="CI153" s="23"/>
      <c r="CJ153" s="23"/>
      <c r="CK153" s="23"/>
      <c r="CL153" s="23"/>
      <c r="CM153" s="23"/>
      <c r="CN153" s="23"/>
      <c r="CO153" s="54"/>
      <c r="CP153" s="54"/>
      <c r="CQ153" s="54"/>
      <c r="CR153" s="319" t="s">
        <v>1267</v>
      </c>
      <c r="CS153" s="54"/>
      <c r="CT153" s="72"/>
      <c r="CU153" s="72"/>
    </row>
    <row r="154" spans="59:99" hidden="1">
      <c r="BG154" s="187"/>
      <c r="BH154" s="129"/>
      <c r="BI154" s="129"/>
      <c r="BJ154" s="129"/>
      <c r="BL154" s="129"/>
      <c r="BM154" s="192" t="s">
        <v>2876</v>
      </c>
      <c r="BN154" s="129"/>
      <c r="BO154" s="194">
        <f>COUNTIF(BO155:BO159,BH3)</f>
        <v>1</v>
      </c>
      <c r="BP154" s="192"/>
      <c r="BQ154" s="192">
        <f>COUNTIF(BQ155:BQ161,BI3)</f>
        <v>0</v>
      </c>
      <c r="BR154" s="192">
        <f>COUNTIF(BR155:BR159,BH3)</f>
        <v>1</v>
      </c>
      <c r="BS154" s="322">
        <f>COUNTIF(BS155:BS158,BH3)</f>
        <v>0</v>
      </c>
      <c r="BT154" s="387"/>
      <c r="BU154" s="192"/>
      <c r="BV154" s="28"/>
      <c r="BW154" s="23"/>
      <c r="BX154" s="23"/>
      <c r="BY154" s="23"/>
      <c r="BZ154" s="23"/>
      <c r="CA154" s="23"/>
      <c r="CB154" s="23"/>
      <c r="CC154" s="23"/>
      <c r="CD154" s="23"/>
      <c r="CE154" s="28"/>
      <c r="CF154" s="28"/>
      <c r="CG154" s="28"/>
      <c r="CH154" s="23"/>
      <c r="CI154" s="23"/>
      <c r="CJ154" s="23"/>
      <c r="CK154" s="23"/>
      <c r="CL154" s="23"/>
      <c r="CM154" s="23"/>
      <c r="CN154" s="23"/>
      <c r="CO154" s="54"/>
      <c r="CP154" s="54"/>
      <c r="CQ154" s="54"/>
      <c r="CR154" s="319" t="s">
        <v>166</v>
      </c>
      <c r="CS154" s="54"/>
      <c r="CT154" s="72"/>
      <c r="CU154" s="72"/>
    </row>
    <row r="155" spans="59:99" hidden="1">
      <c r="BG155" s="187"/>
      <c r="BH155" s="129"/>
      <c r="BI155" s="129"/>
      <c r="BJ155" s="129"/>
      <c r="BK155" s="129"/>
      <c r="BL155" s="129"/>
      <c r="BM155" s="192" t="s">
        <v>3186</v>
      </c>
      <c r="BN155" s="129"/>
      <c r="BO155" s="254" t="s">
        <v>1936</v>
      </c>
      <c r="BP155" s="292"/>
      <c r="BQ155" s="319" t="s">
        <v>167</v>
      </c>
      <c r="BR155" s="305" t="s">
        <v>1936</v>
      </c>
      <c r="BS155" s="254" t="s">
        <v>1296</v>
      </c>
      <c r="BT155" s="388"/>
      <c r="BU155" s="305"/>
      <c r="BV155" s="28"/>
      <c r="BW155" s="23"/>
      <c r="BX155" s="23"/>
      <c r="BY155" s="23"/>
      <c r="BZ155" s="23"/>
      <c r="CA155" s="23"/>
      <c r="CB155" s="23"/>
      <c r="CC155" s="23"/>
      <c r="CD155" s="23"/>
      <c r="CE155" s="28"/>
      <c r="CF155" s="28"/>
      <c r="CG155" s="28"/>
      <c r="CH155" s="23"/>
      <c r="CI155" s="23"/>
      <c r="CJ155" s="23"/>
      <c r="CK155" s="23"/>
      <c r="CL155" s="23"/>
      <c r="CM155" s="23"/>
      <c r="CN155" s="23"/>
      <c r="CO155" s="54"/>
      <c r="CP155" s="54"/>
      <c r="CQ155" s="54"/>
      <c r="CR155" s="319" t="s">
        <v>165</v>
      </c>
      <c r="CS155" s="54"/>
      <c r="CT155" s="72"/>
      <c r="CU155" s="72"/>
    </row>
    <row r="156" spans="59:99" hidden="1">
      <c r="BG156" s="187"/>
      <c r="BH156" s="129"/>
      <c r="BI156" s="129"/>
      <c r="BJ156" s="129"/>
      <c r="BK156" s="129"/>
      <c r="BL156" s="129"/>
      <c r="BM156" s="192" t="s">
        <v>3187</v>
      </c>
      <c r="BN156" s="129"/>
      <c r="BO156" s="253" t="s">
        <v>1260</v>
      </c>
      <c r="BP156" s="292"/>
      <c r="BQ156" s="319" t="s">
        <v>1267</v>
      </c>
      <c r="BR156" s="305" t="s">
        <v>1260</v>
      </c>
      <c r="BS156" s="28"/>
      <c r="BT156" s="388"/>
      <c r="BU156" s="305"/>
      <c r="BV156" s="28"/>
      <c r="BW156" s="23"/>
      <c r="BX156" s="23"/>
      <c r="BY156" s="23"/>
      <c r="BZ156" s="23"/>
      <c r="CA156" s="23"/>
      <c r="CB156" s="23"/>
      <c r="CC156" s="23"/>
      <c r="CD156" s="23"/>
      <c r="CE156" s="28"/>
      <c r="CF156" s="28"/>
      <c r="CG156" s="28"/>
      <c r="CH156" s="345"/>
      <c r="CI156" s="23"/>
      <c r="CJ156" s="23"/>
      <c r="CK156" s="23"/>
      <c r="CL156" s="23"/>
      <c r="CM156" s="23"/>
      <c r="CN156" s="23"/>
      <c r="CO156" s="54"/>
      <c r="CP156" s="54"/>
      <c r="CQ156" s="54"/>
      <c r="CR156" s="319" t="s">
        <v>164</v>
      </c>
      <c r="CS156" s="54"/>
      <c r="CT156" s="72"/>
      <c r="CU156" s="72"/>
    </row>
    <row r="157" spans="59:99" hidden="1">
      <c r="BG157" s="187"/>
      <c r="BH157" s="129"/>
      <c r="BI157" s="129"/>
      <c r="BJ157" s="129"/>
      <c r="BK157" s="129"/>
      <c r="BL157" s="129"/>
      <c r="BM157" s="192" t="s">
        <v>1950</v>
      </c>
      <c r="BN157" s="129"/>
      <c r="BO157" s="253" t="s">
        <v>1261</v>
      </c>
      <c r="BP157" s="292"/>
      <c r="BQ157" s="319" t="s">
        <v>166</v>
      </c>
      <c r="BR157" s="305" t="s">
        <v>1261</v>
      </c>
      <c r="BS157" s="28"/>
      <c r="BT157" s="37"/>
      <c r="BU157" s="305"/>
      <c r="BV157" s="28"/>
      <c r="BW157" s="23"/>
      <c r="BX157" s="23"/>
      <c r="BY157" s="23"/>
      <c r="BZ157" s="23"/>
      <c r="CA157" s="23"/>
      <c r="CB157" s="23"/>
      <c r="CC157" s="23"/>
      <c r="CD157" s="23"/>
      <c r="CE157" s="28"/>
      <c r="CF157" s="28"/>
      <c r="CG157" s="28"/>
      <c r="CH157" s="23"/>
      <c r="CI157" s="23"/>
      <c r="CJ157" s="23"/>
      <c r="CK157" s="23"/>
      <c r="CL157" s="23"/>
      <c r="CM157" s="23"/>
      <c r="CN157" s="23"/>
      <c r="CO157" s="54"/>
      <c r="CP157" s="54"/>
      <c r="CQ157" s="54"/>
      <c r="CR157" s="319" t="s">
        <v>163</v>
      </c>
      <c r="CS157" s="54"/>
      <c r="CT157" s="72"/>
      <c r="CU157" s="72"/>
    </row>
    <row r="158" spans="59:99" hidden="1">
      <c r="BG158" s="187"/>
      <c r="BH158" s="129"/>
      <c r="BI158" s="129"/>
      <c r="BJ158" s="129"/>
      <c r="BK158" s="129"/>
      <c r="BL158" s="129"/>
      <c r="BM158" s="192" t="s">
        <v>3022</v>
      </c>
      <c r="BN158" s="129"/>
      <c r="BO158" s="190" t="s">
        <v>1243</v>
      </c>
      <c r="BP158" s="292"/>
      <c r="BQ158" s="319" t="s">
        <v>165</v>
      </c>
      <c r="BR158" s="305" t="s">
        <v>1296</v>
      </c>
      <c r="BS158" s="28"/>
      <c r="BT158" s="37"/>
      <c r="BU158" s="253"/>
      <c r="BV158" s="28"/>
      <c r="BW158" s="23"/>
      <c r="BX158" s="23"/>
      <c r="BY158" s="23"/>
      <c r="BZ158" s="23"/>
      <c r="CA158" s="23"/>
      <c r="CB158" s="23"/>
      <c r="CC158" s="23"/>
      <c r="CD158" s="23"/>
      <c r="CE158" s="28"/>
      <c r="CF158" s="28"/>
      <c r="CG158" s="28"/>
      <c r="CH158" s="23"/>
      <c r="CI158" s="23"/>
      <c r="CJ158" s="23"/>
      <c r="CK158" s="23"/>
      <c r="CL158" s="23"/>
      <c r="CM158" s="23"/>
      <c r="CN158" s="23"/>
      <c r="CO158" s="54"/>
      <c r="CP158" s="54"/>
      <c r="CQ158" s="54"/>
      <c r="CR158" s="319" t="s">
        <v>162</v>
      </c>
      <c r="CS158" s="54"/>
      <c r="CT158" s="72"/>
      <c r="CU158" s="72"/>
    </row>
    <row r="159" spans="59:99" hidden="1">
      <c r="BG159" s="187"/>
      <c r="BH159" s="129"/>
      <c r="BI159" s="129"/>
      <c r="BJ159" s="129"/>
      <c r="BK159" s="129"/>
      <c r="BL159" s="129"/>
      <c r="BM159" s="192" t="s">
        <v>3199</v>
      </c>
      <c r="BN159" s="129"/>
      <c r="BO159" s="253" t="s">
        <v>1296</v>
      </c>
      <c r="BP159" s="292"/>
      <c r="BQ159" s="319" t="s">
        <v>164</v>
      </c>
      <c r="BR159" s="190" t="s">
        <v>1243</v>
      </c>
      <c r="BS159" s="28"/>
      <c r="BT159" s="37"/>
      <c r="BV159" s="28"/>
      <c r="BW159" s="23"/>
      <c r="BX159" s="23"/>
      <c r="BY159" s="23"/>
      <c r="BZ159" s="23"/>
      <c r="CA159" s="23"/>
      <c r="CB159" s="23"/>
      <c r="CC159" s="23"/>
      <c r="CD159" s="23"/>
      <c r="CE159" s="28"/>
      <c r="CF159" s="28"/>
      <c r="CG159" s="28"/>
      <c r="CH159" s="23"/>
      <c r="CI159" s="23"/>
      <c r="CJ159" s="23"/>
      <c r="CK159" s="23"/>
      <c r="CL159" s="23"/>
      <c r="CM159" s="23"/>
      <c r="CN159" s="23"/>
      <c r="CO159" s="54"/>
      <c r="CP159" s="54"/>
      <c r="CQ159" s="54"/>
      <c r="CR159" s="319" t="s">
        <v>166</v>
      </c>
      <c r="CS159" s="54"/>
      <c r="CT159" s="72"/>
      <c r="CU159" s="72"/>
    </row>
    <row r="160" spans="59:99" hidden="1">
      <c r="BG160" s="187"/>
      <c r="BH160" s="129"/>
      <c r="BI160" s="129"/>
      <c r="BJ160" s="129"/>
      <c r="BK160" s="129"/>
      <c r="BL160" s="129"/>
      <c r="BM160" s="192" t="s">
        <v>3200</v>
      </c>
      <c r="BN160" s="129"/>
      <c r="BO160" s="129"/>
      <c r="BP160" s="292"/>
      <c r="BQ160" s="319" t="s">
        <v>163</v>
      </c>
      <c r="BR160" s="129"/>
      <c r="BS160" s="28"/>
      <c r="BT160" s="37"/>
      <c r="BV160" s="28"/>
      <c r="BW160" s="23"/>
      <c r="BX160" s="23"/>
      <c r="BY160" s="23"/>
      <c r="BZ160" s="23"/>
      <c r="CA160" s="23"/>
      <c r="CB160" s="23"/>
      <c r="CC160" s="23"/>
      <c r="CD160" s="23"/>
      <c r="CE160" s="28"/>
      <c r="CF160" s="28"/>
      <c r="CG160" s="28"/>
      <c r="CH160" s="23"/>
      <c r="CI160" s="23"/>
      <c r="CJ160" s="23"/>
      <c r="CK160" s="23"/>
      <c r="CL160" s="23"/>
      <c r="CM160" s="23"/>
      <c r="CN160" s="54"/>
      <c r="CO160" s="54"/>
      <c r="CP160" s="54"/>
      <c r="CQ160" s="54"/>
      <c r="CR160" s="319"/>
      <c r="CS160" s="54"/>
      <c r="CT160" s="72"/>
    </row>
    <row r="161" spans="59:103" ht="17.25" hidden="1" thickBot="1">
      <c r="BG161" s="187"/>
      <c r="BH161" s="129" t="s">
        <v>3542</v>
      </c>
      <c r="BI161" s="129"/>
      <c r="BJ161" s="129"/>
      <c r="BK161" s="129"/>
      <c r="BL161" s="129"/>
      <c r="BM161" s="192" t="s">
        <v>3201</v>
      </c>
      <c r="BN161" s="129"/>
      <c r="BO161" s="129"/>
      <c r="BP161" s="292"/>
      <c r="BQ161" s="319" t="s">
        <v>162</v>
      </c>
      <c r="BR161" s="129"/>
      <c r="BS161" s="28"/>
      <c r="BT161" s="37"/>
      <c r="BV161" s="129" t="s">
        <v>3542</v>
      </c>
      <c r="BW161" s="23"/>
      <c r="BX161" s="23"/>
      <c r="BY161" s="23"/>
      <c r="BZ161" s="23"/>
      <c r="CA161" s="23"/>
      <c r="CB161" s="23"/>
      <c r="CC161" s="23"/>
      <c r="CD161" s="23"/>
      <c r="CE161" s="28"/>
      <c r="CF161" s="28"/>
      <c r="CG161" s="28"/>
      <c r="CH161" s="23"/>
      <c r="CI161" s="129" t="s">
        <v>3542</v>
      </c>
      <c r="CJ161" s="23"/>
      <c r="CK161" s="23"/>
      <c r="CL161" s="23"/>
      <c r="CM161" s="23"/>
      <c r="CN161" s="54"/>
      <c r="CO161" s="54"/>
      <c r="CP161" s="54"/>
      <c r="CQ161" s="54"/>
      <c r="CR161" s="319"/>
      <c r="CS161" s="54"/>
      <c r="CT161" s="72"/>
    </row>
    <row r="162" spans="59:103" hidden="1">
      <c r="BG162" s="187"/>
      <c r="BH162" s="129" t="s">
        <v>3061</v>
      </c>
      <c r="BI162" s="129" t="s">
        <v>3542</v>
      </c>
      <c r="BJ162" s="129"/>
      <c r="BK162" s="129"/>
      <c r="BL162" s="129"/>
      <c r="BM162" s="192"/>
      <c r="BN162" s="512" t="s">
        <v>2019</v>
      </c>
      <c r="BO162" s="513"/>
      <c r="BP162" s="513"/>
      <c r="BQ162" s="514" t="s">
        <v>2018</v>
      </c>
      <c r="BR162" s="513"/>
      <c r="BS162" s="513" t="s">
        <v>2020</v>
      </c>
      <c r="BT162" s="515"/>
      <c r="BV162" s="23" t="s">
        <v>2089</v>
      </c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 t="s">
        <v>2090</v>
      </c>
      <c r="CJ162" s="23"/>
      <c r="CK162" s="23"/>
      <c r="CL162" s="23"/>
      <c r="CM162" s="23"/>
      <c r="CN162" s="23"/>
      <c r="CO162" s="23"/>
      <c r="CP162" s="23"/>
      <c r="CQ162" s="23"/>
      <c r="CR162" s="319"/>
      <c r="CS162" s="54"/>
      <c r="CT162" s="54"/>
      <c r="CU162" s="54"/>
      <c r="CV162" s="54"/>
      <c r="CW162" s="54"/>
      <c r="CX162" s="72"/>
    </row>
    <row r="163" spans="59:103" hidden="1">
      <c r="BG163" s="187"/>
      <c r="BH163" s="320" t="s">
        <v>3041</v>
      </c>
      <c r="BI163" s="856" t="s">
        <v>3060</v>
      </c>
      <c r="BJ163" s="857"/>
      <c r="BK163" s="857"/>
      <c r="BL163" s="858"/>
      <c r="BM163" s="192"/>
      <c r="BN163" s="242" t="s">
        <v>2015</v>
      </c>
      <c r="BO163" s="240">
        <f>IF(BN166=1,5%,0)</f>
        <v>0</v>
      </c>
      <c r="BP163" s="241"/>
      <c r="BQ163" s="239" t="s">
        <v>2015</v>
      </c>
      <c r="BR163" s="240">
        <f>IF(BQ166=1,-20%,0)</f>
        <v>0</v>
      </c>
      <c r="BS163" s="239" t="s">
        <v>2015</v>
      </c>
      <c r="BT163" s="243">
        <f>IF(BS166=1,8%,0)</f>
        <v>0</v>
      </c>
      <c r="BV163" s="835" t="s">
        <v>2074</v>
      </c>
      <c r="BW163" s="836"/>
      <c r="BX163" s="836"/>
      <c r="BY163" s="836"/>
      <c r="BZ163" s="836"/>
      <c r="CA163" s="837"/>
      <c r="CB163" s="346"/>
      <c r="CC163" s="346"/>
      <c r="CD163" s="346"/>
      <c r="CE163" s="346"/>
      <c r="CF163" s="346"/>
      <c r="CG163" s="346"/>
      <c r="CH163" s="347"/>
      <c r="CI163" s="348" t="s">
        <v>2092</v>
      </c>
      <c r="CJ163" s="349"/>
      <c r="CK163" s="349"/>
      <c r="CL163" s="349"/>
      <c r="CM163" s="349"/>
      <c r="CN163" s="349"/>
      <c r="CR163" s="319"/>
      <c r="CT163" s="126"/>
      <c r="CU163" s="126"/>
      <c r="CV163" s="126"/>
      <c r="CW163" s="126"/>
      <c r="CX163" s="126"/>
    </row>
    <row r="164" spans="59:103" hidden="1">
      <c r="BG164" s="187"/>
      <c r="BH164" s="385">
        <f>IF(AND((BH166=BH3),(BJ3=BH167),(BH168=BT7),BO11=2),1,0)</f>
        <v>0</v>
      </c>
      <c r="BI164" s="382">
        <f>COUNTIF(BJ166:BJ185,BJ3)</f>
        <v>0</v>
      </c>
      <c r="BJ164" s="386">
        <f>IF(BI164=1,1%,0)</f>
        <v>0</v>
      </c>
      <c r="BK164" s="383">
        <f>COUNTIF(BL166:BL262,BJ3)</f>
        <v>0</v>
      </c>
      <c r="BL164" s="386">
        <f>IF(BK164=1,2%,0)</f>
        <v>0</v>
      </c>
      <c r="BM164" s="192"/>
      <c r="BN164" s="242" t="s">
        <v>1122</v>
      </c>
      <c r="BO164" s="240">
        <f>IF(BN166=2,4%,0)</f>
        <v>0.04</v>
      </c>
      <c r="BP164" s="241"/>
      <c r="BQ164" s="239" t="s">
        <v>1122</v>
      </c>
      <c r="BR164" s="240">
        <f>IF(BQ166=2,2%,0)</f>
        <v>0.02</v>
      </c>
      <c r="BS164" s="239" t="s">
        <v>1122</v>
      </c>
      <c r="BT164" s="243">
        <f>IF(BS166=2,6%,0)</f>
        <v>0.06</v>
      </c>
      <c r="BV164" s="196" t="e">
        <f>IF(AND(BZ164="true",BO11=2),VLOOKUP(BT7,$BW$167:$CA$186,IF(BG27=2,3,IF(BG27=3,4,IF(BG27=4,5,0))),0),0)</f>
        <v>#N/A</v>
      </c>
      <c r="BW164" s="196">
        <f>IFERROR(BV164,0)</f>
        <v>0</v>
      </c>
      <c r="BX164" s="196"/>
      <c r="BY164" s="350" t="e">
        <f>VLOOKUP(BT7,$BW$167:$BX$186,2,FALSE)</f>
        <v>#N/A</v>
      </c>
      <c r="BZ164" s="43" t="e">
        <f>IF(BY164&lt;=AY12,"true","false")</f>
        <v>#N/A</v>
      </c>
      <c r="CA164" s="43"/>
      <c r="CB164" s="23"/>
      <c r="CC164" s="23"/>
      <c r="CD164" s="23"/>
      <c r="CE164" s="23"/>
      <c r="CF164" s="23"/>
      <c r="CG164" s="23"/>
      <c r="CH164" s="126"/>
      <c r="CI164" s="351">
        <f>IF(AND(CM164="true",BO11=1),VLOOKUP(BT7,$BW$167:$CA$186,IF(BG27=2,3,IF(BG27=3,4,IF(BG27=4,5,0))),0),0)</f>
        <v>0</v>
      </c>
      <c r="CJ164" s="196">
        <f>IFERROR(CI164,0)</f>
        <v>0</v>
      </c>
      <c r="CK164" s="196"/>
      <c r="CL164" s="350">
        <f>VLOOKUP(BT7,$CJ$167:$CK$293,2,FALSE)</f>
        <v>0</v>
      </c>
      <c r="CM164" s="43" t="str">
        <f>IF(CL164&lt;=AY12,"true","false")</f>
        <v>true</v>
      </c>
      <c r="CN164" s="43"/>
      <c r="CR164" s="319" t="s">
        <v>165</v>
      </c>
      <c r="CT164" s="126"/>
      <c r="CU164" s="126"/>
      <c r="CV164" s="126"/>
      <c r="CW164" s="126"/>
      <c r="CX164" s="126"/>
      <c r="CY164" s="126"/>
    </row>
    <row r="165" spans="59:103" hidden="1">
      <c r="BG165" s="187"/>
      <c r="BH165" s="384" t="s">
        <v>2043</v>
      </c>
      <c r="BI165" s="382" t="s">
        <v>2042</v>
      </c>
      <c r="BJ165" s="382" t="s">
        <v>2008</v>
      </c>
      <c r="BK165" s="383" t="s">
        <v>2043</v>
      </c>
      <c r="BL165" s="382"/>
      <c r="BM165" s="23"/>
      <c r="BN165" s="242" t="s">
        <v>2016</v>
      </c>
      <c r="BO165" s="240">
        <f>IF(BN166=3,0%,0)</f>
        <v>0</v>
      </c>
      <c r="BP165" s="241"/>
      <c r="BQ165" s="239" t="s">
        <v>2016</v>
      </c>
      <c r="BR165" s="240">
        <f>IF(BQ166=3,0,0)</f>
        <v>0</v>
      </c>
      <c r="BS165" s="239" t="s">
        <v>2016</v>
      </c>
      <c r="BT165" s="243">
        <f>IF(BS166=3,0,0)</f>
        <v>0</v>
      </c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126"/>
      <c r="CI165" s="352"/>
      <c r="CJ165" s="23"/>
      <c r="CK165" s="23"/>
      <c r="CL165" s="23"/>
      <c r="CM165" s="23"/>
      <c r="CN165" s="23"/>
      <c r="CR165" s="319"/>
      <c r="CT165" s="126"/>
      <c r="CU165" s="126"/>
      <c r="CV165" s="126"/>
      <c r="CW165" s="126"/>
      <c r="CX165" s="126"/>
      <c r="CY165" s="126"/>
    </row>
    <row r="166" spans="59:103" ht="17.25" hidden="1" thickBot="1">
      <c r="BG166" s="187"/>
      <c r="BH166" s="321" t="s">
        <v>3040</v>
      </c>
      <c r="BI166" s="43" t="s">
        <v>2052</v>
      </c>
      <c r="BJ166" s="274" t="s">
        <v>1396</v>
      </c>
      <c r="BK166" s="864" t="s">
        <v>2065</v>
      </c>
      <c r="BL166" s="277" t="s">
        <v>1377</v>
      </c>
      <c r="BM166" s="23"/>
      <c r="BN166" s="244">
        <f>BO11</f>
        <v>2</v>
      </c>
      <c r="BO166" s="245">
        <f>MAX(BO163:BO165)</f>
        <v>0.04</v>
      </c>
      <c r="BP166" s="246"/>
      <c r="BQ166" s="247">
        <f>BO11</f>
        <v>2</v>
      </c>
      <c r="BR166" s="245">
        <f>IF(BQ166=1,BR163,MAX(BR163:BR165))</f>
        <v>0.02</v>
      </c>
      <c r="BS166" s="247">
        <f>BO11</f>
        <v>2</v>
      </c>
      <c r="BT166" s="248">
        <f>MAX(BT163:BT165)</f>
        <v>0.06</v>
      </c>
      <c r="BV166" s="43" t="s">
        <v>58</v>
      </c>
      <c r="BW166" s="68" t="s">
        <v>2075</v>
      </c>
      <c r="BX166" s="68" t="s">
        <v>2091</v>
      </c>
      <c r="BY166" s="196">
        <v>36</v>
      </c>
      <c r="BZ166" s="196">
        <v>48</v>
      </c>
      <c r="CA166" s="196">
        <v>60</v>
      </c>
      <c r="CB166" s="28"/>
      <c r="CC166" s="28"/>
      <c r="CD166" s="28"/>
      <c r="CE166" s="28"/>
      <c r="CF166" s="28"/>
      <c r="CG166" s="28"/>
      <c r="CH166" s="54"/>
      <c r="CI166" s="44" t="s">
        <v>58</v>
      </c>
      <c r="CJ166" s="68" t="s">
        <v>2075</v>
      </c>
      <c r="CK166" s="68" t="s">
        <v>2091</v>
      </c>
      <c r="CL166" s="196">
        <v>36</v>
      </c>
      <c r="CM166" s="196">
        <v>48</v>
      </c>
      <c r="CN166" s="196">
        <v>60</v>
      </c>
      <c r="CR166" s="319" t="s">
        <v>164</v>
      </c>
      <c r="CT166" s="126"/>
      <c r="CU166" s="126"/>
      <c r="CV166" s="126"/>
      <c r="CW166" s="126"/>
      <c r="CX166" s="126"/>
      <c r="CY166" s="126"/>
    </row>
    <row r="167" spans="59:103" hidden="1">
      <c r="BG167" s="187"/>
      <c r="BH167" s="43" t="s">
        <v>3003</v>
      </c>
      <c r="BI167" s="664" t="s">
        <v>2044</v>
      </c>
      <c r="BJ167" s="275" t="s">
        <v>2050</v>
      </c>
      <c r="BK167" s="865"/>
      <c r="BL167" s="277" t="s">
        <v>1378</v>
      </c>
      <c r="BM167" s="23"/>
      <c r="BN167" s="23" t="s">
        <v>3540</v>
      </c>
      <c r="BO167" s="23"/>
      <c r="BP167" s="23"/>
      <c r="BQ167" s="23"/>
      <c r="BR167" s="23"/>
      <c r="BS167" s="23"/>
      <c r="BT167" s="23"/>
      <c r="BV167" s="284" t="s">
        <v>2076</v>
      </c>
      <c r="BW167" s="285">
        <v>4164</v>
      </c>
      <c r="BX167" s="353">
        <v>10500000</v>
      </c>
      <c r="BY167" s="286">
        <v>3.0000000000000009E-2</v>
      </c>
      <c r="BZ167" s="286">
        <v>5.9999999999999984E-2</v>
      </c>
      <c r="CA167" s="286">
        <v>6.9999999999999993E-2</v>
      </c>
      <c r="CB167" s="23"/>
      <c r="CC167" s="23"/>
      <c r="CD167" s="23"/>
      <c r="CE167" s="23"/>
      <c r="CF167" s="23"/>
      <c r="CG167" s="23"/>
      <c r="CH167" s="54"/>
      <c r="CI167" s="354" t="s">
        <v>2076</v>
      </c>
      <c r="CJ167" s="283">
        <v>4164</v>
      </c>
      <c r="CK167" s="355">
        <v>10500000</v>
      </c>
      <c r="CL167" s="356">
        <v>5.9999999999999928E-2</v>
      </c>
      <c r="CM167" s="356">
        <v>7.0000000000000007E-2</v>
      </c>
      <c r="CN167" s="356">
        <v>0.08</v>
      </c>
      <c r="CR167" s="319"/>
      <c r="CT167" s="126"/>
      <c r="CU167" s="126"/>
      <c r="CV167" s="126"/>
      <c r="CW167" s="126"/>
      <c r="CX167" s="126"/>
      <c r="CY167" s="126"/>
    </row>
    <row r="168" spans="59:103" hidden="1">
      <c r="BG168" s="187"/>
      <c r="BH168" s="43">
        <v>6007</v>
      </c>
      <c r="BI168" s="828"/>
      <c r="BJ168" s="181" t="s">
        <v>2049</v>
      </c>
      <c r="BK168" s="865"/>
      <c r="BL168" s="277" t="s">
        <v>1379</v>
      </c>
      <c r="BM168" s="23"/>
      <c r="BN168" s="845"/>
      <c r="BO168" s="845"/>
      <c r="BP168" s="28"/>
      <c r="BQ168" s="23"/>
      <c r="BR168" s="23"/>
      <c r="BS168" s="23"/>
      <c r="BT168" s="23"/>
      <c r="BV168" s="287" t="s">
        <v>2077</v>
      </c>
      <c r="BW168" s="285">
        <v>4165</v>
      </c>
      <c r="BX168" s="353">
        <v>10200000</v>
      </c>
      <c r="BY168" s="286">
        <v>4.0000000000000022E-2</v>
      </c>
      <c r="BZ168" s="286">
        <v>5.9999999999999984E-2</v>
      </c>
      <c r="CA168" s="286">
        <v>6.9999999999999993E-2</v>
      </c>
      <c r="CB168" s="23"/>
      <c r="CC168" s="23"/>
      <c r="CD168" s="23"/>
      <c r="CE168" s="23"/>
      <c r="CF168" s="23"/>
      <c r="CG168" s="23"/>
      <c r="CH168" s="54"/>
      <c r="CI168" s="357" t="s">
        <v>2077</v>
      </c>
      <c r="CJ168" s="283">
        <v>4165</v>
      </c>
      <c r="CK168" s="355">
        <v>10200000</v>
      </c>
      <c r="CL168" s="356">
        <v>5.9999999999999928E-2</v>
      </c>
      <c r="CM168" s="356">
        <v>6.9999999999999993E-2</v>
      </c>
      <c r="CN168" s="356">
        <v>0.08</v>
      </c>
      <c r="CR168" s="319"/>
      <c r="CT168" s="126"/>
      <c r="CU168" s="126"/>
      <c r="CV168" s="126"/>
      <c r="CW168" s="126"/>
      <c r="CX168" s="126"/>
      <c r="CY168" s="126"/>
    </row>
    <row r="169" spans="59:103" hidden="1">
      <c r="BG169" s="187"/>
      <c r="BH169" s="23"/>
      <c r="BI169" s="828"/>
      <c r="BJ169" s="274" t="s">
        <v>2045</v>
      </c>
      <c r="BK169" s="865"/>
      <c r="BL169" s="277" t="s">
        <v>1380</v>
      </c>
      <c r="BM169" s="23"/>
      <c r="BN169" s="877"/>
      <c r="BO169" s="64"/>
      <c r="BP169" s="35"/>
      <c r="BQ169" s="23"/>
      <c r="BR169" s="23"/>
      <c r="BS169" s="23"/>
      <c r="BT169" s="23"/>
      <c r="BV169" s="284" t="s">
        <v>2078</v>
      </c>
      <c r="BW169" s="285">
        <v>4166</v>
      </c>
      <c r="BX169" s="353">
        <v>11000000</v>
      </c>
      <c r="BY169" s="286">
        <v>5.0000000000000031E-2</v>
      </c>
      <c r="BZ169" s="286">
        <v>5.9999999999999984E-2</v>
      </c>
      <c r="CA169" s="286">
        <v>6.9999999999999993E-2</v>
      </c>
      <c r="CB169" s="23"/>
      <c r="CC169" s="23"/>
      <c r="CD169" s="23"/>
      <c r="CE169" s="23"/>
      <c r="CF169" s="23"/>
      <c r="CG169" s="23"/>
      <c r="CH169" s="54"/>
      <c r="CI169" s="354" t="s">
        <v>2078</v>
      </c>
      <c r="CJ169" s="283">
        <v>4166</v>
      </c>
      <c r="CK169" s="355">
        <v>11000000</v>
      </c>
      <c r="CL169" s="356">
        <v>5.9999999999999928E-2</v>
      </c>
      <c r="CM169" s="356">
        <v>6.9999999999999993E-2</v>
      </c>
      <c r="CN169" s="356">
        <v>0.08</v>
      </c>
      <c r="CR169" s="319" t="s">
        <v>163</v>
      </c>
      <c r="CT169" s="126"/>
      <c r="CU169" s="126"/>
      <c r="CV169" s="126"/>
      <c r="CW169" s="126"/>
      <c r="CX169" s="126"/>
      <c r="CY169" s="126"/>
    </row>
    <row r="170" spans="59:103" ht="30.75" hidden="1" customHeight="1">
      <c r="BG170" s="187"/>
      <c r="BH170" s="23"/>
      <c r="BI170" s="828"/>
      <c r="BJ170" s="65" t="s">
        <v>2104</v>
      </c>
      <c r="BK170" s="865"/>
      <c r="BL170" s="43" t="s">
        <v>1381</v>
      </c>
      <c r="BM170" s="23"/>
      <c r="BN170" s="877"/>
      <c r="BO170" s="64"/>
      <c r="BP170" s="35"/>
      <c r="BQ170" s="23"/>
      <c r="BR170" s="23"/>
      <c r="BS170" s="23"/>
      <c r="BT170" s="23"/>
      <c r="BV170" s="287" t="s">
        <v>2079</v>
      </c>
      <c r="BW170" s="285">
        <v>3668</v>
      </c>
      <c r="BX170" s="353">
        <v>10500000</v>
      </c>
      <c r="BY170" s="286">
        <v>5.0000000000000031E-2</v>
      </c>
      <c r="BZ170" s="286">
        <v>6.0000000000000039E-2</v>
      </c>
      <c r="CA170" s="286">
        <v>6.9999999999999993E-2</v>
      </c>
      <c r="CB170" s="23"/>
      <c r="CC170" s="23"/>
      <c r="CD170" s="23"/>
      <c r="CE170" s="23"/>
      <c r="CF170" s="23"/>
      <c r="CG170" s="23"/>
      <c r="CH170" s="54"/>
      <c r="CI170" s="357" t="s">
        <v>2079</v>
      </c>
      <c r="CJ170" s="283">
        <v>3668</v>
      </c>
      <c r="CK170" s="355">
        <v>10500000</v>
      </c>
      <c r="CL170" s="356">
        <v>4.0000000000000022E-2</v>
      </c>
      <c r="CM170" s="356">
        <v>6.9999999999999993E-2</v>
      </c>
      <c r="CN170" s="356">
        <v>7.9999999999999946E-2</v>
      </c>
      <c r="CR170" s="319"/>
      <c r="CT170" s="126"/>
      <c r="CU170" s="126"/>
      <c r="CV170" s="126"/>
      <c r="CW170" s="126"/>
      <c r="CX170" s="126"/>
      <c r="CY170" s="126"/>
    </row>
    <row r="171" spans="59:103" ht="30.75" hidden="1" customHeight="1">
      <c r="BG171" s="187"/>
      <c r="BH171" s="23"/>
      <c r="BI171" s="665"/>
      <c r="BJ171" s="66" t="s">
        <v>2105</v>
      </c>
      <c r="BK171" s="865"/>
      <c r="BL171" s="43" t="s">
        <v>190</v>
      </c>
      <c r="BM171" s="23"/>
      <c r="BN171" s="877"/>
      <c r="BO171" s="2"/>
      <c r="BP171" s="35"/>
      <c r="BQ171" s="23"/>
      <c r="BR171" s="23"/>
      <c r="BS171" s="23"/>
      <c r="BT171" s="23"/>
      <c r="BV171" s="284" t="s">
        <v>2080</v>
      </c>
      <c r="BW171" s="285">
        <v>3669</v>
      </c>
      <c r="BX171" s="353">
        <v>12000000</v>
      </c>
      <c r="BY171" s="286">
        <v>5.0000000000000031E-2</v>
      </c>
      <c r="BZ171" s="286">
        <v>6.0000000000000039E-2</v>
      </c>
      <c r="CA171" s="286">
        <v>6.9999999999999993E-2</v>
      </c>
      <c r="CB171" s="23"/>
      <c r="CC171" s="23"/>
      <c r="CD171" s="23"/>
      <c r="CE171" s="23"/>
      <c r="CF171" s="23"/>
      <c r="CG171" s="23"/>
      <c r="CH171" s="54"/>
      <c r="CI171" s="354" t="s">
        <v>2080</v>
      </c>
      <c r="CJ171" s="283">
        <v>3669</v>
      </c>
      <c r="CK171" s="355">
        <v>12000000</v>
      </c>
      <c r="CL171" s="356">
        <v>4.0000000000000022E-2</v>
      </c>
      <c r="CM171" s="356">
        <v>6.9999999999999993E-2</v>
      </c>
      <c r="CN171" s="356">
        <v>7.9999999999999946E-2</v>
      </c>
      <c r="CR171" s="319"/>
      <c r="CT171" s="126"/>
      <c r="CU171" s="126"/>
      <c r="CV171" s="126"/>
      <c r="CW171" s="126"/>
      <c r="CX171" s="126"/>
      <c r="CY171" s="126"/>
    </row>
    <row r="172" spans="59:103" ht="30.75" hidden="1" customHeight="1">
      <c r="BG172" s="187"/>
      <c r="BH172" s="23"/>
      <c r="BI172" s="273" t="s">
        <v>1956</v>
      </c>
      <c r="BJ172" s="274" t="s">
        <v>2046</v>
      </c>
      <c r="BK172" s="865"/>
      <c r="BL172" s="43" t="s">
        <v>1382</v>
      </c>
      <c r="BM172" s="23"/>
      <c r="BN172" s="64"/>
      <c r="BO172" s="290"/>
      <c r="BP172" s="35"/>
      <c r="BQ172" s="23"/>
      <c r="BR172" s="23"/>
      <c r="BS172" s="23"/>
      <c r="BT172" s="23"/>
      <c r="BV172" s="287" t="s">
        <v>2081</v>
      </c>
      <c r="BW172" s="285">
        <v>4444</v>
      </c>
      <c r="BX172" s="353"/>
      <c r="BY172" s="286">
        <v>0.04</v>
      </c>
      <c r="BZ172" s="286">
        <v>0.05</v>
      </c>
      <c r="CA172" s="286">
        <v>0.06</v>
      </c>
      <c r="CB172" s="23"/>
      <c r="CC172" s="23"/>
      <c r="CD172" s="23"/>
      <c r="CE172" s="23"/>
      <c r="CF172" s="23"/>
      <c r="CG172" s="23"/>
      <c r="CH172" s="54"/>
      <c r="CI172" s="357" t="s">
        <v>2081</v>
      </c>
      <c r="CJ172" s="283">
        <v>4444</v>
      </c>
      <c r="CK172" s="355"/>
      <c r="CL172" s="356">
        <v>0.04</v>
      </c>
      <c r="CM172" s="356">
        <v>0.05</v>
      </c>
      <c r="CN172" s="356">
        <v>0.06</v>
      </c>
      <c r="CR172" s="319"/>
      <c r="CT172" s="126"/>
      <c r="CU172" s="126"/>
      <c r="CV172" s="126"/>
      <c r="CW172" s="126"/>
      <c r="CX172" s="824" t="s">
        <v>2891</v>
      </c>
      <c r="CY172" s="824"/>
    </row>
    <row r="173" spans="59:103" hidden="1">
      <c r="BG173" s="187"/>
      <c r="BH173" s="23"/>
      <c r="BI173" s="664" t="s">
        <v>2034</v>
      </c>
      <c r="BJ173" s="274" t="s">
        <v>2047</v>
      </c>
      <c r="BK173" s="865"/>
      <c r="BL173" s="43" t="s">
        <v>1383</v>
      </c>
      <c r="BM173" s="23"/>
      <c r="BN173" s="877"/>
      <c r="BO173" s="2"/>
      <c r="BP173" s="35"/>
      <c r="BQ173" s="23"/>
      <c r="BR173" s="23"/>
      <c r="BS173" s="23"/>
      <c r="BT173" s="23"/>
      <c r="BV173" s="287" t="s">
        <v>2082</v>
      </c>
      <c r="BW173" s="285">
        <v>4623</v>
      </c>
      <c r="BX173" s="353"/>
      <c r="BY173" s="286">
        <v>0.04</v>
      </c>
      <c r="BZ173" s="286">
        <v>0.05</v>
      </c>
      <c r="CA173" s="286">
        <v>0.06</v>
      </c>
      <c r="CB173" s="23"/>
      <c r="CC173" s="23"/>
      <c r="CD173" s="23"/>
      <c r="CE173" s="23"/>
      <c r="CF173" s="23"/>
      <c r="CG173" s="23"/>
      <c r="CH173" s="54"/>
      <c r="CI173" s="357" t="s">
        <v>2082</v>
      </c>
      <c r="CJ173" s="283">
        <v>4623</v>
      </c>
      <c r="CK173" s="355"/>
      <c r="CL173" s="356">
        <v>0.04</v>
      </c>
      <c r="CM173" s="356">
        <v>0.05</v>
      </c>
      <c r="CN173" s="356">
        <v>0.06</v>
      </c>
      <c r="CR173" s="319" t="s">
        <v>162</v>
      </c>
      <c r="CT173" s="126"/>
      <c r="CU173" s="126"/>
      <c r="CV173" s="126"/>
      <c r="CW173" s="126"/>
      <c r="CX173" s="255" t="s">
        <v>58</v>
      </c>
      <c r="CY173" s="255" t="s">
        <v>2008</v>
      </c>
    </row>
    <row r="174" spans="59:103" hidden="1">
      <c r="BG174" s="187"/>
      <c r="BH174" s="23"/>
      <c r="BI174" s="665"/>
      <c r="BJ174" s="274" t="s">
        <v>2048</v>
      </c>
      <c r="BK174" s="865"/>
      <c r="BL174" s="181" t="s">
        <v>2009</v>
      </c>
      <c r="BM174" s="23"/>
      <c r="BN174" s="877"/>
      <c r="BO174" s="2"/>
      <c r="BP174" s="35"/>
      <c r="BQ174" s="23"/>
      <c r="BR174" s="23"/>
      <c r="BS174" s="23"/>
      <c r="BT174" s="23"/>
      <c r="BV174" s="287" t="s">
        <v>2083</v>
      </c>
      <c r="BW174" s="285">
        <v>4445</v>
      </c>
      <c r="BX174" s="353"/>
      <c r="BY174" s="286">
        <v>0.04</v>
      </c>
      <c r="BZ174" s="286">
        <v>0.05</v>
      </c>
      <c r="CA174" s="286">
        <v>0.06</v>
      </c>
      <c r="CB174" s="23"/>
      <c r="CC174" s="23"/>
      <c r="CD174" s="23"/>
      <c r="CE174" s="23"/>
      <c r="CF174" s="23"/>
      <c r="CG174" s="23"/>
      <c r="CH174" s="54"/>
      <c r="CI174" s="357" t="s">
        <v>2083</v>
      </c>
      <c r="CJ174" s="283">
        <v>4445</v>
      </c>
      <c r="CK174" s="355"/>
      <c r="CL174" s="356">
        <v>0.04</v>
      </c>
      <c r="CM174" s="356">
        <v>0.05</v>
      </c>
      <c r="CN174" s="356">
        <v>0.06</v>
      </c>
      <c r="CT174" s="126"/>
      <c r="CU174" s="126"/>
      <c r="CV174" s="126"/>
      <c r="CW174" s="126"/>
      <c r="CX174" s="855" t="s">
        <v>2794</v>
      </c>
      <c r="CY174" s="855" t="s">
        <v>2892</v>
      </c>
    </row>
    <row r="175" spans="59:103" hidden="1">
      <c r="BG175" s="187"/>
      <c r="BH175" s="23"/>
      <c r="BI175" s="642" t="s">
        <v>3005</v>
      </c>
      <c r="BJ175" s="195" t="s">
        <v>2053</v>
      </c>
      <c r="BK175" s="865"/>
      <c r="BL175" s="181" t="s">
        <v>2010</v>
      </c>
      <c r="BM175" s="23"/>
      <c r="BN175" s="877"/>
      <c r="BO175" s="291"/>
      <c r="BP175" s="28"/>
      <c r="BQ175" s="23"/>
      <c r="BR175" s="23"/>
      <c r="BS175" s="23"/>
      <c r="BT175" s="23"/>
      <c r="BV175" s="287" t="s">
        <v>2084</v>
      </c>
      <c r="BW175" s="285">
        <v>4173</v>
      </c>
      <c r="BX175" s="353"/>
      <c r="BY175" s="286">
        <v>0.04</v>
      </c>
      <c r="BZ175" s="286">
        <v>0.05</v>
      </c>
      <c r="CA175" s="286">
        <v>0.06</v>
      </c>
      <c r="CB175" s="23"/>
      <c r="CC175" s="23"/>
      <c r="CD175" s="23"/>
      <c r="CE175" s="23"/>
      <c r="CF175" s="23"/>
      <c r="CG175" s="23"/>
      <c r="CH175" s="54"/>
      <c r="CI175" s="357" t="s">
        <v>2084</v>
      </c>
      <c r="CJ175" s="283">
        <v>4173</v>
      </c>
      <c r="CK175" s="355"/>
      <c r="CL175" s="356">
        <v>0.04</v>
      </c>
      <c r="CM175" s="356">
        <v>0.05</v>
      </c>
      <c r="CN175" s="356">
        <v>0.06</v>
      </c>
      <c r="CT175" s="126"/>
      <c r="CU175" s="126"/>
      <c r="CV175" s="126"/>
      <c r="CW175" s="126"/>
      <c r="CX175" s="855"/>
      <c r="CY175" s="855"/>
    </row>
    <row r="176" spans="59:103" ht="22.5" hidden="1" customHeight="1">
      <c r="BG176" s="187"/>
      <c r="BH176" s="23"/>
      <c r="BI176" s="642"/>
      <c r="BJ176" s="276" t="s">
        <v>2051</v>
      </c>
      <c r="BK176" s="865"/>
      <c r="BL176" s="43" t="s">
        <v>1384</v>
      </c>
      <c r="BM176" s="23"/>
      <c r="BN176" s="877"/>
      <c r="BO176" s="291"/>
      <c r="BP176" s="28"/>
      <c r="BQ176" s="23"/>
      <c r="BR176" s="23"/>
      <c r="BS176" s="23"/>
      <c r="BT176" s="23"/>
      <c r="BU176" s="54"/>
      <c r="BV176" s="287"/>
      <c r="BW176" s="285"/>
      <c r="BX176" s="353"/>
      <c r="BY176" s="286"/>
      <c r="BZ176" s="286"/>
      <c r="CA176" s="286"/>
      <c r="CB176" s="23"/>
      <c r="CC176" s="23"/>
      <c r="CD176" s="23"/>
      <c r="CE176" s="23"/>
      <c r="CF176" s="23"/>
      <c r="CG176" s="23"/>
      <c r="CH176" s="54"/>
      <c r="CI176" s="357"/>
      <c r="CJ176" s="283"/>
      <c r="CK176" s="355"/>
      <c r="CL176" s="356"/>
      <c r="CM176" s="356"/>
      <c r="CN176" s="356"/>
      <c r="CT176" s="126"/>
      <c r="CU176" s="126"/>
      <c r="CV176" s="126"/>
      <c r="CW176" s="126"/>
      <c r="CX176" s="855" t="s">
        <v>116</v>
      </c>
      <c r="CY176" s="256" t="s">
        <v>2893</v>
      </c>
    </row>
    <row r="177" spans="55:112" ht="22.5" hidden="1" customHeight="1">
      <c r="BG177" s="187"/>
      <c r="BH177" s="23"/>
      <c r="BI177" s="642"/>
      <c r="BJ177" s="43" t="s">
        <v>1340</v>
      </c>
      <c r="BK177" s="865"/>
      <c r="BL177" s="43" t="s">
        <v>1385</v>
      </c>
      <c r="BM177" s="23"/>
      <c r="BN177" s="877"/>
      <c r="BO177" s="291"/>
      <c r="BP177" s="28"/>
      <c r="BQ177" s="23"/>
      <c r="BR177" s="23"/>
      <c r="BS177" s="23"/>
      <c r="BT177" s="23"/>
      <c r="BU177" s="54"/>
      <c r="BV177" s="287"/>
      <c r="BW177" s="285"/>
      <c r="BX177" s="353"/>
      <c r="BY177" s="286"/>
      <c r="BZ177" s="286"/>
      <c r="CA177" s="286"/>
      <c r="CB177" s="23"/>
      <c r="CC177" s="23"/>
      <c r="CD177" s="23"/>
      <c r="CE177" s="23"/>
      <c r="CF177" s="23"/>
      <c r="CG177" s="23"/>
      <c r="CH177" s="54"/>
      <c r="CI177" s="357"/>
      <c r="CJ177" s="283"/>
      <c r="CK177" s="355"/>
      <c r="CL177" s="356"/>
      <c r="CM177" s="356"/>
      <c r="CN177" s="356"/>
      <c r="CT177" s="126"/>
      <c r="CU177" s="126"/>
      <c r="CV177" s="126"/>
      <c r="CW177" s="126"/>
      <c r="CX177" s="855"/>
      <c r="CY177" s="256" t="s">
        <v>2894</v>
      </c>
    </row>
    <row r="178" spans="55:112" ht="22.5" hidden="1" customHeight="1">
      <c r="BC178" s="70" t="str">
        <f>IF(BI176=BI174,TEXT(BC176,"0000"),TEXT(BC176+1,"0000"))</f>
        <v>0000</v>
      </c>
      <c r="BG178" s="187"/>
      <c r="BH178" s="23"/>
      <c r="BI178" s="642" t="s">
        <v>3006</v>
      </c>
      <c r="BJ178" s="277" t="s">
        <v>1968</v>
      </c>
      <c r="BK178" s="865"/>
      <c r="BL178" s="181" t="s">
        <v>1386</v>
      </c>
      <c r="BM178" s="23"/>
      <c r="BN178" s="23"/>
      <c r="BO178" s="23"/>
      <c r="BP178" s="23"/>
      <c r="BQ178" s="23"/>
      <c r="BR178" s="23"/>
      <c r="BS178" s="23"/>
      <c r="BT178" s="23"/>
      <c r="BU178" s="54"/>
      <c r="BV178" s="287" t="s">
        <v>2085</v>
      </c>
      <c r="BW178" s="285">
        <v>4696</v>
      </c>
      <c r="BX178" s="353"/>
      <c r="BY178" s="286">
        <v>0.02</v>
      </c>
      <c r="BZ178" s="286">
        <v>0.03</v>
      </c>
      <c r="CA178" s="286">
        <v>0.04</v>
      </c>
      <c r="CB178" s="23"/>
      <c r="CC178" s="23"/>
      <c r="CD178" s="23"/>
      <c r="CE178" s="23"/>
      <c r="CF178" s="23"/>
      <c r="CG178" s="23"/>
      <c r="CH178" s="54"/>
      <c r="CI178" s="357" t="s">
        <v>2085</v>
      </c>
      <c r="CJ178" s="283">
        <v>4696</v>
      </c>
      <c r="CK178" s="355"/>
      <c r="CL178" s="356">
        <v>0.02</v>
      </c>
      <c r="CM178" s="356">
        <v>0.03</v>
      </c>
      <c r="CN178" s="356">
        <v>0.04</v>
      </c>
      <c r="CT178" s="126"/>
      <c r="CU178" s="126"/>
      <c r="CV178" s="126"/>
      <c r="CW178" s="126"/>
      <c r="CX178" s="855" t="s">
        <v>2822</v>
      </c>
      <c r="CY178" s="256" t="s">
        <v>2895</v>
      </c>
    </row>
    <row r="179" spans="55:112" ht="22.5" hidden="1" customHeight="1">
      <c r="BC179" s="70" t="str">
        <f>IF(BI177=BI176,TEXT(BC178,"0000"),TEXT(BC178+1,"0000"))</f>
        <v>0000</v>
      </c>
      <c r="BG179" s="187"/>
      <c r="BH179" s="23"/>
      <c r="BI179" s="642"/>
      <c r="BJ179" s="277" t="s">
        <v>1970</v>
      </c>
      <c r="BK179" s="865"/>
      <c r="BL179" s="181" t="s">
        <v>1387</v>
      </c>
      <c r="BM179" s="23"/>
      <c r="BN179" s="23"/>
      <c r="BO179" s="23"/>
      <c r="BP179" s="23"/>
      <c r="BQ179" s="23"/>
      <c r="BR179" s="23"/>
      <c r="BS179" s="23"/>
      <c r="BT179" s="23"/>
      <c r="BU179" s="54"/>
      <c r="BV179" s="287" t="s">
        <v>2086</v>
      </c>
      <c r="BW179" s="285">
        <v>4697</v>
      </c>
      <c r="BX179" s="353"/>
      <c r="BY179" s="286">
        <v>0.02</v>
      </c>
      <c r="BZ179" s="286">
        <v>0.03</v>
      </c>
      <c r="CA179" s="286">
        <v>0.04</v>
      </c>
      <c r="CB179" s="23"/>
      <c r="CC179" s="23"/>
      <c r="CD179" s="23"/>
      <c r="CE179" s="23"/>
      <c r="CF179" s="23"/>
      <c r="CG179" s="23"/>
      <c r="CH179" s="54"/>
      <c r="CI179" s="357" t="s">
        <v>2086</v>
      </c>
      <c r="CJ179" s="283">
        <v>4697</v>
      </c>
      <c r="CK179" s="355"/>
      <c r="CL179" s="356">
        <v>0.02</v>
      </c>
      <c r="CM179" s="356">
        <v>0.03</v>
      </c>
      <c r="CN179" s="356">
        <v>0.04</v>
      </c>
      <c r="CT179" s="126"/>
      <c r="CU179" s="126"/>
      <c r="CV179" s="126"/>
      <c r="CW179" s="126"/>
      <c r="CX179" s="855"/>
      <c r="CY179" s="256" t="s">
        <v>2896</v>
      </c>
    </row>
    <row r="180" spans="55:112" hidden="1">
      <c r="BC180" s="70" t="str">
        <f>IF(BI178=BI176,TEXT(BC178,"0000"),TEXT(BC178+1,"0000"))</f>
        <v>0001</v>
      </c>
      <c r="BG180" s="187"/>
      <c r="BH180" s="23"/>
      <c r="BI180" s="273" t="s">
        <v>3007</v>
      </c>
      <c r="BJ180" s="65" t="s">
        <v>2062</v>
      </c>
      <c r="BK180" s="865"/>
      <c r="BL180" s="181" t="s">
        <v>1388</v>
      </c>
      <c r="BM180" s="289"/>
      <c r="BN180" s="289"/>
      <c r="BO180" s="289"/>
      <c r="BP180" s="289"/>
      <c r="BQ180" s="289"/>
      <c r="BR180" s="289"/>
      <c r="BS180" s="289"/>
      <c r="BT180" s="289"/>
      <c r="BU180" s="289"/>
      <c r="BV180" s="287" t="s">
        <v>2087</v>
      </c>
      <c r="BW180" s="285">
        <v>3802</v>
      </c>
      <c r="BX180" s="353"/>
      <c r="BY180" s="286">
        <v>0.02</v>
      </c>
      <c r="BZ180" s="286">
        <v>0.03</v>
      </c>
      <c r="CA180" s="286">
        <v>0.04</v>
      </c>
      <c r="CB180" s="23"/>
      <c r="CC180" s="23"/>
      <c r="CD180" s="23"/>
      <c r="CE180" s="23"/>
      <c r="CF180" s="23"/>
      <c r="CG180" s="23"/>
      <c r="CH180" s="54"/>
      <c r="CI180" s="357" t="s">
        <v>2087</v>
      </c>
      <c r="CJ180" s="283">
        <v>3802</v>
      </c>
      <c r="CK180" s="355"/>
      <c r="CL180" s="356">
        <v>0.02</v>
      </c>
      <c r="CM180" s="356">
        <v>0.03</v>
      </c>
      <c r="CN180" s="356">
        <v>0.04</v>
      </c>
      <c r="CT180" s="126"/>
      <c r="CU180" s="126"/>
      <c r="CV180" s="126"/>
      <c r="CW180" s="126"/>
      <c r="CX180" s="855" t="s">
        <v>135</v>
      </c>
      <c r="CY180" s="855" t="s">
        <v>2897</v>
      </c>
    </row>
    <row r="181" spans="55:112" hidden="1">
      <c r="BC181" s="70" t="str">
        <f>IF(BI179=BI178,TEXT(BC180,"0000"),TEXT(BC180+1,"0000"))</f>
        <v>0002</v>
      </c>
      <c r="BG181" s="187"/>
      <c r="BH181" s="23"/>
      <c r="BI181" s="273" t="s">
        <v>3008</v>
      </c>
      <c r="BJ181" s="293" t="s">
        <v>2842</v>
      </c>
      <c r="BK181" s="865"/>
      <c r="BL181" s="181" t="s">
        <v>2041</v>
      </c>
      <c r="BM181" s="23"/>
      <c r="BN181" s="23"/>
      <c r="BO181" s="23"/>
      <c r="BP181" s="23"/>
      <c r="BQ181" s="23"/>
      <c r="BR181" s="23"/>
      <c r="BS181" s="23"/>
      <c r="BT181" s="23"/>
      <c r="BU181" s="54"/>
      <c r="BV181" s="287" t="s">
        <v>2088</v>
      </c>
      <c r="BW181" s="285">
        <v>4174</v>
      </c>
      <c r="BX181" s="353"/>
      <c r="BY181" s="286">
        <v>0.02</v>
      </c>
      <c r="BZ181" s="286">
        <v>0.03</v>
      </c>
      <c r="CA181" s="286">
        <v>0.04</v>
      </c>
      <c r="CB181" s="23"/>
      <c r="CC181" s="23"/>
      <c r="CD181" s="23"/>
      <c r="CE181" s="23"/>
      <c r="CF181" s="23"/>
      <c r="CG181" s="23"/>
      <c r="CH181" s="54"/>
      <c r="CI181" s="357" t="s">
        <v>2088</v>
      </c>
      <c r="CJ181" s="283">
        <v>4174</v>
      </c>
      <c r="CK181" s="355"/>
      <c r="CL181" s="356">
        <v>0.02</v>
      </c>
      <c r="CM181" s="356">
        <v>0.03</v>
      </c>
      <c r="CN181" s="356">
        <v>0.04</v>
      </c>
      <c r="CT181" s="126"/>
      <c r="CU181" s="126"/>
      <c r="CV181" s="126"/>
      <c r="CW181" s="126"/>
      <c r="CX181" s="855"/>
      <c r="CY181" s="855"/>
    </row>
    <row r="182" spans="55:112" hidden="1">
      <c r="BC182" s="70" t="str">
        <f>IF(BI180=BI178,TEXT(BC180,"0000"),TEXT(BC180+1,"0000"))</f>
        <v>0002</v>
      </c>
      <c r="BG182" s="187"/>
      <c r="BH182" s="23"/>
      <c r="BI182" s="273" t="s">
        <v>1966</v>
      </c>
      <c r="BJ182" s="278" t="s">
        <v>2843</v>
      </c>
      <c r="BK182" s="865"/>
      <c r="BL182" s="181" t="s">
        <v>2072</v>
      </c>
      <c r="BM182" s="23"/>
      <c r="BN182" s="23"/>
      <c r="BO182" s="23"/>
      <c r="BP182" s="23"/>
      <c r="BQ182" s="23"/>
      <c r="BR182" s="23"/>
      <c r="BS182" s="23"/>
      <c r="BT182" s="23"/>
      <c r="BU182" s="54"/>
      <c r="BV182" s="286" t="s">
        <v>2058</v>
      </c>
      <c r="BW182" s="288">
        <v>4238</v>
      </c>
      <c r="BX182" s="358">
        <v>3500000</v>
      </c>
      <c r="BY182" s="286">
        <v>0.03</v>
      </c>
      <c r="BZ182" s="286">
        <v>0.05</v>
      </c>
      <c r="CA182" s="359">
        <v>0.06</v>
      </c>
      <c r="CB182" s="23"/>
      <c r="CC182" s="23"/>
      <c r="CD182" s="23"/>
      <c r="CE182" s="54"/>
      <c r="CF182" s="54"/>
      <c r="CG182" s="54"/>
      <c r="CH182" s="126"/>
      <c r="CI182" s="356" t="s">
        <v>2058</v>
      </c>
      <c r="CJ182" s="288">
        <v>4238</v>
      </c>
      <c r="CK182" s="360">
        <v>3500000</v>
      </c>
      <c r="CL182" s="361">
        <v>0.06</v>
      </c>
      <c r="CM182" s="361">
        <v>0.08</v>
      </c>
      <c r="CN182" s="361">
        <v>0.09</v>
      </c>
      <c r="CT182" s="126"/>
      <c r="CU182" s="126"/>
      <c r="CV182" s="126"/>
      <c r="CW182" s="126"/>
    </row>
    <row r="183" spans="55:112" hidden="1">
      <c r="BC183" s="70" t="str">
        <f>IF(BI181=BI180,TEXT(BC182,"0000"),TEXT(BC182+1,"0000"))</f>
        <v>0003</v>
      </c>
      <c r="BG183" s="187"/>
      <c r="BH183" s="23"/>
      <c r="BI183" s="273" t="s">
        <v>1966</v>
      </c>
      <c r="BJ183" s="278" t="s">
        <v>2844</v>
      </c>
      <c r="BK183" s="866"/>
      <c r="BL183" s="43" t="s">
        <v>2058</v>
      </c>
      <c r="BM183" s="23"/>
      <c r="BN183" s="23"/>
      <c r="BO183" s="23"/>
      <c r="BP183" s="23"/>
      <c r="BQ183" s="23"/>
      <c r="BR183" s="23"/>
      <c r="BS183" s="23"/>
      <c r="BT183" s="23"/>
      <c r="BU183" s="54"/>
      <c r="BV183" s="286" t="s">
        <v>2059</v>
      </c>
      <c r="BW183" s="288">
        <v>4237</v>
      </c>
      <c r="BX183" s="358">
        <v>3500000</v>
      </c>
      <c r="BY183" s="286">
        <v>0.03</v>
      </c>
      <c r="BZ183" s="286">
        <v>0.05</v>
      </c>
      <c r="CA183" s="359">
        <v>0.06</v>
      </c>
      <c r="CB183" s="23"/>
      <c r="CC183" s="23"/>
      <c r="CD183" s="23"/>
      <c r="CE183" s="54"/>
      <c r="CF183" s="54"/>
      <c r="CG183" s="54"/>
      <c r="CH183" s="126"/>
      <c r="CI183" s="356" t="s">
        <v>2059</v>
      </c>
      <c r="CJ183" s="288">
        <v>4237</v>
      </c>
      <c r="CK183" s="360">
        <v>3500000</v>
      </c>
      <c r="CL183" s="361">
        <v>0.06</v>
      </c>
      <c r="CM183" s="361">
        <v>0.08</v>
      </c>
      <c r="CN183" s="361">
        <v>0.09</v>
      </c>
      <c r="CT183" s="126"/>
      <c r="CU183" s="126"/>
      <c r="CV183" s="126"/>
      <c r="CW183" s="126"/>
    </row>
    <row r="184" spans="55:112" hidden="1">
      <c r="BG184" s="187"/>
      <c r="BH184" s="23"/>
      <c r="BI184" s="273" t="s">
        <v>3009</v>
      </c>
      <c r="BJ184" s="293" t="s">
        <v>2781</v>
      </c>
      <c r="BK184" s="864" t="s">
        <v>1417</v>
      </c>
      <c r="BL184" s="43" t="s">
        <v>2059</v>
      </c>
      <c r="BM184" s="23"/>
      <c r="BN184" s="23"/>
      <c r="BO184" s="23"/>
      <c r="BP184" s="23"/>
      <c r="BQ184" s="23"/>
      <c r="BR184" s="23"/>
      <c r="BS184" s="23"/>
      <c r="BT184" s="23"/>
      <c r="BU184" s="54"/>
      <c r="BV184" s="286" t="s">
        <v>2060</v>
      </c>
      <c r="BW184" s="288">
        <v>4875</v>
      </c>
      <c r="BX184" s="358">
        <v>3500000</v>
      </c>
      <c r="BY184" s="286">
        <v>0.03</v>
      </c>
      <c r="BZ184" s="286">
        <v>0.05</v>
      </c>
      <c r="CA184" s="359">
        <v>0.06</v>
      </c>
      <c r="CB184" s="23"/>
      <c r="CC184" s="23"/>
      <c r="CD184" s="23"/>
      <c r="CE184" s="54"/>
      <c r="CF184" s="54"/>
      <c r="CG184" s="54"/>
      <c r="CH184" s="126"/>
      <c r="CI184" s="356" t="s">
        <v>2060</v>
      </c>
      <c r="CJ184" s="288">
        <v>4875</v>
      </c>
      <c r="CK184" s="360">
        <v>3500000</v>
      </c>
      <c r="CL184" s="361">
        <v>0.06</v>
      </c>
      <c r="CM184" s="361">
        <v>0.08</v>
      </c>
      <c r="CN184" s="361">
        <v>0.09</v>
      </c>
      <c r="CT184" s="126"/>
      <c r="CU184" s="126"/>
      <c r="CV184" s="126"/>
      <c r="CW184" s="126"/>
    </row>
    <row r="185" spans="55:112" hidden="1">
      <c r="BG185" s="187"/>
      <c r="BH185" s="23"/>
      <c r="BI185" s="273" t="s">
        <v>1956</v>
      </c>
      <c r="BJ185" s="278" t="s">
        <v>2845</v>
      </c>
      <c r="BK185" s="866"/>
      <c r="BL185" s="43" t="s">
        <v>2060</v>
      </c>
      <c r="BM185" s="23"/>
      <c r="BN185" s="23"/>
      <c r="BO185" s="23"/>
      <c r="BP185" s="23"/>
      <c r="BQ185" s="23"/>
      <c r="BR185" s="23"/>
      <c r="BS185" s="23"/>
      <c r="BT185" s="23"/>
      <c r="BU185" s="54"/>
      <c r="BV185" s="278" t="s">
        <v>1931</v>
      </c>
      <c r="BW185" s="288">
        <v>562</v>
      </c>
      <c r="BX185" s="362">
        <v>0</v>
      </c>
      <c r="BY185" s="286">
        <v>0.08</v>
      </c>
      <c r="BZ185" s="286">
        <v>0.1</v>
      </c>
      <c r="CA185" s="359">
        <v>0.11</v>
      </c>
      <c r="CB185" s="23"/>
      <c r="CC185" s="23"/>
      <c r="CD185" s="23"/>
      <c r="CE185" s="54"/>
      <c r="CF185" s="54"/>
      <c r="CG185" s="54"/>
      <c r="CH185" s="126"/>
      <c r="CI185" s="363" t="s">
        <v>1931</v>
      </c>
      <c r="CJ185" s="288">
        <v>562</v>
      </c>
      <c r="CK185" s="360">
        <v>0</v>
      </c>
      <c r="CL185" s="361">
        <v>0.1</v>
      </c>
      <c r="CM185" s="361">
        <v>0.12</v>
      </c>
      <c r="CN185" s="361">
        <v>0.13</v>
      </c>
      <c r="CT185" s="126"/>
      <c r="CU185" s="126"/>
      <c r="CV185" s="126"/>
      <c r="CW185" s="129" t="s">
        <v>3542</v>
      </c>
      <c r="DC185" s="129" t="s">
        <v>3542</v>
      </c>
    </row>
    <row r="186" spans="55:112" hidden="1">
      <c r="BG186" s="187"/>
      <c r="BH186" s="23"/>
      <c r="BI186" s="23"/>
      <c r="BJ186" s="23"/>
      <c r="BK186" s="664" t="s">
        <v>2103</v>
      </c>
      <c r="BL186" s="43" t="s">
        <v>1341</v>
      </c>
      <c r="BM186" s="23"/>
      <c r="BN186" s="23"/>
      <c r="BO186" s="23"/>
      <c r="BP186" s="23"/>
      <c r="BQ186" s="23"/>
      <c r="BR186" s="23"/>
      <c r="BS186" s="23"/>
      <c r="BT186" s="23"/>
      <c r="BU186" s="54"/>
      <c r="BV186" s="278" t="s">
        <v>1932</v>
      </c>
      <c r="BW186" s="288">
        <v>564</v>
      </c>
      <c r="BX186" s="362">
        <v>0</v>
      </c>
      <c r="BY186" s="286">
        <v>0.08</v>
      </c>
      <c r="BZ186" s="286">
        <v>0.1</v>
      </c>
      <c r="CA186" s="359">
        <v>0.11</v>
      </c>
      <c r="CB186" s="23"/>
      <c r="CC186" s="23"/>
      <c r="CD186" s="23"/>
      <c r="CE186" s="54"/>
      <c r="CF186" s="54"/>
      <c r="CG186" s="54"/>
      <c r="CH186" s="126"/>
      <c r="CI186" s="363" t="s">
        <v>1932</v>
      </c>
      <c r="CJ186" s="288">
        <v>564</v>
      </c>
      <c r="CK186" s="360">
        <v>0</v>
      </c>
      <c r="CL186" s="361">
        <v>0.1</v>
      </c>
      <c r="CM186" s="361">
        <v>0.12</v>
      </c>
      <c r="CN186" s="361">
        <v>0.13</v>
      </c>
      <c r="CT186" s="126"/>
      <c r="CU186" s="126"/>
      <c r="CV186" s="126"/>
      <c r="CW186" s="126"/>
      <c r="CY186" s="233" t="s">
        <v>2823</v>
      </c>
      <c r="CZ186" s="233" t="s">
        <v>2824</v>
      </c>
      <c r="DA186" s="234" t="s">
        <v>2825</v>
      </c>
      <c r="DC186" s="70" t="s">
        <v>2839</v>
      </c>
      <c r="DD186" s="70" t="s">
        <v>2840</v>
      </c>
    </row>
    <row r="187" spans="55:112" ht="17.25" hidden="1" thickBot="1">
      <c r="BG187" s="187"/>
      <c r="BH187" s="23"/>
      <c r="BI187" s="23"/>
      <c r="BJ187" s="23"/>
      <c r="BK187" s="828"/>
      <c r="BL187" s="43" t="s">
        <v>2026</v>
      </c>
      <c r="BM187" s="23"/>
      <c r="BN187" s="23"/>
      <c r="BO187" s="23"/>
      <c r="BP187" s="23"/>
      <c r="BQ187" s="23"/>
      <c r="BR187" s="23"/>
      <c r="BS187" s="217"/>
      <c r="BT187" s="217"/>
      <c r="BU187" s="217"/>
      <c r="BV187" s="835" t="s">
        <v>2792</v>
      </c>
      <c r="BW187" s="836"/>
      <c r="BX187" s="836"/>
      <c r="BY187" s="836"/>
      <c r="BZ187" s="836"/>
      <c r="CA187" s="837"/>
      <c r="CB187" s="346"/>
      <c r="CC187" s="346"/>
      <c r="CD187" s="346"/>
      <c r="CE187" s="346"/>
      <c r="CF187" s="346"/>
      <c r="CG187" s="346"/>
      <c r="CH187" s="347"/>
      <c r="CI187" s="835" t="s">
        <v>2792</v>
      </c>
      <c r="CJ187" s="836"/>
      <c r="CK187" s="836"/>
      <c r="CL187" s="836"/>
      <c r="CM187" s="836"/>
      <c r="CN187" s="837"/>
      <c r="CT187" s="126"/>
      <c r="CU187" s="126"/>
      <c r="CV187" s="126"/>
      <c r="CW187" s="126"/>
      <c r="CY187" s="519" t="b">
        <v>0</v>
      </c>
      <c r="CZ187" s="375">
        <f>COUNTIF(CW189:CW210,BT7)</f>
        <v>0</v>
      </c>
      <c r="DA187" s="375">
        <f>IF(AY12&gt;=(H7+T7)*9%,1,0)</f>
        <v>0</v>
      </c>
      <c r="DC187" s="70">
        <f>COUNTIF(DC189:DC194,BT7)</f>
        <v>1</v>
      </c>
      <c r="DD187" s="70">
        <f>IF(AY12&gt;=(H7+T7)*9%,1,0)</f>
        <v>0</v>
      </c>
    </row>
    <row r="188" spans="55:112" ht="17.25" hidden="1" thickBot="1">
      <c r="BH188" s="23"/>
      <c r="BI188" s="23"/>
      <c r="BJ188" s="23"/>
      <c r="BK188" s="828"/>
      <c r="BL188" s="43" t="s">
        <v>2027</v>
      </c>
      <c r="BM188" s="23"/>
      <c r="BN188" s="23"/>
      <c r="BO188" s="23"/>
      <c r="BP188" s="23"/>
      <c r="BQ188" s="23"/>
      <c r="BR188" s="23"/>
      <c r="BS188" s="217"/>
      <c r="BT188" s="217"/>
      <c r="BU188" s="217"/>
      <c r="BV188" s="196">
        <f>IF(AND(BZ188="true",BO11=2),VLOOKUP(BT7,$BW$189:$CA$294,IF(BG27=2,3,IF(BG27=3,4,IF(BG27=4,5,0))),0),0)</f>
        <v>6.9999999999999951E-2</v>
      </c>
      <c r="BW188" s="196">
        <f>IFERROR(BV188,0)</f>
        <v>6.9999999999999951E-2</v>
      </c>
      <c r="BX188" s="196"/>
      <c r="BY188" s="350">
        <f>VLOOKUP(BT7,$BW$189:$BX$294,2,FALSE)</f>
        <v>0</v>
      </c>
      <c r="BZ188" s="43" t="str">
        <f>IF(BY188&lt;=AY12,"true","false")</f>
        <v>true</v>
      </c>
      <c r="CA188" s="43"/>
      <c r="CB188" s="23"/>
      <c r="CC188" s="23"/>
      <c r="CD188" s="23"/>
      <c r="CE188" s="23"/>
      <c r="CF188" s="23"/>
      <c r="CG188" s="23"/>
      <c r="CH188" s="126"/>
      <c r="CI188" s="351">
        <f>IF(AND(CM188="true",BO11=1),VLOOKUP(BT7,$CJ$189:$CN$294,IF(BG27=2,3,IF(BG27=3,4,IF(BG27=4,5,0))),0),0)</f>
        <v>0</v>
      </c>
      <c r="CJ188" s="196">
        <f>IFERROR(CI188,0)</f>
        <v>0</v>
      </c>
      <c r="CK188" s="196"/>
      <c r="CL188" s="350">
        <f>VLOOKUP(BT7,$CJ$189:$CK$294,2,FALSE)</f>
        <v>0</v>
      </c>
      <c r="CM188" s="43" t="str">
        <f>IF(CL188&lt;=AY36,"true","false")</f>
        <v>true</v>
      </c>
      <c r="CN188" s="43"/>
      <c r="CT188" s="126"/>
      <c r="CU188" s="126"/>
      <c r="CV188" s="126"/>
      <c r="CW188" s="895" t="s">
        <v>2821</v>
      </c>
      <c r="CX188" s="896"/>
      <c r="CY188" s="897"/>
      <c r="CZ188" s="377" t="s">
        <v>3049</v>
      </c>
      <c r="DA188" s="379" t="s">
        <v>3050</v>
      </c>
      <c r="DC188" s="70" t="s">
        <v>2838</v>
      </c>
    </row>
    <row r="189" spans="55:112" hidden="1">
      <c r="BH189" s="23"/>
      <c r="BI189" s="23"/>
      <c r="BJ189" s="23"/>
      <c r="BK189" s="828"/>
      <c r="BL189" s="43" t="s">
        <v>2028</v>
      </c>
      <c r="BM189" s="21"/>
      <c r="BN189" s="23"/>
      <c r="BO189" s="23"/>
      <c r="BP189" s="23"/>
      <c r="BQ189" s="23"/>
      <c r="BR189" s="23"/>
      <c r="BS189" s="217"/>
      <c r="BT189" s="217"/>
      <c r="BU189" s="217"/>
      <c r="BV189" s="206" t="s">
        <v>1406</v>
      </c>
      <c r="BW189">
        <v>2786</v>
      </c>
      <c r="BX189" s="23">
        <v>0</v>
      </c>
      <c r="BY189" s="364">
        <v>4.9999999999999933E-2</v>
      </c>
      <c r="BZ189" s="364">
        <v>7.0000000000000007E-2</v>
      </c>
      <c r="CA189" s="364">
        <v>8.0000000000000016E-2</v>
      </c>
      <c r="CB189" s="365">
        <v>0.52</v>
      </c>
      <c r="CC189" s="365">
        <v>0.44</v>
      </c>
      <c r="CD189" s="365">
        <v>0.38</v>
      </c>
      <c r="CE189" s="366"/>
      <c r="CF189" s="366"/>
      <c r="CG189" s="366"/>
      <c r="CH189" s="126"/>
      <c r="CI189" s="206" t="s">
        <v>1406</v>
      </c>
      <c r="CJ189">
        <v>2786</v>
      </c>
      <c r="CK189" s="23">
        <v>0</v>
      </c>
      <c r="CL189" s="364">
        <v>4.9999999999999933E-2</v>
      </c>
      <c r="CM189" s="364">
        <v>7.0000000000000007E-2</v>
      </c>
      <c r="CN189" s="364">
        <v>8.0000000000000016E-2</v>
      </c>
      <c r="CO189" s="367">
        <f>CB189+1%</f>
        <v>0.53</v>
      </c>
      <c r="CP189" s="367">
        <f t="shared" ref="CP189:CQ189" si="7">CC189+1%</f>
        <v>0.45</v>
      </c>
      <c r="CQ189" s="367">
        <f t="shared" si="7"/>
        <v>0.39</v>
      </c>
      <c r="CR189" s="126">
        <v>5.9999999999999935E-2</v>
      </c>
      <c r="CS189" s="126">
        <v>0.08</v>
      </c>
      <c r="CT189" s="126">
        <v>9.0000000000000011E-2</v>
      </c>
      <c r="CU189" s="126"/>
      <c r="CV189" s="126"/>
      <c r="CW189" s="323"/>
      <c r="CX189" s="323" t="s">
        <v>130</v>
      </c>
      <c r="CY189" s="323" t="s">
        <v>2807</v>
      </c>
      <c r="CZ189" s="376">
        <v>3180000</v>
      </c>
      <c r="DA189" s="378"/>
      <c r="DC189" s="236">
        <v>3343</v>
      </c>
      <c r="DD189" s="850" t="s">
        <v>2831</v>
      </c>
      <c r="DE189" s="236" t="s">
        <v>2832</v>
      </c>
    </row>
    <row r="190" spans="55:112" hidden="1">
      <c r="BH190" s="23"/>
      <c r="BI190" s="23"/>
      <c r="BJ190" s="23"/>
      <c r="BK190" s="828"/>
      <c r="BL190" s="43" t="s">
        <v>2029</v>
      </c>
      <c r="BM190" s="21"/>
      <c r="BN190" s="23"/>
      <c r="BO190" s="23"/>
      <c r="BP190" s="23"/>
      <c r="BQ190" s="23"/>
      <c r="BR190" s="23"/>
      <c r="BS190" s="217"/>
      <c r="BT190" s="217"/>
      <c r="BU190" s="217"/>
      <c r="BV190" s="206" t="s">
        <v>1941</v>
      </c>
      <c r="BW190">
        <v>3730</v>
      </c>
      <c r="BX190" s="23">
        <v>0</v>
      </c>
      <c r="BY190" s="364">
        <v>4.9999999999999933E-2</v>
      </c>
      <c r="BZ190" s="364">
        <v>7.0000000000000007E-2</v>
      </c>
      <c r="CA190" s="364">
        <v>8.0000000000000016E-2</v>
      </c>
      <c r="CB190" s="365">
        <v>0.52</v>
      </c>
      <c r="CC190" s="365">
        <v>0.44</v>
      </c>
      <c r="CD190" s="365">
        <v>0.38</v>
      </c>
      <c r="CE190" s="366"/>
      <c r="CF190" s="366"/>
      <c r="CG190" s="366"/>
      <c r="CH190" s="126"/>
      <c r="CI190" s="206" t="s">
        <v>1941</v>
      </c>
      <c r="CJ190">
        <v>3730</v>
      </c>
      <c r="CK190" s="23">
        <v>0</v>
      </c>
      <c r="CL190" s="364">
        <v>4.9999999999999933E-2</v>
      </c>
      <c r="CM190" s="364">
        <v>7.0000000000000007E-2</v>
      </c>
      <c r="CN190" s="364">
        <v>8.0000000000000016E-2</v>
      </c>
      <c r="CO190" s="367">
        <f t="shared" ref="CO190:CO253" si="8">CB190+1%</f>
        <v>0.53</v>
      </c>
      <c r="CP190" s="367">
        <f t="shared" ref="CP190:CP253" si="9">CC190+1%</f>
        <v>0.45</v>
      </c>
      <c r="CQ190" s="367">
        <f t="shared" ref="CQ190:CQ253" si="10">CD190+1%</f>
        <v>0.39</v>
      </c>
      <c r="CR190" s="126">
        <v>5.9999999999999935E-2</v>
      </c>
      <c r="CS190" s="126">
        <v>4.9999999999999982E-2</v>
      </c>
      <c r="CT190" s="126">
        <v>9.0000000000000011E-2</v>
      </c>
      <c r="CU190" s="126"/>
      <c r="CV190" s="126"/>
      <c r="CW190" s="236"/>
      <c r="CX190" s="642" t="s">
        <v>2808</v>
      </c>
      <c r="CY190" s="236" t="s">
        <v>2809</v>
      </c>
      <c r="CZ190" s="372"/>
      <c r="DA190" s="232"/>
      <c r="DC190" s="236">
        <v>5246</v>
      </c>
      <c r="DD190" s="851"/>
      <c r="DE190" s="236" t="s">
        <v>2833</v>
      </c>
    </row>
    <row r="191" spans="55:112" hidden="1">
      <c r="BH191" s="23"/>
      <c r="BI191" s="23"/>
      <c r="BJ191" s="23"/>
      <c r="BK191" s="828"/>
      <c r="BL191" s="43" t="s">
        <v>2030</v>
      </c>
      <c r="BM191" s="21"/>
      <c r="BN191" s="23"/>
      <c r="BO191" s="23"/>
      <c r="BP191" s="23"/>
      <c r="BQ191" s="23"/>
      <c r="BR191" s="23"/>
      <c r="BS191" s="217"/>
      <c r="BT191" s="217"/>
      <c r="BU191" s="217"/>
      <c r="BV191" s="206" t="s">
        <v>1915</v>
      </c>
      <c r="BW191">
        <v>4846</v>
      </c>
      <c r="BX191" s="23">
        <v>0</v>
      </c>
      <c r="BY191" s="364">
        <v>4.9999999999999933E-2</v>
      </c>
      <c r="BZ191" s="364">
        <v>7.0000000000000007E-2</v>
      </c>
      <c r="CA191" s="364">
        <v>8.0000000000000016E-2</v>
      </c>
      <c r="CB191" s="365">
        <v>0.52</v>
      </c>
      <c r="CC191" s="365">
        <v>0.44</v>
      </c>
      <c r="CD191" s="365">
        <v>0.38</v>
      </c>
      <c r="CE191" s="366"/>
      <c r="CF191" s="366"/>
      <c r="CG191" s="366"/>
      <c r="CH191" s="126"/>
      <c r="CI191" s="206" t="s">
        <v>1915</v>
      </c>
      <c r="CJ191">
        <v>4846</v>
      </c>
      <c r="CK191" s="23">
        <v>0</v>
      </c>
      <c r="CL191" s="364">
        <v>4.9999999999999933E-2</v>
      </c>
      <c r="CM191" s="364">
        <v>7.0000000000000007E-2</v>
      </c>
      <c r="CN191" s="364">
        <v>8.0000000000000016E-2</v>
      </c>
      <c r="CO191" s="367">
        <f t="shared" si="8"/>
        <v>0.53</v>
      </c>
      <c r="CP191" s="367">
        <f t="shared" si="9"/>
        <v>0.45</v>
      </c>
      <c r="CQ191" s="367">
        <f t="shared" si="10"/>
        <v>0.39</v>
      </c>
      <c r="CR191" s="126">
        <v>5.9999999999999935E-2</v>
      </c>
      <c r="CS191" s="126">
        <v>4.9999999999999982E-2</v>
      </c>
      <c r="CT191" s="126">
        <v>9.0000000000000011E-2</v>
      </c>
      <c r="CU191" s="126"/>
      <c r="CV191" s="126"/>
      <c r="CW191" s="236"/>
      <c r="CX191" s="642"/>
      <c r="CY191" s="236" t="s">
        <v>2810</v>
      </c>
      <c r="CZ191" s="372"/>
      <c r="DA191" s="232"/>
      <c r="DC191" s="236">
        <v>4749</v>
      </c>
      <c r="DD191" s="851"/>
      <c r="DE191" s="236" t="s">
        <v>2834</v>
      </c>
      <c r="DH191" s="129" t="s">
        <v>3542</v>
      </c>
    </row>
    <row r="192" spans="55:112" ht="17.25" hidden="1" thickBot="1">
      <c r="BH192" s="23"/>
      <c r="BI192" s="23"/>
      <c r="BJ192" s="23"/>
      <c r="BK192" s="828"/>
      <c r="BL192" s="43" t="s">
        <v>2031</v>
      </c>
      <c r="BM192" s="21"/>
      <c r="BN192" s="21"/>
      <c r="BO192" s="21"/>
      <c r="BP192" s="21"/>
      <c r="BQ192" s="21"/>
      <c r="BR192" s="21"/>
      <c r="BS192" s="217"/>
      <c r="BT192" s="217"/>
      <c r="BU192" s="217"/>
      <c r="BV192" s="206" t="s">
        <v>1916</v>
      </c>
      <c r="BW192">
        <v>4865</v>
      </c>
      <c r="BX192" s="23">
        <v>0</v>
      </c>
      <c r="BY192" s="364">
        <v>4.0000000000000036E-2</v>
      </c>
      <c r="BZ192" s="364">
        <v>3.999999999999998E-2</v>
      </c>
      <c r="CA192" s="364">
        <v>2.9999999999999971E-2</v>
      </c>
      <c r="CB192" s="365">
        <v>0.47000000000000003</v>
      </c>
      <c r="CC192" s="365">
        <v>0.37</v>
      </c>
      <c r="CD192" s="365">
        <v>0.28999999999999998</v>
      </c>
      <c r="CE192" s="366"/>
      <c r="CF192" s="366"/>
      <c r="CG192" s="366"/>
      <c r="CH192" s="126"/>
      <c r="CI192" s="206" t="s">
        <v>1916</v>
      </c>
      <c r="CJ192">
        <v>4865</v>
      </c>
      <c r="CK192" s="23">
        <v>0</v>
      </c>
      <c r="CL192" s="364">
        <v>4.0000000000000036E-2</v>
      </c>
      <c r="CM192" s="364">
        <v>3.999999999999998E-2</v>
      </c>
      <c r="CN192" s="364">
        <v>2.9999999999999971E-2</v>
      </c>
      <c r="CO192" s="367">
        <f t="shared" si="8"/>
        <v>0.48000000000000004</v>
      </c>
      <c r="CP192" s="367">
        <f t="shared" si="9"/>
        <v>0.38</v>
      </c>
      <c r="CQ192" s="367">
        <f t="shared" si="10"/>
        <v>0.3</v>
      </c>
      <c r="CR192" s="126">
        <v>5.0000000000000037E-2</v>
      </c>
      <c r="CS192" s="126">
        <v>4.9999999999999982E-2</v>
      </c>
      <c r="CT192" s="126">
        <v>3.9999999999999973E-2</v>
      </c>
      <c r="CU192" s="126"/>
      <c r="CV192" s="126"/>
      <c r="CW192" s="236"/>
      <c r="CX192" s="853" t="s">
        <v>2794</v>
      </c>
      <c r="CY192" s="236" t="s">
        <v>2811</v>
      </c>
      <c r="CZ192" s="372">
        <v>3260000</v>
      </c>
      <c r="DA192" s="232"/>
      <c r="DC192" s="236">
        <v>5245</v>
      </c>
      <c r="DD192" s="851"/>
      <c r="DE192" s="236" t="s">
        <v>2835</v>
      </c>
    </row>
    <row r="193" spans="60:115" hidden="1">
      <c r="BH193" s="23"/>
      <c r="BI193" s="23"/>
      <c r="BJ193" s="23"/>
      <c r="BK193" s="828"/>
      <c r="BL193" s="43" t="s">
        <v>1343</v>
      </c>
      <c r="BM193" s="21"/>
      <c r="BN193" s="21"/>
      <c r="BO193" s="21"/>
      <c r="BP193" s="21"/>
      <c r="BQ193" s="21"/>
      <c r="BR193" s="21"/>
      <c r="BS193" s="217"/>
      <c r="BT193" s="217"/>
      <c r="BU193" s="217"/>
      <c r="BV193" s="206" t="s">
        <v>139</v>
      </c>
      <c r="BW193">
        <v>2456</v>
      </c>
      <c r="BX193" s="23">
        <v>0</v>
      </c>
      <c r="BY193" s="364">
        <v>3.0000000000000027E-2</v>
      </c>
      <c r="BZ193" s="364">
        <v>4.9999999999999989E-2</v>
      </c>
      <c r="CA193" s="364">
        <v>0.06</v>
      </c>
      <c r="CB193" s="365">
        <v>0.44</v>
      </c>
      <c r="CC193" s="365">
        <v>0.36</v>
      </c>
      <c r="CD193" s="365">
        <v>0.3</v>
      </c>
      <c r="CE193" s="366"/>
      <c r="CF193" s="366"/>
      <c r="CG193" s="366"/>
      <c r="CH193" s="126"/>
      <c r="CI193" s="206" t="s">
        <v>139</v>
      </c>
      <c r="CJ193">
        <v>2456</v>
      </c>
      <c r="CK193" s="23">
        <v>0</v>
      </c>
      <c r="CL193" s="364">
        <v>3.0000000000000027E-2</v>
      </c>
      <c r="CM193" s="364">
        <v>4.9999999999999989E-2</v>
      </c>
      <c r="CN193" s="364">
        <v>0.06</v>
      </c>
      <c r="CO193" s="367">
        <f t="shared" si="8"/>
        <v>0.45</v>
      </c>
      <c r="CP193" s="367">
        <f t="shared" si="9"/>
        <v>0.37</v>
      </c>
      <c r="CQ193" s="367">
        <f t="shared" si="10"/>
        <v>0.31</v>
      </c>
      <c r="CR193" s="126">
        <v>4.0000000000000029E-2</v>
      </c>
      <c r="CS193" s="126">
        <v>5.9999999999999991E-2</v>
      </c>
      <c r="CT193" s="126">
        <v>6.9999999999999993E-2</v>
      </c>
      <c r="CU193" s="126"/>
      <c r="CV193" s="126"/>
      <c r="CW193" s="373"/>
      <c r="CX193" s="853"/>
      <c r="CY193" s="236">
        <v>220</v>
      </c>
      <c r="CZ193" s="372">
        <v>2680000</v>
      </c>
      <c r="DA193" s="374">
        <v>-4.9000000000000002E-2</v>
      </c>
      <c r="DC193" s="236">
        <v>5244</v>
      </c>
      <c r="DD193" s="851"/>
      <c r="DE193" s="236" t="s">
        <v>2836</v>
      </c>
      <c r="DH193" s="890" t="s">
        <v>3051</v>
      </c>
      <c r="DI193" s="891"/>
      <c r="DJ193" s="891"/>
      <c r="DK193" s="892"/>
    </row>
    <row r="194" spans="60:115" hidden="1">
      <c r="BH194" s="23"/>
      <c r="BI194" s="23"/>
      <c r="BJ194" s="23"/>
      <c r="BK194" s="828"/>
      <c r="BL194" s="43" t="s">
        <v>1376</v>
      </c>
      <c r="BM194" s="21"/>
      <c r="BN194" s="21"/>
      <c r="BO194" s="21"/>
      <c r="BP194" s="21"/>
      <c r="BQ194" s="21"/>
      <c r="BR194" s="21"/>
      <c r="BS194" s="217"/>
      <c r="BT194" s="217"/>
      <c r="BU194" s="217"/>
      <c r="BV194" s="206" t="s">
        <v>137</v>
      </c>
      <c r="BW194">
        <v>2977</v>
      </c>
      <c r="BX194" s="23">
        <v>0</v>
      </c>
      <c r="BY194" s="364">
        <v>4.9999999999999989E-2</v>
      </c>
      <c r="BZ194" s="364">
        <v>7.0000000000000007E-2</v>
      </c>
      <c r="CA194" s="364">
        <v>8.0000000000000016E-2</v>
      </c>
      <c r="CB194" s="365">
        <v>0.41</v>
      </c>
      <c r="CC194" s="365">
        <v>0.33</v>
      </c>
      <c r="CD194" s="365">
        <v>0.27</v>
      </c>
      <c r="CE194" s="366"/>
      <c r="CF194" s="366"/>
      <c r="CG194" s="366"/>
      <c r="CH194" s="126"/>
      <c r="CI194" s="206" t="s">
        <v>137</v>
      </c>
      <c r="CJ194">
        <v>2977</v>
      </c>
      <c r="CK194" s="23">
        <v>0</v>
      </c>
      <c r="CL194" s="364">
        <v>4.9999999999999989E-2</v>
      </c>
      <c r="CM194" s="364">
        <v>7.0000000000000007E-2</v>
      </c>
      <c r="CN194" s="364">
        <v>8.0000000000000016E-2</v>
      </c>
      <c r="CO194" s="367">
        <f t="shared" si="8"/>
        <v>0.42</v>
      </c>
      <c r="CP194" s="367">
        <f t="shared" si="9"/>
        <v>0.34</v>
      </c>
      <c r="CQ194" s="367">
        <f t="shared" si="10"/>
        <v>0.28000000000000003</v>
      </c>
      <c r="CR194" s="126">
        <v>5.9999999999999991E-2</v>
      </c>
      <c r="CS194" s="126">
        <v>0.08</v>
      </c>
      <c r="CT194" s="126">
        <v>9.0000000000000011E-2</v>
      </c>
      <c r="CU194" s="126"/>
      <c r="CV194" s="126"/>
      <c r="CW194" s="236"/>
      <c r="CX194" s="850" t="s">
        <v>118</v>
      </c>
      <c r="CY194" s="236" t="s">
        <v>2812</v>
      </c>
      <c r="CZ194" s="372"/>
      <c r="DA194" s="232"/>
      <c r="DC194" s="236">
        <v>4557</v>
      </c>
      <c r="DD194" s="852"/>
      <c r="DE194" s="236" t="s">
        <v>2837</v>
      </c>
      <c r="DH194" s="881" t="s">
        <v>3052</v>
      </c>
      <c r="DI194" s="882"/>
      <c r="DJ194" s="882" t="s">
        <v>3053</v>
      </c>
      <c r="DK194" s="883"/>
    </row>
    <row r="195" spans="60:115" hidden="1">
      <c r="BH195" s="23"/>
      <c r="BI195" s="23"/>
      <c r="BJ195" s="23"/>
      <c r="BK195" s="828"/>
      <c r="BL195" s="43" t="s">
        <v>1342</v>
      </c>
      <c r="BM195" s="24"/>
      <c r="BN195" s="21"/>
      <c r="BO195" s="21"/>
      <c r="BP195" s="21"/>
      <c r="BQ195" s="21"/>
      <c r="BR195" s="21"/>
      <c r="BS195" s="217"/>
      <c r="BT195" s="217"/>
      <c r="BU195" s="217"/>
      <c r="BV195" s="206" t="s">
        <v>136</v>
      </c>
      <c r="BW195">
        <v>2978</v>
      </c>
      <c r="BX195" s="23">
        <v>0</v>
      </c>
      <c r="BY195" s="364">
        <v>4.9999999999999989E-2</v>
      </c>
      <c r="BZ195" s="364">
        <v>7.0000000000000007E-2</v>
      </c>
      <c r="CA195" s="364">
        <v>8.0000000000000016E-2</v>
      </c>
      <c r="CB195" s="365">
        <v>0.41</v>
      </c>
      <c r="CC195" s="365">
        <v>0.33</v>
      </c>
      <c r="CD195" s="365">
        <v>0.27</v>
      </c>
      <c r="CE195" s="366"/>
      <c r="CF195" s="366"/>
      <c r="CG195" s="366"/>
      <c r="CH195" s="126"/>
      <c r="CI195" s="206" t="s">
        <v>136</v>
      </c>
      <c r="CJ195">
        <v>2978</v>
      </c>
      <c r="CK195" s="23">
        <v>0</v>
      </c>
      <c r="CL195" s="364">
        <v>4.9999999999999989E-2</v>
      </c>
      <c r="CM195" s="364">
        <v>7.0000000000000007E-2</v>
      </c>
      <c r="CN195" s="364">
        <v>8.0000000000000016E-2</v>
      </c>
      <c r="CO195" s="367">
        <f t="shared" si="8"/>
        <v>0.42</v>
      </c>
      <c r="CP195" s="367">
        <f t="shared" si="9"/>
        <v>0.34</v>
      </c>
      <c r="CQ195" s="367">
        <f t="shared" si="10"/>
        <v>0.28000000000000003</v>
      </c>
      <c r="CR195" s="126">
        <v>5.9999999999999991E-2</v>
      </c>
      <c r="CS195" s="126">
        <v>0.08</v>
      </c>
      <c r="CT195" s="126">
        <v>9.0000000000000011E-2</v>
      </c>
      <c r="CU195" s="126"/>
      <c r="CV195" s="126"/>
      <c r="CW195" s="236"/>
      <c r="CX195" s="851"/>
      <c r="CY195" s="236" t="s">
        <v>2813</v>
      </c>
      <c r="CZ195" s="372"/>
      <c r="DA195" s="232"/>
      <c r="DH195" s="884" t="s">
        <v>3056</v>
      </c>
      <c r="DI195" s="885"/>
      <c r="DJ195" s="893" t="s">
        <v>3161</v>
      </c>
      <c r="DK195" s="894"/>
    </row>
    <row r="196" spans="60:115" hidden="1">
      <c r="BH196" s="23"/>
      <c r="BI196" s="23"/>
      <c r="BJ196" s="23"/>
      <c r="BK196" s="828"/>
      <c r="BL196" s="43" t="s">
        <v>1319</v>
      </c>
      <c r="BM196" s="24"/>
      <c r="BN196" s="21"/>
      <c r="BO196" s="21"/>
      <c r="BP196" s="21"/>
      <c r="BQ196" s="21"/>
      <c r="BR196" s="21"/>
      <c r="BS196" s="217"/>
      <c r="BT196" s="217"/>
      <c r="BU196" s="217"/>
      <c r="BV196" s="206" t="s">
        <v>1394</v>
      </c>
      <c r="BW196">
        <v>660</v>
      </c>
      <c r="BX196" s="23">
        <v>0</v>
      </c>
      <c r="BY196" s="364">
        <v>9.9999999999999978E-2</v>
      </c>
      <c r="BZ196" s="364">
        <v>0.12000000000000005</v>
      </c>
      <c r="CA196" s="364">
        <v>0.12999999999999995</v>
      </c>
      <c r="CB196" s="365">
        <v>0.55000000000000004</v>
      </c>
      <c r="CC196" s="365">
        <v>0.47000000000000003</v>
      </c>
      <c r="CD196" s="365">
        <v>0.41</v>
      </c>
      <c r="CE196" s="366"/>
      <c r="CF196" s="366"/>
      <c r="CG196" s="366"/>
      <c r="CH196" s="126"/>
      <c r="CI196" s="206" t="s">
        <v>1394</v>
      </c>
      <c r="CJ196">
        <v>660</v>
      </c>
      <c r="CK196" s="23">
        <v>0</v>
      </c>
      <c r="CL196" s="364">
        <v>9.9999999999999978E-2</v>
      </c>
      <c r="CM196" s="364">
        <v>0.12000000000000005</v>
      </c>
      <c r="CN196" s="364">
        <v>0.12999999999999995</v>
      </c>
      <c r="CO196" s="367">
        <f t="shared" si="8"/>
        <v>0.56000000000000005</v>
      </c>
      <c r="CP196" s="367">
        <f t="shared" si="9"/>
        <v>0.48000000000000004</v>
      </c>
      <c r="CQ196" s="367">
        <f t="shared" si="10"/>
        <v>0.42</v>
      </c>
      <c r="CR196" s="126">
        <v>0.10999999999999997</v>
      </c>
      <c r="CS196" s="126">
        <v>0.13000000000000006</v>
      </c>
      <c r="CT196" s="126">
        <v>0.13999999999999996</v>
      </c>
      <c r="CU196" s="126"/>
      <c r="CV196" s="126"/>
      <c r="CW196" s="236"/>
      <c r="CX196" s="851"/>
      <c r="CY196" s="236" t="s">
        <v>2814</v>
      </c>
      <c r="CZ196" s="372"/>
      <c r="DA196" s="232"/>
      <c r="DH196" s="884"/>
      <c r="DI196" s="885"/>
      <c r="DJ196" s="893" t="s">
        <v>3162</v>
      </c>
      <c r="DK196" s="894"/>
    </row>
    <row r="197" spans="60:115" hidden="1">
      <c r="BH197" s="23"/>
      <c r="BI197" s="23"/>
      <c r="BJ197" s="23"/>
      <c r="BK197" s="660" t="s">
        <v>2064</v>
      </c>
      <c r="BL197" s="43" t="s">
        <v>1415</v>
      </c>
      <c r="BM197" s="24"/>
      <c r="BN197" s="21"/>
      <c r="BO197" s="21"/>
      <c r="BP197" s="21"/>
      <c r="BQ197" s="21"/>
      <c r="BR197" s="21"/>
      <c r="BS197" s="217"/>
      <c r="BT197" s="217"/>
      <c r="BU197" s="217"/>
      <c r="BV197" s="206" t="s">
        <v>1917</v>
      </c>
      <c r="BW197">
        <v>1718</v>
      </c>
      <c r="BX197" s="23">
        <v>0</v>
      </c>
      <c r="BY197" s="364">
        <v>9.9999999999999978E-2</v>
      </c>
      <c r="BZ197" s="364">
        <v>0.12000000000000005</v>
      </c>
      <c r="CA197" s="364">
        <v>0.12999999999999995</v>
      </c>
      <c r="CB197" s="365">
        <v>0.55000000000000004</v>
      </c>
      <c r="CC197" s="365">
        <v>0.47000000000000003</v>
      </c>
      <c r="CD197" s="365">
        <v>0.41</v>
      </c>
      <c r="CE197" s="366"/>
      <c r="CF197" s="366"/>
      <c r="CG197" s="366"/>
      <c r="CH197" s="126"/>
      <c r="CI197" s="206" t="s">
        <v>1917</v>
      </c>
      <c r="CJ197">
        <v>1718</v>
      </c>
      <c r="CK197" s="23">
        <v>0</v>
      </c>
      <c r="CL197" s="364">
        <v>9.9999999999999978E-2</v>
      </c>
      <c r="CM197" s="364">
        <v>0.12000000000000005</v>
      </c>
      <c r="CN197" s="364">
        <v>0.12999999999999995</v>
      </c>
      <c r="CO197" s="367">
        <f t="shared" si="8"/>
        <v>0.56000000000000005</v>
      </c>
      <c r="CP197" s="367">
        <f t="shared" si="9"/>
        <v>0.48000000000000004</v>
      </c>
      <c r="CQ197" s="367">
        <f t="shared" si="10"/>
        <v>0.42</v>
      </c>
      <c r="CR197" s="126">
        <v>0.10999999999999997</v>
      </c>
      <c r="CS197" s="126">
        <v>0.13000000000000006</v>
      </c>
      <c r="CT197" s="126">
        <v>0.13999999999999996</v>
      </c>
      <c r="CU197" s="126"/>
      <c r="CV197" s="126"/>
      <c r="CW197" s="236"/>
      <c r="CX197" s="852"/>
      <c r="CY197" s="236" t="s">
        <v>2815</v>
      </c>
      <c r="CZ197" s="372"/>
      <c r="DA197" s="232"/>
      <c r="DH197" s="884" t="s">
        <v>3054</v>
      </c>
      <c r="DI197" s="885"/>
      <c r="DJ197" s="893" t="s">
        <v>3163</v>
      </c>
      <c r="DK197" s="894"/>
    </row>
    <row r="198" spans="60:115" hidden="1">
      <c r="BH198" s="23"/>
      <c r="BI198" s="23"/>
      <c r="BJ198" s="23"/>
      <c r="BK198" s="660"/>
      <c r="BL198" s="43" t="s">
        <v>1416</v>
      </c>
      <c r="BM198" s="24"/>
      <c r="BN198" s="24"/>
      <c r="BO198" s="24"/>
      <c r="BP198" s="24"/>
      <c r="BQ198" s="24"/>
      <c r="BR198" s="24"/>
      <c r="BS198" s="217"/>
      <c r="BT198" s="217"/>
      <c r="BU198" s="217"/>
      <c r="BV198" s="206" t="s">
        <v>1954</v>
      </c>
      <c r="BW198">
        <v>4254</v>
      </c>
      <c r="BX198" s="23">
        <v>0</v>
      </c>
      <c r="BY198" s="364">
        <v>7.999999999999996E-2</v>
      </c>
      <c r="BZ198" s="364">
        <v>0.10000000000000003</v>
      </c>
      <c r="CA198" s="364">
        <v>0.10999999999999999</v>
      </c>
      <c r="CB198" s="365">
        <v>0.55000000000000004</v>
      </c>
      <c r="CC198" s="365">
        <v>0.47000000000000003</v>
      </c>
      <c r="CD198" s="365">
        <v>0.41</v>
      </c>
      <c r="CE198" s="366"/>
      <c r="CF198" s="366"/>
      <c r="CG198" s="366"/>
      <c r="CH198" s="126"/>
      <c r="CI198" s="206" t="s">
        <v>1954</v>
      </c>
      <c r="CJ198">
        <v>4254</v>
      </c>
      <c r="CK198" s="23">
        <v>0</v>
      </c>
      <c r="CL198" s="364">
        <v>7.999999999999996E-2</v>
      </c>
      <c r="CM198" s="364">
        <v>0.10000000000000003</v>
      </c>
      <c r="CN198" s="364">
        <v>0.10999999999999999</v>
      </c>
      <c r="CO198" s="367">
        <f t="shared" si="8"/>
        <v>0.56000000000000005</v>
      </c>
      <c r="CP198" s="367">
        <f t="shared" si="9"/>
        <v>0.48000000000000004</v>
      </c>
      <c r="CQ198" s="367">
        <f t="shared" si="10"/>
        <v>0.42</v>
      </c>
      <c r="CR198" s="126">
        <v>8.9999999999999955E-2</v>
      </c>
      <c r="CS198" s="126">
        <v>0.11000000000000003</v>
      </c>
      <c r="CT198" s="126">
        <v>0.11999999999999998</v>
      </c>
      <c r="CU198" s="126"/>
      <c r="CV198" s="126"/>
      <c r="CW198" s="373">
        <v>4662</v>
      </c>
      <c r="CX198" s="854" t="s">
        <v>116</v>
      </c>
      <c r="CY198" s="236" t="s">
        <v>2809</v>
      </c>
      <c r="CZ198" s="372">
        <v>2970000</v>
      </c>
      <c r="DA198" s="374">
        <v>-2.5000000000000001E-2</v>
      </c>
      <c r="DH198" s="884"/>
      <c r="DI198" s="885"/>
      <c r="DJ198" s="893" t="s">
        <v>3057</v>
      </c>
      <c r="DK198" s="894"/>
    </row>
    <row r="199" spans="60:115" ht="15" hidden="1" customHeight="1">
      <c r="BH199" s="23"/>
      <c r="BI199" s="23"/>
      <c r="BJ199" s="23"/>
      <c r="BK199" s="660" t="s">
        <v>2063</v>
      </c>
      <c r="BL199" s="69" t="s">
        <v>2025</v>
      </c>
      <c r="BM199" s="24"/>
      <c r="BN199" s="24"/>
      <c r="BO199" s="24"/>
      <c r="BP199" s="24"/>
      <c r="BQ199" s="24"/>
      <c r="BR199" s="24"/>
      <c r="BS199" s="217"/>
      <c r="BT199" s="217"/>
      <c r="BU199" s="217"/>
      <c r="BV199" s="203" t="s">
        <v>1364</v>
      </c>
      <c r="BW199" s="202">
        <v>4497</v>
      </c>
      <c r="BX199" s="23">
        <v>0</v>
      </c>
      <c r="BY199" s="364">
        <v>7.999999999999996E-2</v>
      </c>
      <c r="BZ199" s="364">
        <v>0.10000000000000003</v>
      </c>
      <c r="CA199" s="364">
        <v>0.10999999999999999</v>
      </c>
      <c r="CB199" s="365">
        <v>0.55000000000000004</v>
      </c>
      <c r="CC199" s="365">
        <v>0.47000000000000003</v>
      </c>
      <c r="CD199" s="365">
        <v>0.41</v>
      </c>
      <c r="CE199" s="366"/>
      <c r="CF199" s="366"/>
      <c r="CG199" s="366"/>
      <c r="CH199" s="126"/>
      <c r="CI199" s="203" t="s">
        <v>1364</v>
      </c>
      <c r="CJ199" s="202">
        <v>4497</v>
      </c>
      <c r="CK199" s="23">
        <v>0</v>
      </c>
      <c r="CL199" s="364">
        <v>7.999999999999996E-2</v>
      </c>
      <c r="CM199" s="364">
        <v>0.10000000000000003</v>
      </c>
      <c r="CN199" s="364">
        <v>0.10999999999999999</v>
      </c>
      <c r="CO199" s="367">
        <f t="shared" si="8"/>
        <v>0.56000000000000005</v>
      </c>
      <c r="CP199" s="367">
        <f t="shared" si="9"/>
        <v>0.48000000000000004</v>
      </c>
      <c r="CQ199" s="367">
        <f t="shared" si="10"/>
        <v>0.42</v>
      </c>
      <c r="CR199" s="126">
        <v>8.9999999999999955E-2</v>
      </c>
      <c r="CS199" s="126">
        <v>0.11000000000000003</v>
      </c>
      <c r="CT199" s="126">
        <v>0.11999999999999998</v>
      </c>
      <c r="CU199" s="126"/>
      <c r="CV199" s="126"/>
      <c r="CW199" s="373">
        <v>4661</v>
      </c>
      <c r="CX199" s="854"/>
      <c r="CY199" s="236" t="s">
        <v>2816</v>
      </c>
      <c r="CZ199" s="372">
        <v>3590000</v>
      </c>
      <c r="DA199" s="374">
        <v>-3.5999999999999997E-2</v>
      </c>
      <c r="DH199" s="884" t="s">
        <v>3055</v>
      </c>
      <c r="DI199" s="885"/>
      <c r="DJ199" s="885" t="s">
        <v>3058</v>
      </c>
      <c r="DK199" s="888"/>
    </row>
    <row r="200" spans="60:115" ht="17.25" hidden="1" thickBot="1">
      <c r="BH200" s="23"/>
      <c r="BI200" s="23"/>
      <c r="BJ200" s="23"/>
      <c r="BK200" s="660"/>
      <c r="BL200" s="43" t="s">
        <v>2024</v>
      </c>
      <c r="BM200" s="24"/>
      <c r="BN200" s="24"/>
      <c r="BO200" s="24"/>
      <c r="BP200" s="24"/>
      <c r="BQ200" s="24"/>
      <c r="BR200" s="24"/>
      <c r="BS200" s="217"/>
      <c r="BT200" s="217"/>
      <c r="BU200" s="217"/>
      <c r="BV200" s="203" t="s">
        <v>1365</v>
      </c>
      <c r="BW200" s="202">
        <v>4480</v>
      </c>
      <c r="BX200" s="23">
        <v>0</v>
      </c>
      <c r="BY200" s="364">
        <v>7.999999999999996E-2</v>
      </c>
      <c r="BZ200" s="364">
        <v>0.10000000000000003</v>
      </c>
      <c r="CA200" s="364">
        <v>0.10999999999999999</v>
      </c>
      <c r="CB200" s="365">
        <v>0.55000000000000004</v>
      </c>
      <c r="CC200" s="365">
        <v>0.47000000000000003</v>
      </c>
      <c r="CD200" s="365">
        <v>0.41</v>
      </c>
      <c r="CE200" s="366"/>
      <c r="CF200" s="366"/>
      <c r="CG200" s="366"/>
      <c r="CH200" s="126"/>
      <c r="CI200" s="203" t="s">
        <v>1365</v>
      </c>
      <c r="CJ200" s="202">
        <v>4480</v>
      </c>
      <c r="CK200" s="23">
        <v>0</v>
      </c>
      <c r="CL200" s="364">
        <v>7.999999999999996E-2</v>
      </c>
      <c r="CM200" s="364">
        <v>0.10000000000000003</v>
      </c>
      <c r="CN200" s="364">
        <v>0.10999999999999999</v>
      </c>
      <c r="CO200" s="367">
        <f t="shared" si="8"/>
        <v>0.56000000000000005</v>
      </c>
      <c r="CP200" s="367">
        <f t="shared" si="9"/>
        <v>0.48000000000000004</v>
      </c>
      <c r="CQ200" s="367">
        <f t="shared" si="10"/>
        <v>0.42</v>
      </c>
      <c r="CR200" s="126">
        <v>8.9999999999999955E-2</v>
      </c>
      <c r="CS200" s="126">
        <v>0.11000000000000003</v>
      </c>
      <c r="CT200" s="126">
        <v>0.11999999999999998</v>
      </c>
      <c r="CU200" s="126"/>
      <c r="CV200" s="126"/>
      <c r="CW200" s="373">
        <v>4994</v>
      </c>
      <c r="CX200" s="854" t="s">
        <v>2822</v>
      </c>
      <c r="CY200" s="236" t="s">
        <v>2817</v>
      </c>
      <c r="CZ200" s="372">
        <v>4810000</v>
      </c>
      <c r="DA200" s="374">
        <v>-3.4000000000000002E-2</v>
      </c>
      <c r="DH200" s="886"/>
      <c r="DI200" s="887"/>
      <c r="DJ200" s="887"/>
      <c r="DK200" s="889"/>
    </row>
    <row r="201" spans="60:115" hidden="1">
      <c r="BH201" s="23"/>
      <c r="BI201" s="23"/>
      <c r="BJ201" s="23"/>
      <c r="BK201" s="828" t="s">
        <v>2066</v>
      </c>
      <c r="BL201" s="43" t="s">
        <v>2773</v>
      </c>
      <c r="BM201" s="24"/>
      <c r="BN201" s="24"/>
      <c r="BO201" s="24"/>
      <c r="BP201" s="24"/>
      <c r="BQ201" s="24"/>
      <c r="BR201" s="24"/>
      <c r="BS201" s="217"/>
      <c r="BT201" s="217"/>
      <c r="BU201" s="217"/>
      <c r="BV201" s="206" t="s">
        <v>1297</v>
      </c>
      <c r="BW201">
        <v>3488</v>
      </c>
      <c r="BX201" s="23">
        <v>0</v>
      </c>
      <c r="BY201" s="364">
        <v>9.9999999999999978E-2</v>
      </c>
      <c r="BZ201" s="364">
        <v>0.12000000000000005</v>
      </c>
      <c r="CA201" s="364">
        <v>0.12999999999999995</v>
      </c>
      <c r="CB201" s="365">
        <v>0.55000000000000004</v>
      </c>
      <c r="CC201" s="365">
        <v>0.47000000000000003</v>
      </c>
      <c r="CD201" s="365">
        <v>0.41</v>
      </c>
      <c r="CE201" s="366"/>
      <c r="CF201" s="366"/>
      <c r="CG201" s="366"/>
      <c r="CH201" s="126"/>
      <c r="CI201" s="206" t="s">
        <v>1297</v>
      </c>
      <c r="CJ201">
        <v>3488</v>
      </c>
      <c r="CK201" s="23">
        <v>0</v>
      </c>
      <c r="CL201" s="364">
        <v>9.9999999999999978E-2</v>
      </c>
      <c r="CM201" s="364">
        <v>0.12000000000000005</v>
      </c>
      <c r="CN201" s="364">
        <v>0.12999999999999995</v>
      </c>
      <c r="CO201" s="367">
        <f t="shared" si="8"/>
        <v>0.56000000000000005</v>
      </c>
      <c r="CP201" s="367">
        <f t="shared" si="9"/>
        <v>0.48000000000000004</v>
      </c>
      <c r="CQ201" s="367">
        <f t="shared" si="10"/>
        <v>0.42</v>
      </c>
      <c r="CR201" s="126">
        <v>0.10999999999999997</v>
      </c>
      <c r="CS201" s="126">
        <v>0.13000000000000006</v>
      </c>
      <c r="CT201" s="126">
        <v>0.13999999999999996</v>
      </c>
      <c r="CU201" s="126"/>
      <c r="CV201" s="126"/>
      <c r="CW201" s="373">
        <v>4985</v>
      </c>
      <c r="CX201" s="854"/>
      <c r="CY201" s="236" t="s">
        <v>2818</v>
      </c>
      <c r="CZ201" s="372">
        <v>4190000</v>
      </c>
      <c r="DA201" s="374">
        <v>-2.5000000000000001E-2</v>
      </c>
    </row>
    <row r="202" spans="60:115" hidden="1">
      <c r="BH202" s="23"/>
      <c r="BI202" s="23"/>
      <c r="BJ202" s="23"/>
      <c r="BK202" s="665"/>
      <c r="BL202" s="43" t="s">
        <v>1250</v>
      </c>
      <c r="BM202" s="24"/>
      <c r="BN202" s="24"/>
      <c r="BO202" s="24"/>
      <c r="BP202" s="24"/>
      <c r="BQ202" s="24"/>
      <c r="BR202" s="24"/>
      <c r="BS202" s="217"/>
      <c r="BT202" s="217"/>
      <c r="BU202" s="217"/>
      <c r="BV202" s="206" t="s">
        <v>1395</v>
      </c>
      <c r="BW202">
        <v>4515</v>
      </c>
      <c r="BX202" s="23">
        <v>0</v>
      </c>
      <c r="BY202" s="364">
        <v>7.0000000000000007E-2</v>
      </c>
      <c r="BZ202" s="364">
        <v>0.09</v>
      </c>
      <c r="CA202" s="364">
        <v>0.1</v>
      </c>
      <c r="CB202" s="365">
        <v>0.55000000000000004</v>
      </c>
      <c r="CC202" s="365">
        <v>0.47000000000000003</v>
      </c>
      <c r="CD202" s="365">
        <v>0.41</v>
      </c>
      <c r="CE202" s="366"/>
      <c r="CF202" s="366"/>
      <c r="CG202" s="366"/>
      <c r="CH202" s="126"/>
      <c r="CI202" s="206" t="s">
        <v>1395</v>
      </c>
      <c r="CJ202">
        <v>4515</v>
      </c>
      <c r="CK202" s="23">
        <v>0</v>
      </c>
      <c r="CL202" s="364">
        <v>7.0000000000000007E-2</v>
      </c>
      <c r="CM202" s="364">
        <v>0.09</v>
      </c>
      <c r="CN202" s="364">
        <v>0.1</v>
      </c>
      <c r="CO202" s="367">
        <f t="shared" si="8"/>
        <v>0.56000000000000005</v>
      </c>
      <c r="CP202" s="367">
        <f t="shared" si="9"/>
        <v>0.48000000000000004</v>
      </c>
      <c r="CQ202" s="367">
        <f t="shared" si="10"/>
        <v>0.42</v>
      </c>
      <c r="CR202" s="126">
        <v>9.9999999999999964E-2</v>
      </c>
      <c r="CS202" s="126">
        <v>0.12000000000000004</v>
      </c>
      <c r="CT202" s="126">
        <v>0.15000000000000002</v>
      </c>
      <c r="CU202" s="126"/>
      <c r="CV202" s="126"/>
      <c r="CW202" s="236"/>
      <c r="CX202" s="236" t="s">
        <v>122</v>
      </c>
      <c r="CY202" s="236" t="s">
        <v>2819</v>
      </c>
      <c r="CZ202" s="232"/>
      <c r="DA202" s="232"/>
    </row>
    <row r="203" spans="60:115" ht="16.5" hidden="1" customHeight="1">
      <c r="BH203" s="23"/>
      <c r="BI203" s="23"/>
      <c r="BJ203" s="23"/>
      <c r="BK203" s="660" t="s">
        <v>2067</v>
      </c>
      <c r="BL203" s="43" t="s">
        <v>1239</v>
      </c>
      <c r="BM203" s="24"/>
      <c r="BN203" s="24"/>
      <c r="BO203" s="24"/>
      <c r="BP203" s="24"/>
      <c r="BQ203" s="24"/>
      <c r="BR203" s="24"/>
      <c r="BS203" s="217"/>
      <c r="BT203" s="217"/>
      <c r="BU203" s="217"/>
      <c r="BV203" s="206" t="s">
        <v>1339</v>
      </c>
      <c r="BW203">
        <v>3350</v>
      </c>
      <c r="BX203" s="23">
        <v>0</v>
      </c>
      <c r="BY203" s="364">
        <v>3.0000000000000027E-2</v>
      </c>
      <c r="BZ203" s="364">
        <v>4.9999999999999989E-2</v>
      </c>
      <c r="CA203" s="364">
        <v>0.03</v>
      </c>
      <c r="CB203" s="365">
        <v>0.44</v>
      </c>
      <c r="CC203" s="365">
        <v>0.36</v>
      </c>
      <c r="CD203" s="365">
        <v>0.3</v>
      </c>
      <c r="CE203" s="366"/>
      <c r="CF203" s="366"/>
      <c r="CG203" s="366"/>
      <c r="CH203" s="126"/>
      <c r="CI203" s="206" t="s">
        <v>1339</v>
      </c>
      <c r="CJ203">
        <v>3350</v>
      </c>
      <c r="CK203" s="23">
        <v>0</v>
      </c>
      <c r="CL203" s="364">
        <v>3.0000000000000027E-2</v>
      </c>
      <c r="CM203" s="364">
        <v>4.9999999999999989E-2</v>
      </c>
      <c r="CN203" s="364">
        <v>0.03</v>
      </c>
      <c r="CO203" s="367">
        <f t="shared" si="8"/>
        <v>0.45</v>
      </c>
      <c r="CP203" s="367">
        <f t="shared" si="9"/>
        <v>0.37</v>
      </c>
      <c r="CQ203" s="367">
        <f t="shared" si="10"/>
        <v>0.31</v>
      </c>
      <c r="CR203" s="126">
        <v>4.0000000000000029E-2</v>
      </c>
      <c r="CS203" s="126">
        <v>5.9999999999999991E-2</v>
      </c>
      <c r="CT203" s="126">
        <v>6.9999999999999993E-2</v>
      </c>
      <c r="CU203" s="126"/>
      <c r="CV203" s="126"/>
      <c r="CW203" s="373">
        <v>4708</v>
      </c>
      <c r="CX203" s="854" t="s">
        <v>135</v>
      </c>
      <c r="CY203" s="236" t="s">
        <v>2830</v>
      </c>
      <c r="CZ203" s="232">
        <v>3440000</v>
      </c>
      <c r="DA203" s="374">
        <v>-2.5000000000000001E-2</v>
      </c>
    </row>
    <row r="204" spans="60:115" hidden="1">
      <c r="BH204" s="23"/>
      <c r="BI204" s="23"/>
      <c r="BJ204" s="23"/>
      <c r="BK204" s="660"/>
      <c r="BL204" s="43" t="s">
        <v>1289</v>
      </c>
      <c r="BM204" s="24"/>
      <c r="BN204" s="24"/>
      <c r="BO204" s="24"/>
      <c r="BP204" s="24"/>
      <c r="BQ204" s="24"/>
      <c r="BR204" s="24"/>
      <c r="BS204" s="217"/>
      <c r="BT204" s="217"/>
      <c r="BU204" s="217"/>
      <c r="BV204" s="206" t="s">
        <v>1298</v>
      </c>
      <c r="BW204">
        <v>4085</v>
      </c>
      <c r="BX204" s="23">
        <v>0</v>
      </c>
      <c r="BY204" s="364">
        <v>3.0000000000000027E-2</v>
      </c>
      <c r="BZ204" s="364">
        <v>4.9999999999999989E-2</v>
      </c>
      <c r="CA204" s="364">
        <v>0.03</v>
      </c>
      <c r="CB204" s="365">
        <v>0.44</v>
      </c>
      <c r="CC204" s="365">
        <v>0.36</v>
      </c>
      <c r="CD204" s="365">
        <v>0.3</v>
      </c>
      <c r="CE204" s="366"/>
      <c r="CF204" s="366"/>
      <c r="CG204" s="366"/>
      <c r="CH204" s="126"/>
      <c r="CI204" s="206" t="s">
        <v>1298</v>
      </c>
      <c r="CJ204">
        <v>4085</v>
      </c>
      <c r="CK204" s="23">
        <v>0</v>
      </c>
      <c r="CL204" s="364">
        <v>3.0000000000000027E-2</v>
      </c>
      <c r="CM204" s="364">
        <v>4.9999999999999989E-2</v>
      </c>
      <c r="CN204" s="364">
        <v>0.03</v>
      </c>
      <c r="CO204" s="367">
        <f t="shared" si="8"/>
        <v>0.45</v>
      </c>
      <c r="CP204" s="367">
        <f t="shared" si="9"/>
        <v>0.37</v>
      </c>
      <c r="CQ204" s="367">
        <f t="shared" si="10"/>
        <v>0.31</v>
      </c>
      <c r="CR204" s="126">
        <v>4.0000000000000029E-2</v>
      </c>
      <c r="CS204" s="126">
        <v>5.9999999999999991E-2</v>
      </c>
      <c r="CT204" s="126">
        <v>6.9999999999999993E-2</v>
      </c>
      <c r="CU204" s="126"/>
      <c r="CV204" s="126"/>
      <c r="CW204" s="236"/>
      <c r="CX204" s="854"/>
      <c r="CY204" s="236" t="s">
        <v>2820</v>
      </c>
      <c r="CZ204" s="232">
        <v>18000000</v>
      </c>
      <c r="DA204" s="374">
        <v>-7.4999999999999997E-2</v>
      </c>
    </row>
    <row r="205" spans="60:115" hidden="1">
      <c r="BH205" s="23"/>
      <c r="BI205" s="23"/>
      <c r="BJ205" s="23"/>
      <c r="BK205" s="660"/>
      <c r="BL205" s="43" t="s">
        <v>2054</v>
      </c>
      <c r="BM205" s="24"/>
      <c r="BN205" s="24"/>
      <c r="BO205" s="24"/>
      <c r="BP205" s="24"/>
      <c r="BQ205" s="24"/>
      <c r="BR205" s="24"/>
      <c r="BS205" s="217"/>
      <c r="BT205" s="217"/>
      <c r="BU205" s="217"/>
      <c r="BV205" s="206" t="s">
        <v>1220</v>
      </c>
      <c r="BW205">
        <v>3349</v>
      </c>
      <c r="BX205" s="23">
        <v>0</v>
      </c>
      <c r="BY205" s="364">
        <v>1.9999999999999962E-2</v>
      </c>
      <c r="BZ205" s="364">
        <v>4.0000000000000036E-2</v>
      </c>
      <c r="CA205" s="364">
        <v>4.9999999999999989E-2</v>
      </c>
      <c r="CB205" s="365">
        <v>0.41</v>
      </c>
      <c r="CC205" s="365">
        <v>0.33</v>
      </c>
      <c r="CD205" s="365">
        <v>0.27</v>
      </c>
      <c r="CE205" s="366"/>
      <c r="CF205" s="366"/>
      <c r="CG205" s="366"/>
      <c r="CH205" s="126"/>
      <c r="CI205" s="206" t="s">
        <v>1220</v>
      </c>
      <c r="CJ205">
        <v>3349</v>
      </c>
      <c r="CK205" s="23">
        <v>0</v>
      </c>
      <c r="CL205" s="364">
        <v>1.9999999999999962E-2</v>
      </c>
      <c r="CM205" s="364">
        <v>4.0000000000000036E-2</v>
      </c>
      <c r="CN205" s="364">
        <v>4.9999999999999989E-2</v>
      </c>
      <c r="CO205" s="367">
        <f t="shared" si="8"/>
        <v>0.42</v>
      </c>
      <c r="CP205" s="367">
        <f t="shared" si="9"/>
        <v>0.34</v>
      </c>
      <c r="CQ205" s="367">
        <f t="shared" si="10"/>
        <v>0.28000000000000003</v>
      </c>
      <c r="CR205" s="126">
        <v>2.9999999999999964E-2</v>
      </c>
      <c r="CS205" s="126">
        <v>5.0000000000000037E-2</v>
      </c>
      <c r="CT205" s="126">
        <v>5.9999999999999991E-2</v>
      </c>
      <c r="CU205" s="126"/>
      <c r="CV205" s="126"/>
      <c r="CW205" s="236"/>
      <c r="CX205" s="850" t="s">
        <v>2831</v>
      </c>
      <c r="CY205" s="236" t="s">
        <v>2832</v>
      </c>
      <c r="CZ205" s="231"/>
      <c r="DA205" s="231"/>
    </row>
    <row r="206" spans="60:115" hidden="1">
      <c r="BH206" s="23"/>
      <c r="BI206" s="21"/>
      <c r="BJ206" s="23"/>
      <c r="BK206" s="664" t="s">
        <v>2068</v>
      </c>
      <c r="BL206" s="43" t="s">
        <v>2055</v>
      </c>
      <c r="BM206" s="24"/>
      <c r="BN206" s="24"/>
      <c r="BO206" s="24"/>
      <c r="BP206" s="24"/>
      <c r="BQ206" s="24"/>
      <c r="BR206" s="24"/>
      <c r="BS206" s="217"/>
      <c r="BT206" s="217"/>
      <c r="BU206" s="217"/>
      <c r="BV206" s="206" t="s">
        <v>1266</v>
      </c>
      <c r="BW206">
        <v>4040</v>
      </c>
      <c r="BX206" s="23">
        <v>0</v>
      </c>
      <c r="BY206" s="364">
        <v>1.9999999999999962E-2</v>
      </c>
      <c r="BZ206" s="364">
        <v>4.0000000000000036E-2</v>
      </c>
      <c r="CA206" s="364">
        <v>4.9999999999999989E-2</v>
      </c>
      <c r="CB206" s="365">
        <v>0.41</v>
      </c>
      <c r="CC206" s="365">
        <v>0.33</v>
      </c>
      <c r="CD206" s="365">
        <v>0.27</v>
      </c>
      <c r="CE206" s="366"/>
      <c r="CF206" s="366"/>
      <c r="CG206" s="366"/>
      <c r="CH206" s="126"/>
      <c r="CI206" s="206" t="s">
        <v>1266</v>
      </c>
      <c r="CJ206">
        <v>4040</v>
      </c>
      <c r="CK206" s="23">
        <v>0</v>
      </c>
      <c r="CL206" s="364">
        <v>1.9999999999999962E-2</v>
      </c>
      <c r="CM206" s="364">
        <v>4.0000000000000036E-2</v>
      </c>
      <c r="CN206" s="364">
        <v>4.9999999999999989E-2</v>
      </c>
      <c r="CO206" s="367">
        <f t="shared" si="8"/>
        <v>0.42</v>
      </c>
      <c r="CP206" s="367">
        <f t="shared" si="9"/>
        <v>0.34</v>
      </c>
      <c r="CQ206" s="367">
        <f t="shared" si="10"/>
        <v>0.28000000000000003</v>
      </c>
      <c r="CR206" s="126">
        <v>2.9999999999999964E-2</v>
      </c>
      <c r="CS206" s="126">
        <v>5.0000000000000037E-2</v>
      </c>
      <c r="CT206" s="126">
        <v>5.9999999999999991E-2</v>
      </c>
      <c r="CU206" s="126"/>
      <c r="CV206" s="126"/>
      <c r="CW206" s="236"/>
      <c r="CX206" s="851"/>
      <c r="CY206" s="236" t="s">
        <v>2833</v>
      </c>
      <c r="CZ206" s="231"/>
      <c r="DA206" s="231"/>
    </row>
    <row r="207" spans="60:115" hidden="1">
      <c r="BH207" s="23"/>
      <c r="BI207" s="21"/>
      <c r="BJ207" s="23"/>
      <c r="BK207" s="828"/>
      <c r="BL207" s="43" t="s">
        <v>2056</v>
      </c>
      <c r="BM207" s="24"/>
      <c r="BN207" s="24"/>
      <c r="BO207" s="24"/>
      <c r="BP207" s="24"/>
      <c r="BQ207" s="24"/>
      <c r="BR207" s="24"/>
      <c r="BS207" s="217"/>
      <c r="BT207" s="217"/>
      <c r="BU207" s="217"/>
      <c r="BV207" s="206" t="s">
        <v>133</v>
      </c>
      <c r="BW207">
        <v>3258</v>
      </c>
      <c r="BX207" s="23">
        <v>0</v>
      </c>
      <c r="BY207" s="364">
        <v>6.9999999999999951E-2</v>
      </c>
      <c r="BZ207" s="364">
        <v>8.9999999999999969E-2</v>
      </c>
      <c r="CA207" s="364">
        <v>9.9999999999999978E-2</v>
      </c>
      <c r="CB207" s="365">
        <v>0.51</v>
      </c>
      <c r="CC207" s="365">
        <v>0.43</v>
      </c>
      <c r="CD207" s="365">
        <v>0.37</v>
      </c>
      <c r="CE207" s="366"/>
      <c r="CF207" s="366"/>
      <c r="CG207" s="366"/>
      <c r="CH207" s="126"/>
      <c r="CI207" s="206" t="s">
        <v>133</v>
      </c>
      <c r="CJ207">
        <v>3258</v>
      </c>
      <c r="CK207" s="23">
        <v>0</v>
      </c>
      <c r="CL207" s="364">
        <v>6.9999999999999951E-2</v>
      </c>
      <c r="CM207" s="364">
        <v>8.9999999999999969E-2</v>
      </c>
      <c r="CN207" s="364">
        <v>9.9999999999999978E-2</v>
      </c>
      <c r="CO207" s="367">
        <f t="shared" si="8"/>
        <v>0.52</v>
      </c>
      <c r="CP207" s="367">
        <f t="shared" si="9"/>
        <v>0.44</v>
      </c>
      <c r="CQ207" s="367">
        <f t="shared" si="10"/>
        <v>0.38</v>
      </c>
      <c r="CR207" s="126">
        <v>7.9999999999999946E-2</v>
      </c>
      <c r="CS207" s="126">
        <v>9.9999999999999964E-2</v>
      </c>
      <c r="CT207" s="126">
        <v>0.10999999999999997</v>
      </c>
      <c r="CU207" s="126"/>
      <c r="CV207" s="126"/>
      <c r="CW207" s="236"/>
      <c r="CX207" s="851"/>
      <c r="CY207" s="236" t="s">
        <v>2834</v>
      </c>
      <c r="CZ207" s="231"/>
      <c r="DA207" s="231"/>
    </row>
    <row r="208" spans="60:115" hidden="1">
      <c r="BH208" s="23"/>
      <c r="BI208" s="21"/>
      <c r="BJ208" s="23"/>
      <c r="BK208" s="828" t="s">
        <v>2069</v>
      </c>
      <c r="BL208" s="277" t="s">
        <v>2106</v>
      </c>
      <c r="BM208" s="24"/>
      <c r="BN208" s="24"/>
      <c r="BO208" s="24"/>
      <c r="BP208" s="24"/>
      <c r="BQ208" s="24"/>
      <c r="BR208" s="24"/>
      <c r="BS208" s="217"/>
      <c r="BT208" s="217"/>
      <c r="BU208" s="217"/>
      <c r="BV208" s="41" t="s">
        <v>132</v>
      </c>
      <c r="BW208">
        <v>2976</v>
      </c>
      <c r="BX208" s="23">
        <v>0</v>
      </c>
      <c r="BY208" s="364">
        <v>6.9999999999999951E-2</v>
      </c>
      <c r="BZ208" s="364">
        <v>8.9999999999999969E-2</v>
      </c>
      <c r="CA208" s="364">
        <v>9.9999999999999978E-2</v>
      </c>
      <c r="CB208" s="365">
        <v>0.51</v>
      </c>
      <c r="CC208" s="365">
        <v>0.43</v>
      </c>
      <c r="CD208" s="365">
        <v>0.37</v>
      </c>
      <c r="CE208" s="366"/>
      <c r="CF208" s="366"/>
      <c r="CG208" s="366"/>
      <c r="CH208" s="126"/>
      <c r="CI208" s="41" t="s">
        <v>132</v>
      </c>
      <c r="CJ208">
        <v>2976</v>
      </c>
      <c r="CK208" s="23">
        <v>0</v>
      </c>
      <c r="CL208" s="364">
        <v>6.9999999999999951E-2</v>
      </c>
      <c r="CM208" s="364">
        <v>8.9999999999999969E-2</v>
      </c>
      <c r="CN208" s="364">
        <v>9.9999999999999978E-2</v>
      </c>
      <c r="CO208" s="367">
        <f t="shared" si="8"/>
        <v>0.52</v>
      </c>
      <c r="CP208" s="367">
        <f t="shared" si="9"/>
        <v>0.44</v>
      </c>
      <c r="CQ208" s="367">
        <f t="shared" si="10"/>
        <v>0.38</v>
      </c>
      <c r="CR208" s="126">
        <v>7.9999999999999946E-2</v>
      </c>
      <c r="CS208" s="126">
        <v>9.9999999999999964E-2</v>
      </c>
      <c r="CT208" s="126">
        <v>0.10999999999999997</v>
      </c>
      <c r="CU208" s="126"/>
      <c r="CV208" s="126"/>
      <c r="CW208" s="236"/>
      <c r="CX208" s="851"/>
      <c r="CY208" s="236" t="s">
        <v>2835</v>
      </c>
      <c r="CZ208" s="231"/>
      <c r="DA208" s="231"/>
    </row>
    <row r="209" spans="60:105" hidden="1">
      <c r="BH209" s="23"/>
      <c r="BI209" s="21"/>
      <c r="BJ209" s="23"/>
      <c r="BK209" s="828"/>
      <c r="BL209" s="181" t="s">
        <v>2057</v>
      </c>
      <c r="BM209" s="24"/>
      <c r="BN209" s="24"/>
      <c r="BO209" s="24"/>
      <c r="BP209" s="24"/>
      <c r="BQ209" s="24"/>
      <c r="BR209" s="24"/>
      <c r="BS209" s="217"/>
      <c r="BT209" s="217"/>
      <c r="BU209" s="217"/>
      <c r="BV209" s="41" t="s">
        <v>1366</v>
      </c>
      <c r="BW209">
        <v>3613</v>
      </c>
      <c r="BX209" s="23">
        <v>0</v>
      </c>
      <c r="BY209" s="364">
        <v>6.9999999999999951E-2</v>
      </c>
      <c r="BZ209" s="364">
        <v>8.9999999999999969E-2</v>
      </c>
      <c r="CA209" s="364">
        <v>9.9999999999999978E-2</v>
      </c>
      <c r="CB209" s="365">
        <v>0.51</v>
      </c>
      <c r="CC209" s="365">
        <v>0.43</v>
      </c>
      <c r="CD209" s="365">
        <v>0.37</v>
      </c>
      <c r="CE209" s="366"/>
      <c r="CF209" s="366"/>
      <c r="CG209" s="366"/>
      <c r="CH209" s="126"/>
      <c r="CI209" s="41" t="s">
        <v>1366</v>
      </c>
      <c r="CJ209">
        <v>3613</v>
      </c>
      <c r="CK209" s="23">
        <v>0</v>
      </c>
      <c r="CL209" s="364">
        <v>6.9999999999999951E-2</v>
      </c>
      <c r="CM209" s="364">
        <v>8.9999999999999969E-2</v>
      </c>
      <c r="CN209" s="364">
        <v>9.9999999999999978E-2</v>
      </c>
      <c r="CO209" s="367">
        <f t="shared" si="8"/>
        <v>0.52</v>
      </c>
      <c r="CP209" s="367">
        <f t="shared" si="9"/>
        <v>0.44</v>
      </c>
      <c r="CQ209" s="367">
        <f t="shared" si="10"/>
        <v>0.38</v>
      </c>
      <c r="CR209" s="126">
        <v>7.9999999999999946E-2</v>
      </c>
      <c r="CS209" s="126">
        <v>9.9999999999999964E-2</v>
      </c>
      <c r="CT209" s="126">
        <v>0.10999999999999997</v>
      </c>
      <c r="CU209" s="126"/>
      <c r="CV209" s="126"/>
      <c r="CW209" s="236"/>
      <c r="CX209" s="851"/>
      <c r="CY209" s="236" t="s">
        <v>2836</v>
      </c>
      <c r="CZ209" s="231"/>
      <c r="DA209" s="231"/>
    </row>
    <row r="210" spans="60:105" hidden="1">
      <c r="BH210" s="21"/>
      <c r="BI210" s="21"/>
      <c r="BJ210" s="23"/>
      <c r="BK210" s="273" t="s">
        <v>2070</v>
      </c>
      <c r="BL210" s="43" t="s">
        <v>2061</v>
      </c>
      <c r="BM210" s="24"/>
      <c r="BN210" s="24"/>
      <c r="BO210" s="24"/>
      <c r="BP210" s="24"/>
      <c r="BQ210" s="24"/>
      <c r="BR210" s="24"/>
      <c r="BS210" s="217"/>
      <c r="BT210" s="217"/>
      <c r="BU210" s="217"/>
      <c r="BV210" s="206" t="s">
        <v>1299</v>
      </c>
      <c r="BW210">
        <v>4084</v>
      </c>
      <c r="BX210" s="23">
        <v>0</v>
      </c>
      <c r="BY210" s="364">
        <v>0</v>
      </c>
      <c r="BZ210" s="364">
        <v>2.0000000000000018E-2</v>
      </c>
      <c r="CA210" s="364">
        <v>3.0000000000000027E-2</v>
      </c>
      <c r="CB210" s="365">
        <v>0.41</v>
      </c>
      <c r="CC210" s="365">
        <v>0.33</v>
      </c>
      <c r="CD210" s="365">
        <v>0.27</v>
      </c>
      <c r="CE210" s="366"/>
      <c r="CF210" s="366"/>
      <c r="CG210" s="366"/>
      <c r="CH210" s="126"/>
      <c r="CI210" s="206" t="s">
        <v>1299</v>
      </c>
      <c r="CJ210">
        <v>4084</v>
      </c>
      <c r="CK210" s="23">
        <v>0</v>
      </c>
      <c r="CL210" s="364">
        <v>0</v>
      </c>
      <c r="CM210" s="364">
        <v>2.0000000000000018E-2</v>
      </c>
      <c r="CN210" s="364">
        <v>3.0000000000000027E-2</v>
      </c>
      <c r="CO210" s="367">
        <f t="shared" si="8"/>
        <v>0.42</v>
      </c>
      <c r="CP210" s="367">
        <f t="shared" si="9"/>
        <v>0.34</v>
      </c>
      <c r="CQ210" s="367">
        <f t="shared" si="10"/>
        <v>0.28000000000000003</v>
      </c>
      <c r="CR210" s="126">
        <v>6.0000000000000046E-2</v>
      </c>
      <c r="CS210" s="126">
        <v>0.08</v>
      </c>
      <c r="CT210" s="126">
        <v>9.0000000000000011E-2</v>
      </c>
      <c r="CU210" s="126"/>
      <c r="CV210" s="126"/>
      <c r="CW210" s="236"/>
      <c r="CX210" s="852"/>
      <c r="CY210" s="236" t="s">
        <v>2837</v>
      </c>
      <c r="CZ210" s="231"/>
      <c r="DA210" s="231"/>
    </row>
    <row r="211" spans="60:105" hidden="1">
      <c r="BH211" s="21"/>
      <c r="BI211" s="21"/>
      <c r="BJ211" s="21"/>
      <c r="BK211" s="273" t="s">
        <v>2068</v>
      </c>
      <c r="BL211" s="43" t="s">
        <v>1285</v>
      </c>
      <c r="BM211" s="24"/>
      <c r="BN211" s="24"/>
      <c r="BO211" s="24"/>
      <c r="BP211" s="24"/>
      <c r="BQ211" s="24"/>
      <c r="BR211" s="24"/>
      <c r="BS211" s="217"/>
      <c r="BT211" s="217"/>
      <c r="BU211" s="217"/>
      <c r="BV211" s="206" t="s">
        <v>1282</v>
      </c>
      <c r="BW211">
        <v>4154</v>
      </c>
      <c r="BX211" s="23">
        <v>0</v>
      </c>
      <c r="BY211" s="364">
        <v>1.9999999999999962E-2</v>
      </c>
      <c r="BZ211" s="364">
        <v>4.0000000000000036E-2</v>
      </c>
      <c r="CA211" s="364">
        <v>4.9999999999999989E-2</v>
      </c>
      <c r="CB211" s="365">
        <v>0.41</v>
      </c>
      <c r="CC211" s="365">
        <v>0.33</v>
      </c>
      <c r="CD211" s="365">
        <v>0.27</v>
      </c>
      <c r="CE211" s="366"/>
      <c r="CF211" s="366"/>
      <c r="CG211" s="366"/>
      <c r="CH211" s="126"/>
      <c r="CI211" s="206" t="s">
        <v>1282</v>
      </c>
      <c r="CJ211">
        <v>4154</v>
      </c>
      <c r="CK211" s="23">
        <v>0</v>
      </c>
      <c r="CL211" s="364">
        <v>1.9999999999999962E-2</v>
      </c>
      <c r="CM211" s="364">
        <v>4.0000000000000036E-2</v>
      </c>
      <c r="CN211" s="364">
        <v>4.9999999999999989E-2</v>
      </c>
      <c r="CO211" s="367">
        <f t="shared" si="8"/>
        <v>0.42</v>
      </c>
      <c r="CP211" s="367">
        <f t="shared" si="9"/>
        <v>0.34</v>
      </c>
      <c r="CQ211" s="367">
        <f t="shared" si="10"/>
        <v>0.28000000000000003</v>
      </c>
      <c r="CR211" s="126">
        <v>2.9999999999999964E-2</v>
      </c>
      <c r="CS211" s="126">
        <v>5.0000000000000037E-2</v>
      </c>
      <c r="CT211" s="126">
        <v>5.9999999999999991E-2</v>
      </c>
      <c r="CU211" s="126"/>
      <c r="CV211" s="126"/>
      <c r="CW211" s="126"/>
    </row>
    <row r="212" spans="60:105" hidden="1">
      <c r="BH212" s="21"/>
      <c r="BI212" s="24"/>
      <c r="BJ212" s="21"/>
      <c r="BK212" s="660">
        <v>718</v>
      </c>
      <c r="BL212" s="43" t="s">
        <v>1345</v>
      </c>
      <c r="BM212" s="24"/>
      <c r="BN212" s="24"/>
      <c r="BO212" s="24"/>
      <c r="BP212" s="24"/>
      <c r="BQ212" s="24"/>
      <c r="BR212" s="24"/>
      <c r="BS212" s="217"/>
      <c r="BT212" s="217"/>
      <c r="BU212" s="217"/>
      <c r="BV212" s="206" t="s">
        <v>1300</v>
      </c>
      <c r="BW212">
        <v>4155</v>
      </c>
      <c r="BX212" s="23">
        <v>0</v>
      </c>
      <c r="BY212" s="364">
        <v>1.9999999999999962E-2</v>
      </c>
      <c r="BZ212" s="364">
        <v>4.0000000000000036E-2</v>
      </c>
      <c r="CA212" s="364">
        <v>4.9999999999999989E-2</v>
      </c>
      <c r="CB212" s="365">
        <v>0.41</v>
      </c>
      <c r="CC212" s="365">
        <v>0.33</v>
      </c>
      <c r="CD212" s="365">
        <v>0.27</v>
      </c>
      <c r="CE212" s="366"/>
      <c r="CF212" s="366"/>
      <c r="CG212" s="366"/>
      <c r="CH212" s="126"/>
      <c r="CI212" s="206" t="s">
        <v>1300</v>
      </c>
      <c r="CJ212">
        <v>4155</v>
      </c>
      <c r="CK212" s="23">
        <v>0</v>
      </c>
      <c r="CL212" s="364">
        <v>1.9999999999999962E-2</v>
      </c>
      <c r="CM212" s="364">
        <v>4.0000000000000036E-2</v>
      </c>
      <c r="CN212" s="364">
        <v>4.9999999999999989E-2</v>
      </c>
      <c r="CO212" s="367">
        <f t="shared" si="8"/>
        <v>0.42</v>
      </c>
      <c r="CP212" s="367">
        <f t="shared" si="9"/>
        <v>0.34</v>
      </c>
      <c r="CQ212" s="367">
        <f t="shared" si="10"/>
        <v>0.28000000000000003</v>
      </c>
      <c r="CR212" s="126">
        <v>2.9999999999999964E-2</v>
      </c>
      <c r="CS212" s="126">
        <v>5.0000000000000037E-2</v>
      </c>
      <c r="CT212" s="126">
        <v>5.9999999999999991E-2</v>
      </c>
      <c r="CU212" s="126"/>
      <c r="CV212" s="126"/>
      <c r="CW212" s="126"/>
    </row>
    <row r="213" spans="60:105" hidden="1">
      <c r="BH213" s="21"/>
      <c r="BI213" s="24"/>
      <c r="BJ213" s="21"/>
      <c r="BK213" s="660"/>
      <c r="BL213" s="43" t="s">
        <v>1346</v>
      </c>
      <c r="BM213" s="24"/>
      <c r="BN213" s="24"/>
      <c r="BO213" s="24"/>
      <c r="BP213" s="24"/>
      <c r="BQ213" s="24"/>
      <c r="BR213" s="24"/>
      <c r="BS213" s="217"/>
      <c r="BT213" s="217"/>
      <c r="BU213" s="217"/>
      <c r="BV213" s="206" t="s">
        <v>1918</v>
      </c>
      <c r="BW213">
        <v>2336</v>
      </c>
      <c r="BX213" s="23">
        <v>0</v>
      </c>
      <c r="BY213" s="364">
        <v>0</v>
      </c>
      <c r="BZ213" s="364">
        <v>2.0000000000000018E-2</v>
      </c>
      <c r="CA213" s="364">
        <v>3.0000000000000027E-2</v>
      </c>
      <c r="CB213" s="365">
        <v>0.41</v>
      </c>
      <c r="CC213" s="365">
        <v>0.33</v>
      </c>
      <c r="CD213" s="365">
        <v>0.27</v>
      </c>
      <c r="CE213" s="366"/>
      <c r="CF213" s="366"/>
      <c r="CG213" s="366"/>
      <c r="CH213" s="126"/>
      <c r="CI213" s="206" t="s">
        <v>1918</v>
      </c>
      <c r="CJ213">
        <v>2336</v>
      </c>
      <c r="CK213" s="23">
        <v>0</v>
      </c>
      <c r="CL213" s="364">
        <v>0</v>
      </c>
      <c r="CM213" s="364">
        <v>2.0000000000000018E-2</v>
      </c>
      <c r="CN213" s="364">
        <v>3.0000000000000027E-2</v>
      </c>
      <c r="CO213" s="367">
        <f t="shared" si="8"/>
        <v>0.42</v>
      </c>
      <c r="CP213" s="367">
        <f t="shared" si="9"/>
        <v>0.34</v>
      </c>
      <c r="CQ213" s="367">
        <f t="shared" si="10"/>
        <v>0.28000000000000003</v>
      </c>
      <c r="CR213" s="126">
        <v>5.0000000000000037E-2</v>
      </c>
      <c r="CS213" s="126">
        <v>6.9999999999999993E-2</v>
      </c>
      <c r="CT213" s="126">
        <v>0.08</v>
      </c>
      <c r="CU213" s="126"/>
      <c r="CV213" s="126"/>
      <c r="CW213" s="126"/>
    </row>
    <row r="214" spans="60:105" hidden="1">
      <c r="BH214" s="21"/>
      <c r="BI214" s="24"/>
      <c r="BJ214" s="21"/>
      <c r="BK214" s="660"/>
      <c r="BL214" s="43" t="s">
        <v>1347</v>
      </c>
      <c r="BM214" s="24"/>
      <c r="BN214" s="24"/>
      <c r="BO214" s="24"/>
      <c r="BP214" s="24"/>
      <c r="BQ214" s="24"/>
      <c r="BR214" s="24"/>
      <c r="BS214" s="217"/>
      <c r="BT214" s="217"/>
      <c r="BU214" s="217"/>
      <c r="BV214" s="206" t="s">
        <v>1263</v>
      </c>
      <c r="BW214">
        <v>3714</v>
      </c>
      <c r="BX214" s="23">
        <v>0</v>
      </c>
      <c r="BY214" s="364">
        <v>4.9999999999999933E-2</v>
      </c>
      <c r="BZ214" s="364">
        <v>7.0000000000000007E-2</v>
      </c>
      <c r="CA214" s="364">
        <v>8.0000000000000016E-2</v>
      </c>
      <c r="CB214" s="365">
        <v>0.52</v>
      </c>
      <c r="CC214" s="365">
        <v>0.44</v>
      </c>
      <c r="CD214" s="365">
        <v>0.38</v>
      </c>
      <c r="CE214" s="366"/>
      <c r="CF214" s="366"/>
      <c r="CG214" s="366"/>
      <c r="CH214" s="126"/>
      <c r="CI214" s="206" t="s">
        <v>1263</v>
      </c>
      <c r="CJ214">
        <v>3714</v>
      </c>
      <c r="CK214" s="23">
        <v>0</v>
      </c>
      <c r="CL214" s="364">
        <v>4.9999999999999933E-2</v>
      </c>
      <c r="CM214" s="364">
        <v>7.0000000000000007E-2</v>
      </c>
      <c r="CN214" s="364">
        <v>8.0000000000000016E-2</v>
      </c>
      <c r="CO214" s="367">
        <f t="shared" si="8"/>
        <v>0.53</v>
      </c>
      <c r="CP214" s="367">
        <f t="shared" si="9"/>
        <v>0.45</v>
      </c>
      <c r="CQ214" s="367">
        <f t="shared" si="10"/>
        <v>0.39</v>
      </c>
      <c r="CR214" s="126">
        <v>5.9999999999999935E-2</v>
      </c>
      <c r="CS214" s="126">
        <v>0.08</v>
      </c>
      <c r="CT214" s="126">
        <v>9.0000000000000011E-2</v>
      </c>
      <c r="CU214" s="126"/>
      <c r="CV214" s="126"/>
      <c r="CW214" s="126"/>
    </row>
    <row r="215" spans="60:105" hidden="1">
      <c r="BH215" s="21"/>
      <c r="BI215" s="24"/>
      <c r="BJ215" s="21"/>
      <c r="BK215" s="660"/>
      <c r="BL215" s="68" t="s">
        <v>1348</v>
      </c>
      <c r="BM215" s="24"/>
      <c r="BN215" s="24"/>
      <c r="BO215" s="24"/>
      <c r="BP215" s="24"/>
      <c r="BQ215" s="24"/>
      <c r="BR215" s="24"/>
      <c r="BS215" s="217"/>
      <c r="BT215" s="217"/>
      <c r="BU215" s="217"/>
      <c r="BV215" s="210" t="s">
        <v>131</v>
      </c>
      <c r="BW215" s="218">
        <v>3357</v>
      </c>
      <c r="BX215" s="23">
        <v>0</v>
      </c>
      <c r="BY215" s="364">
        <v>0.03</v>
      </c>
      <c r="BZ215" s="364">
        <v>7.0000000000000007E-2</v>
      </c>
      <c r="CA215" s="364">
        <v>8.0000000000000016E-2</v>
      </c>
      <c r="CB215" s="365">
        <v>0.52</v>
      </c>
      <c r="CC215" s="365">
        <v>0.44</v>
      </c>
      <c r="CD215" s="365">
        <v>0.38</v>
      </c>
      <c r="CE215" s="366"/>
      <c r="CF215" s="366"/>
      <c r="CG215" s="366"/>
      <c r="CH215" s="126"/>
      <c r="CI215" s="210" t="s">
        <v>131</v>
      </c>
      <c r="CJ215" s="218">
        <v>3357</v>
      </c>
      <c r="CK215" s="23">
        <v>0</v>
      </c>
      <c r="CL215" s="364">
        <v>4.9999999999999933E-2</v>
      </c>
      <c r="CM215" s="364">
        <v>7.0000000000000007E-2</v>
      </c>
      <c r="CN215" s="364">
        <v>8.0000000000000016E-2</v>
      </c>
      <c r="CO215" s="367">
        <f t="shared" si="8"/>
        <v>0.53</v>
      </c>
      <c r="CP215" s="367">
        <f t="shared" si="9"/>
        <v>0.45</v>
      </c>
      <c r="CQ215" s="367">
        <f t="shared" si="10"/>
        <v>0.39</v>
      </c>
      <c r="CR215" s="126">
        <v>5.9999999999999935E-2</v>
      </c>
      <c r="CS215" s="126">
        <v>0.08</v>
      </c>
      <c r="CT215" s="126">
        <v>9.0000000000000011E-2</v>
      </c>
      <c r="CU215" s="126"/>
      <c r="CV215" s="126"/>
      <c r="CW215" s="126"/>
    </row>
    <row r="216" spans="60:105" hidden="1">
      <c r="BH216" s="24"/>
      <c r="BK216" s="660"/>
      <c r="BL216" s="68" t="s">
        <v>1349</v>
      </c>
      <c r="BM216" s="24"/>
      <c r="BN216" s="24"/>
      <c r="BO216" s="24"/>
      <c r="BP216" s="24"/>
      <c r="BQ216" s="24"/>
      <c r="BR216" s="24"/>
      <c r="BS216" s="217"/>
      <c r="BT216" s="217"/>
      <c r="BU216" s="217"/>
      <c r="BV216" s="206" t="s">
        <v>1241</v>
      </c>
      <c r="BW216">
        <v>3356</v>
      </c>
      <c r="BX216" s="23">
        <v>0</v>
      </c>
      <c r="BY216" s="364">
        <v>4.9999999999999933E-2</v>
      </c>
      <c r="BZ216" s="364">
        <v>7.0000000000000007E-2</v>
      </c>
      <c r="CA216" s="364">
        <v>8.0000000000000016E-2</v>
      </c>
      <c r="CB216" s="365">
        <v>0.52</v>
      </c>
      <c r="CC216" s="365">
        <v>0.44</v>
      </c>
      <c r="CD216" s="365">
        <v>0.38</v>
      </c>
      <c r="CE216" s="366"/>
      <c r="CF216" s="366"/>
      <c r="CG216" s="366"/>
      <c r="CH216" s="126"/>
      <c r="CI216" s="206" t="s">
        <v>1241</v>
      </c>
      <c r="CJ216">
        <v>3356</v>
      </c>
      <c r="CK216" s="23">
        <v>0</v>
      </c>
      <c r="CL216" s="364">
        <v>4.9999999999999933E-2</v>
      </c>
      <c r="CM216" s="364">
        <v>7.0000000000000007E-2</v>
      </c>
      <c r="CN216" s="364">
        <v>8.0000000000000016E-2</v>
      </c>
      <c r="CO216" s="367">
        <f t="shared" si="8"/>
        <v>0.53</v>
      </c>
      <c r="CP216" s="367">
        <f t="shared" si="9"/>
        <v>0.45</v>
      </c>
      <c r="CQ216" s="367">
        <f t="shared" si="10"/>
        <v>0.39</v>
      </c>
      <c r="CR216" s="126">
        <v>5.9999999999999935E-2</v>
      </c>
      <c r="CS216" s="126">
        <v>0.08</v>
      </c>
      <c r="CT216" s="126">
        <v>9.0000000000000011E-2</v>
      </c>
      <c r="CU216" s="126"/>
      <c r="CV216" s="126"/>
      <c r="CW216" s="126"/>
    </row>
    <row r="217" spans="60:105" hidden="1">
      <c r="BK217" s="879" t="s">
        <v>2071</v>
      </c>
      <c r="BL217" s="68" t="s">
        <v>100</v>
      </c>
      <c r="BS217" s="217"/>
      <c r="BT217" s="217"/>
      <c r="BU217" s="217"/>
      <c r="BV217" s="206" t="s">
        <v>1396</v>
      </c>
      <c r="BW217">
        <v>1746</v>
      </c>
      <c r="BX217" s="23">
        <v>0</v>
      </c>
      <c r="BY217" s="364">
        <v>4.9999999999999933E-2</v>
      </c>
      <c r="BZ217" s="364">
        <v>7.0000000000000007E-2</v>
      </c>
      <c r="CA217" s="364">
        <v>8.0000000000000016E-2</v>
      </c>
      <c r="CB217" s="365">
        <v>0.53</v>
      </c>
      <c r="CC217" s="365">
        <v>0.45</v>
      </c>
      <c r="CD217" s="365">
        <v>0.39</v>
      </c>
      <c r="CE217" s="366"/>
      <c r="CF217" s="366"/>
      <c r="CG217" s="366"/>
      <c r="CH217" s="126"/>
      <c r="CI217" s="206" t="s">
        <v>1396</v>
      </c>
      <c r="CJ217">
        <v>1746</v>
      </c>
      <c r="CK217" s="23">
        <v>0</v>
      </c>
      <c r="CL217" s="364">
        <v>4.9999999999999933E-2</v>
      </c>
      <c r="CM217" s="364">
        <v>7.0000000000000007E-2</v>
      </c>
      <c r="CN217" s="364">
        <v>8.0000000000000016E-2</v>
      </c>
      <c r="CO217" s="367">
        <f t="shared" si="8"/>
        <v>0.54</v>
      </c>
      <c r="CP217" s="367">
        <f t="shared" si="9"/>
        <v>0.46</v>
      </c>
      <c r="CQ217" s="367">
        <f t="shared" si="10"/>
        <v>0.4</v>
      </c>
      <c r="CR217" s="126">
        <v>5.9999999999999935E-2</v>
      </c>
      <c r="CS217" s="126">
        <v>0.08</v>
      </c>
      <c r="CT217" s="126">
        <v>9.0000000000000011E-2</v>
      </c>
      <c r="CU217" s="126"/>
      <c r="CV217" s="126"/>
      <c r="CW217" s="126"/>
    </row>
    <row r="218" spans="60:105" hidden="1">
      <c r="BK218" s="879"/>
      <c r="BL218" s="68" t="s">
        <v>101</v>
      </c>
      <c r="BS218" s="217"/>
      <c r="BT218" s="217"/>
      <c r="BU218" s="217"/>
      <c r="BV218" s="206" t="s">
        <v>1274</v>
      </c>
      <c r="BW218">
        <v>4095</v>
      </c>
      <c r="BX218" s="23">
        <v>0</v>
      </c>
      <c r="BY218" s="364">
        <v>7.999999999999996E-2</v>
      </c>
      <c r="BZ218" s="364">
        <v>0.10000000000000003</v>
      </c>
      <c r="CA218" s="364">
        <v>0.10999999999999999</v>
      </c>
      <c r="CB218" s="365">
        <v>0.53</v>
      </c>
      <c r="CC218" s="365">
        <v>0.45</v>
      </c>
      <c r="CD218" s="365">
        <v>0.39</v>
      </c>
      <c r="CE218" s="366"/>
      <c r="CF218" s="366"/>
      <c r="CG218" s="366"/>
      <c r="CH218" s="126"/>
      <c r="CI218" s="206" t="s">
        <v>1274</v>
      </c>
      <c r="CJ218">
        <v>4095</v>
      </c>
      <c r="CK218" s="23">
        <v>0</v>
      </c>
      <c r="CL218" s="364">
        <v>7.999999999999996E-2</v>
      </c>
      <c r="CM218" s="364">
        <v>0.10000000000000003</v>
      </c>
      <c r="CN218" s="364">
        <v>0.10999999999999999</v>
      </c>
      <c r="CO218" s="367">
        <f t="shared" si="8"/>
        <v>0.54</v>
      </c>
      <c r="CP218" s="367">
        <f t="shared" si="9"/>
        <v>0.46</v>
      </c>
      <c r="CQ218" s="367">
        <f t="shared" si="10"/>
        <v>0.4</v>
      </c>
      <c r="CR218" s="126">
        <v>8.9999999999999955E-2</v>
      </c>
      <c r="CS218" s="126">
        <v>0.11000000000000003</v>
      </c>
      <c r="CT218" s="126">
        <v>0.11999999999999998</v>
      </c>
      <c r="CU218" s="126"/>
      <c r="CV218" s="126"/>
      <c r="CW218" s="126"/>
    </row>
    <row r="219" spans="60:105" hidden="1">
      <c r="BK219" s="879"/>
      <c r="BL219" s="68" t="s">
        <v>99</v>
      </c>
      <c r="BM219" s="200"/>
      <c r="BS219" s="217"/>
      <c r="BT219" s="217"/>
      <c r="BU219" s="217"/>
      <c r="BV219" s="212" t="s">
        <v>1275</v>
      </c>
      <c r="BW219" s="211">
        <v>4096</v>
      </c>
      <c r="BX219" s="23">
        <v>0</v>
      </c>
      <c r="BY219" s="364">
        <v>7.999999999999996E-2</v>
      </c>
      <c r="BZ219" s="364">
        <v>0.10000000000000003</v>
      </c>
      <c r="CA219" s="364">
        <v>0.10999999999999999</v>
      </c>
      <c r="CB219" s="365">
        <v>0.53</v>
      </c>
      <c r="CC219" s="365">
        <v>0.45</v>
      </c>
      <c r="CD219" s="365">
        <v>0.39</v>
      </c>
      <c r="CE219" s="366"/>
      <c r="CF219" s="366"/>
      <c r="CG219" s="366"/>
      <c r="CI219" s="212" t="s">
        <v>1275</v>
      </c>
      <c r="CJ219" s="211">
        <v>4096</v>
      </c>
      <c r="CK219" s="23">
        <v>0</v>
      </c>
      <c r="CL219" s="364">
        <v>7.999999999999996E-2</v>
      </c>
      <c r="CM219" s="364">
        <v>0.10000000000000003</v>
      </c>
      <c r="CN219" s="364">
        <v>0.10999999999999999</v>
      </c>
      <c r="CO219" s="367">
        <f t="shared" si="8"/>
        <v>0.54</v>
      </c>
      <c r="CP219" s="367">
        <f t="shared" si="9"/>
        <v>0.46</v>
      </c>
      <c r="CQ219" s="367">
        <f t="shared" si="10"/>
        <v>0.4</v>
      </c>
      <c r="CR219" s="24">
        <v>8.9999999999999955E-2</v>
      </c>
      <c r="CS219" s="126">
        <v>0.11000000000000003</v>
      </c>
      <c r="CT219" s="126">
        <v>0.11999999999999998</v>
      </c>
      <c r="CU219" s="126"/>
      <c r="CV219" s="126"/>
      <c r="CW219" s="126"/>
    </row>
    <row r="220" spans="60:105" hidden="1">
      <c r="BK220" s="658" t="s">
        <v>2774</v>
      </c>
      <c r="BL220" s="277" t="s">
        <v>1327</v>
      </c>
      <c r="BM220" s="201"/>
      <c r="BS220" s="217"/>
      <c r="BT220" s="217"/>
      <c r="BU220" s="217"/>
      <c r="BV220" t="s">
        <v>1411</v>
      </c>
      <c r="BW220">
        <v>4658</v>
      </c>
      <c r="BX220" s="23">
        <v>0</v>
      </c>
      <c r="BY220" s="364">
        <v>8.9999999999999969E-2</v>
      </c>
      <c r="BZ220" s="364">
        <v>0.10999999999999999</v>
      </c>
      <c r="CA220" s="364">
        <v>0.12</v>
      </c>
      <c r="CB220" s="365">
        <v>0.53</v>
      </c>
      <c r="CC220" s="365">
        <v>0.45</v>
      </c>
      <c r="CD220" s="365">
        <v>0.39</v>
      </c>
      <c r="CE220" s="366"/>
      <c r="CF220" s="366"/>
      <c r="CG220" s="366"/>
      <c r="CH220" s="24"/>
      <c r="CI220" t="s">
        <v>1411</v>
      </c>
      <c r="CJ220">
        <v>4658</v>
      </c>
      <c r="CK220" s="23">
        <v>0</v>
      </c>
      <c r="CL220" s="364">
        <v>8.9999999999999969E-2</v>
      </c>
      <c r="CM220" s="364">
        <v>0.10999999999999999</v>
      </c>
      <c r="CN220" s="364">
        <v>0.12</v>
      </c>
      <c r="CO220" s="367">
        <f t="shared" si="8"/>
        <v>0.54</v>
      </c>
      <c r="CP220" s="367">
        <f t="shared" si="9"/>
        <v>0.46</v>
      </c>
      <c r="CQ220" s="367">
        <f t="shared" si="10"/>
        <v>0.4</v>
      </c>
      <c r="CR220" s="24">
        <v>9.9999999999999964E-2</v>
      </c>
      <c r="CS220" s="126">
        <v>0.11999999999999998</v>
      </c>
      <c r="CT220" s="126">
        <v>0.13</v>
      </c>
      <c r="CU220" s="126"/>
      <c r="CV220" s="126"/>
      <c r="CW220" s="126"/>
    </row>
    <row r="221" spans="60:105" hidden="1">
      <c r="BK221" s="658"/>
      <c r="BL221" s="277" t="s">
        <v>1328</v>
      </c>
      <c r="BS221" s="217"/>
      <c r="BT221" s="217"/>
      <c r="BU221" s="217"/>
      <c r="BV221" t="s">
        <v>1412</v>
      </c>
      <c r="BW221">
        <v>4659</v>
      </c>
      <c r="BX221" s="23">
        <v>0</v>
      </c>
      <c r="BY221" s="364">
        <v>8.0000000000000071E-2</v>
      </c>
      <c r="BZ221" s="364">
        <v>9.9999999999999978E-2</v>
      </c>
      <c r="CA221" s="364">
        <v>0.10999999999999999</v>
      </c>
      <c r="CB221" s="365">
        <v>0.49000000000000005</v>
      </c>
      <c r="CC221" s="365">
        <v>0.41</v>
      </c>
      <c r="CD221" s="365">
        <v>0.35</v>
      </c>
      <c r="CE221" s="366"/>
      <c r="CF221" s="366"/>
      <c r="CG221" s="366"/>
      <c r="CH221" s="24"/>
      <c r="CI221" t="s">
        <v>1412</v>
      </c>
      <c r="CJ221">
        <v>4659</v>
      </c>
      <c r="CK221" s="23">
        <v>0</v>
      </c>
      <c r="CL221" s="364">
        <v>8.0000000000000071E-2</v>
      </c>
      <c r="CM221" s="364">
        <v>9.9999999999999978E-2</v>
      </c>
      <c r="CN221" s="364">
        <v>0.10999999999999999</v>
      </c>
      <c r="CO221" s="367">
        <f t="shared" si="8"/>
        <v>0.5</v>
      </c>
      <c r="CP221" s="367">
        <f t="shared" si="9"/>
        <v>0.42</v>
      </c>
      <c r="CQ221" s="367">
        <f t="shared" si="10"/>
        <v>0.36</v>
      </c>
      <c r="CR221" s="24">
        <v>9.0000000000000066E-2</v>
      </c>
      <c r="CS221" s="126">
        <v>0.10999999999999997</v>
      </c>
      <c r="CT221" s="126">
        <v>0.11999999999999998</v>
      </c>
      <c r="CU221" s="126"/>
      <c r="CV221" s="126"/>
      <c r="CW221" s="126"/>
    </row>
    <row r="222" spans="60:105" hidden="1">
      <c r="BK222" s="658"/>
      <c r="BL222" s="277" t="s">
        <v>1329</v>
      </c>
      <c r="BS222" s="217"/>
      <c r="BT222" s="217"/>
      <c r="BU222" s="217"/>
      <c r="BV222" t="s">
        <v>1413</v>
      </c>
      <c r="BW222">
        <v>4660</v>
      </c>
      <c r="BX222" s="23">
        <v>0</v>
      </c>
      <c r="BY222" s="364">
        <v>8.0000000000000071E-2</v>
      </c>
      <c r="BZ222" s="364">
        <v>9.9999999999999978E-2</v>
      </c>
      <c r="CA222" s="364">
        <v>0.10999999999999999</v>
      </c>
      <c r="CB222" s="365">
        <v>0.49000000000000005</v>
      </c>
      <c r="CC222" s="365">
        <v>0.41</v>
      </c>
      <c r="CD222" s="365">
        <v>0.35</v>
      </c>
      <c r="CE222" s="366"/>
      <c r="CF222" s="366"/>
      <c r="CG222" s="366"/>
      <c r="CH222" s="24"/>
      <c r="CI222" t="s">
        <v>1413</v>
      </c>
      <c r="CJ222">
        <v>4660</v>
      </c>
      <c r="CK222" s="23">
        <v>0</v>
      </c>
      <c r="CL222" s="364">
        <v>8.0000000000000071E-2</v>
      </c>
      <c r="CM222" s="364">
        <v>9.9999999999999978E-2</v>
      </c>
      <c r="CN222" s="364">
        <v>0.10999999999999999</v>
      </c>
      <c r="CO222" s="367">
        <f t="shared" si="8"/>
        <v>0.5</v>
      </c>
      <c r="CP222" s="367">
        <f t="shared" si="9"/>
        <v>0.42</v>
      </c>
      <c r="CQ222" s="367">
        <f t="shared" si="10"/>
        <v>0.36</v>
      </c>
      <c r="CR222" s="24">
        <v>9.0000000000000066E-2</v>
      </c>
      <c r="CS222" s="126">
        <v>0.10999999999999997</v>
      </c>
      <c r="CT222" s="126">
        <v>0.11999999999999998</v>
      </c>
      <c r="CU222" s="126"/>
      <c r="CV222" s="126"/>
      <c r="CW222" s="126"/>
    </row>
    <row r="223" spans="60:105" hidden="1">
      <c r="BK223" s="658"/>
      <c r="BL223" s="277" t="s">
        <v>1330</v>
      </c>
      <c r="BS223" s="217"/>
      <c r="BT223" s="217"/>
      <c r="BU223" s="217"/>
      <c r="BV223" s="206" t="s">
        <v>129</v>
      </c>
      <c r="BW223">
        <v>3040</v>
      </c>
      <c r="BX223" s="23">
        <v>0</v>
      </c>
      <c r="BY223" s="364">
        <v>0.04</v>
      </c>
      <c r="BZ223" s="364">
        <v>0.06</v>
      </c>
      <c r="CA223" s="364">
        <v>7.0000000000000007E-2</v>
      </c>
      <c r="CB223" s="365">
        <v>0.55000000000000004</v>
      </c>
      <c r="CC223" s="365">
        <v>0.47000000000000003</v>
      </c>
      <c r="CD223" s="365">
        <v>0.41</v>
      </c>
      <c r="CE223" s="366"/>
      <c r="CF223" s="366"/>
      <c r="CG223" s="366"/>
      <c r="CH223" s="24"/>
      <c r="CI223" s="206" t="s">
        <v>129</v>
      </c>
      <c r="CJ223">
        <v>3040</v>
      </c>
      <c r="CK223" s="23">
        <v>0</v>
      </c>
      <c r="CL223" s="364">
        <v>0.04</v>
      </c>
      <c r="CM223" s="364">
        <v>0.06</v>
      </c>
      <c r="CN223" s="364">
        <v>7.0000000000000007E-2</v>
      </c>
      <c r="CO223" s="367">
        <f t="shared" si="8"/>
        <v>0.56000000000000005</v>
      </c>
      <c r="CP223" s="367">
        <f t="shared" si="9"/>
        <v>0.48000000000000004</v>
      </c>
      <c r="CQ223" s="367">
        <f t="shared" si="10"/>
        <v>0.42</v>
      </c>
      <c r="CR223" s="24">
        <v>5.9999999999999935E-2</v>
      </c>
      <c r="CS223" s="126">
        <v>0.08</v>
      </c>
      <c r="CT223" s="126">
        <v>8.9999999999999955E-2</v>
      </c>
      <c r="CU223" s="126"/>
      <c r="CV223" s="126"/>
      <c r="CW223" s="126"/>
    </row>
    <row r="224" spans="60:105" hidden="1">
      <c r="BK224" s="658"/>
      <c r="BL224" s="277" t="s">
        <v>2786</v>
      </c>
      <c r="BS224" s="217"/>
      <c r="BT224" s="217"/>
      <c r="BU224" s="217"/>
      <c r="BV224" s="203" t="s">
        <v>128</v>
      </c>
      <c r="BW224" s="202">
        <v>3041</v>
      </c>
      <c r="BX224" s="23">
        <v>0</v>
      </c>
      <c r="BY224" s="364">
        <v>4.9999999999999933E-2</v>
      </c>
      <c r="BZ224" s="364">
        <v>7.0000000000000007E-2</v>
      </c>
      <c r="CA224" s="364">
        <v>7.999999999999996E-2</v>
      </c>
      <c r="CB224" s="365">
        <v>0.55000000000000004</v>
      </c>
      <c r="CC224" s="365">
        <v>0.47000000000000003</v>
      </c>
      <c r="CD224" s="365">
        <v>0.41</v>
      </c>
      <c r="CE224" s="366"/>
      <c r="CF224" s="366"/>
      <c r="CG224" s="366"/>
      <c r="CH224" s="24"/>
      <c r="CI224" s="203" t="s">
        <v>128</v>
      </c>
      <c r="CJ224" s="202">
        <v>3041</v>
      </c>
      <c r="CK224" s="23">
        <v>0</v>
      </c>
      <c r="CL224" s="364">
        <v>4.9999999999999933E-2</v>
      </c>
      <c r="CM224" s="364">
        <v>7.0000000000000007E-2</v>
      </c>
      <c r="CN224" s="364">
        <v>7.999999999999996E-2</v>
      </c>
      <c r="CO224" s="367">
        <f t="shared" si="8"/>
        <v>0.56000000000000005</v>
      </c>
      <c r="CP224" s="367">
        <f t="shared" si="9"/>
        <v>0.48000000000000004</v>
      </c>
      <c r="CQ224" s="367">
        <f t="shared" si="10"/>
        <v>0.42</v>
      </c>
      <c r="CR224" s="24">
        <v>5.9999999999999935E-2</v>
      </c>
      <c r="CS224" s="126">
        <v>0.08</v>
      </c>
      <c r="CT224" s="126">
        <v>8.9999999999999955E-2</v>
      </c>
      <c r="CU224" s="126"/>
      <c r="CV224" s="126"/>
      <c r="CW224" s="126"/>
    </row>
    <row r="225" spans="63:101" hidden="1">
      <c r="BK225" s="658"/>
      <c r="BL225" s="277" t="s">
        <v>1331</v>
      </c>
      <c r="BS225" s="217"/>
      <c r="BT225" s="217"/>
      <c r="BU225" s="217"/>
      <c r="BV225" s="206" t="s">
        <v>1221</v>
      </c>
      <c r="BW225">
        <v>3343</v>
      </c>
      <c r="BX225" s="23">
        <v>0</v>
      </c>
      <c r="BY225" s="364">
        <v>4.9999999999999933E-2</v>
      </c>
      <c r="BZ225" s="364">
        <v>7.0000000000000007E-2</v>
      </c>
      <c r="CA225" s="364">
        <v>7.999999999999996E-2</v>
      </c>
      <c r="CB225" s="365">
        <v>0.55000000000000004</v>
      </c>
      <c r="CC225" s="365">
        <v>0.47000000000000003</v>
      </c>
      <c r="CD225" s="365">
        <v>0.41</v>
      </c>
      <c r="CE225" s="366"/>
      <c r="CF225" s="366"/>
      <c r="CG225" s="366"/>
      <c r="CH225" s="24"/>
      <c r="CI225" s="206" t="s">
        <v>1221</v>
      </c>
      <c r="CJ225">
        <v>3343</v>
      </c>
      <c r="CK225" s="23">
        <v>0</v>
      </c>
      <c r="CL225" s="364">
        <v>4.9999999999999933E-2</v>
      </c>
      <c r="CM225" s="364">
        <v>7.0000000000000007E-2</v>
      </c>
      <c r="CN225" s="364">
        <v>7.999999999999996E-2</v>
      </c>
      <c r="CO225" s="367">
        <f t="shared" si="8"/>
        <v>0.56000000000000005</v>
      </c>
      <c r="CP225" s="367">
        <f t="shared" si="9"/>
        <v>0.48000000000000004</v>
      </c>
      <c r="CQ225" s="367">
        <f t="shared" si="10"/>
        <v>0.42</v>
      </c>
      <c r="CR225" s="24">
        <v>5.9999999999999935E-2</v>
      </c>
      <c r="CS225" s="126">
        <v>0.08</v>
      </c>
      <c r="CT225" s="126">
        <v>8.9999999999999955E-2</v>
      </c>
      <c r="CU225" s="126"/>
      <c r="CV225" s="126"/>
      <c r="CW225" s="126"/>
    </row>
    <row r="226" spans="63:101" hidden="1">
      <c r="BK226" s="658"/>
      <c r="BL226" s="277" t="s">
        <v>1403</v>
      </c>
      <c r="BS226" s="217"/>
      <c r="BT226" s="217"/>
      <c r="BU226" s="217"/>
      <c r="BV226" s="206" t="s">
        <v>1439</v>
      </c>
      <c r="BW226">
        <v>4749</v>
      </c>
      <c r="BX226" s="23">
        <v>0</v>
      </c>
      <c r="BY226" s="364">
        <v>4.0000000000000036E-2</v>
      </c>
      <c r="BZ226" s="364">
        <v>6.0000000000000053E-2</v>
      </c>
      <c r="CA226" s="364">
        <v>6.9999999999999951E-2</v>
      </c>
      <c r="CB226" s="365">
        <v>0.55000000000000004</v>
      </c>
      <c r="CC226" s="365">
        <v>0.47000000000000003</v>
      </c>
      <c r="CD226" s="365">
        <v>0.41</v>
      </c>
      <c r="CE226" s="366"/>
      <c r="CF226" s="366"/>
      <c r="CG226" s="366"/>
      <c r="CH226" s="24"/>
      <c r="CI226" s="206" t="s">
        <v>1439</v>
      </c>
      <c r="CJ226">
        <v>4749</v>
      </c>
      <c r="CK226" s="23">
        <v>0</v>
      </c>
      <c r="CL226" s="364">
        <v>4.0000000000000036E-2</v>
      </c>
      <c r="CM226" s="364">
        <v>6.0000000000000053E-2</v>
      </c>
      <c r="CN226" s="364">
        <v>6.9999999999999951E-2</v>
      </c>
      <c r="CO226" s="367">
        <f t="shared" si="8"/>
        <v>0.56000000000000005</v>
      </c>
      <c r="CP226" s="367">
        <f t="shared" si="9"/>
        <v>0.48000000000000004</v>
      </c>
      <c r="CQ226" s="367">
        <f t="shared" si="10"/>
        <v>0.42</v>
      </c>
      <c r="CR226" s="24">
        <v>5.0000000000000037E-2</v>
      </c>
      <c r="CS226" s="126">
        <v>7.0000000000000048E-2</v>
      </c>
      <c r="CT226" s="126">
        <v>7.9999999999999946E-2</v>
      </c>
      <c r="CU226" s="126"/>
      <c r="CV226" s="126"/>
      <c r="CW226" s="126"/>
    </row>
    <row r="227" spans="63:101" hidden="1">
      <c r="BK227" s="658"/>
      <c r="BL227" s="277" t="s">
        <v>1404</v>
      </c>
      <c r="BS227" s="217"/>
      <c r="BT227" s="217"/>
      <c r="BU227" s="217"/>
      <c r="BV227" s="206" t="s">
        <v>127</v>
      </c>
      <c r="BW227">
        <v>3044</v>
      </c>
      <c r="BX227" s="23">
        <v>0</v>
      </c>
      <c r="BY227" s="364">
        <v>7.999999999999996E-2</v>
      </c>
      <c r="BZ227" s="364">
        <v>0.10000000000000003</v>
      </c>
      <c r="CA227" s="364">
        <v>7.0000000000000007E-2</v>
      </c>
      <c r="CB227" s="365">
        <v>0.55000000000000004</v>
      </c>
      <c r="CC227" s="365">
        <v>0.47000000000000003</v>
      </c>
      <c r="CD227" s="365">
        <v>0.37</v>
      </c>
      <c r="CE227" s="366"/>
      <c r="CF227" s="366"/>
      <c r="CG227" s="366"/>
      <c r="CH227" s="24"/>
      <c r="CI227" s="206" t="s">
        <v>127</v>
      </c>
      <c r="CJ227">
        <v>3044</v>
      </c>
      <c r="CK227" s="23">
        <v>0</v>
      </c>
      <c r="CL227" s="364">
        <v>7.999999999999996E-2</v>
      </c>
      <c r="CM227" s="364">
        <v>0.10000000000000003</v>
      </c>
      <c r="CN227" s="364">
        <v>7.0000000000000007E-2</v>
      </c>
      <c r="CO227" s="367">
        <f t="shared" si="8"/>
        <v>0.56000000000000005</v>
      </c>
      <c r="CP227" s="367">
        <f t="shared" si="9"/>
        <v>0.48000000000000004</v>
      </c>
      <c r="CQ227" s="367">
        <f t="shared" si="10"/>
        <v>0.38</v>
      </c>
      <c r="CR227" s="24">
        <v>8.9999999999999955E-2</v>
      </c>
      <c r="CS227" s="126">
        <v>0.11000000000000003</v>
      </c>
      <c r="CT227" s="126">
        <v>0.08</v>
      </c>
      <c r="CU227" s="126"/>
      <c r="CV227" s="126"/>
      <c r="CW227" s="126"/>
    </row>
    <row r="228" spans="63:101" hidden="1">
      <c r="BK228" s="658"/>
      <c r="BL228" s="277" t="s">
        <v>1405</v>
      </c>
      <c r="BS228" s="217"/>
      <c r="BT228" s="217"/>
      <c r="BU228" s="217"/>
      <c r="BV228" s="206" t="s">
        <v>126</v>
      </c>
      <c r="BW228">
        <v>3045</v>
      </c>
      <c r="BX228" s="368">
        <v>6000000</v>
      </c>
      <c r="BY228" s="364">
        <v>7.999999999999996E-2</v>
      </c>
      <c r="BZ228" s="364">
        <v>0.10000000000000003</v>
      </c>
      <c r="CA228" s="364">
        <v>7.0000000000000007E-2</v>
      </c>
      <c r="CB228" s="365">
        <v>0.55000000000000004</v>
      </c>
      <c r="CC228" s="365">
        <v>0.47000000000000003</v>
      </c>
      <c r="CD228" s="365">
        <v>0.37</v>
      </c>
      <c r="CE228" s="366"/>
      <c r="CF228" s="366"/>
      <c r="CG228" s="366"/>
      <c r="CH228" s="24"/>
      <c r="CI228" s="206" t="s">
        <v>126</v>
      </c>
      <c r="CJ228">
        <v>3045</v>
      </c>
      <c r="CK228" s="368">
        <v>6000000</v>
      </c>
      <c r="CL228" s="364">
        <v>7.999999999999996E-2</v>
      </c>
      <c r="CM228" s="364">
        <v>0.10000000000000003</v>
      </c>
      <c r="CN228" s="364">
        <v>7.0000000000000007E-2</v>
      </c>
      <c r="CO228" s="367">
        <f t="shared" si="8"/>
        <v>0.56000000000000005</v>
      </c>
      <c r="CP228" s="367">
        <f t="shared" si="9"/>
        <v>0.48000000000000004</v>
      </c>
      <c r="CQ228" s="367">
        <f t="shared" si="10"/>
        <v>0.38</v>
      </c>
      <c r="CR228" s="24">
        <v>8.9999999999999955E-2</v>
      </c>
      <c r="CS228" s="126">
        <v>0.11000000000000003</v>
      </c>
      <c r="CT228" s="126">
        <v>0.08</v>
      </c>
      <c r="CU228" s="126"/>
      <c r="CV228" s="126"/>
      <c r="CW228" s="126"/>
    </row>
    <row r="229" spans="63:101" hidden="1">
      <c r="BK229" s="642" t="s">
        <v>2775</v>
      </c>
      <c r="BL229" s="277" t="s">
        <v>1252</v>
      </c>
      <c r="BS229" s="217"/>
      <c r="BT229" s="217"/>
      <c r="BU229" s="217"/>
      <c r="BV229" s="206" t="s">
        <v>1222</v>
      </c>
      <c r="BW229">
        <v>3570</v>
      </c>
      <c r="BX229" s="23">
        <v>0</v>
      </c>
      <c r="BY229" s="364">
        <v>7.999999999999996E-2</v>
      </c>
      <c r="BZ229" s="364">
        <v>0.10000000000000003</v>
      </c>
      <c r="CA229" s="364">
        <v>7.0000000000000007E-2</v>
      </c>
      <c r="CB229" s="365">
        <v>0.55000000000000004</v>
      </c>
      <c r="CC229" s="365">
        <v>0.47000000000000003</v>
      </c>
      <c r="CD229" s="365">
        <v>0.37</v>
      </c>
      <c r="CE229" s="366"/>
      <c r="CF229" s="366"/>
      <c r="CG229" s="366"/>
      <c r="CH229" s="24"/>
      <c r="CI229" s="206" t="s">
        <v>1222</v>
      </c>
      <c r="CJ229">
        <v>3570</v>
      </c>
      <c r="CK229" s="23">
        <v>0</v>
      </c>
      <c r="CL229" s="364">
        <v>7.999999999999996E-2</v>
      </c>
      <c r="CM229" s="364">
        <v>0.10000000000000003</v>
      </c>
      <c r="CN229" s="364">
        <v>7.0000000000000007E-2</v>
      </c>
      <c r="CO229" s="367">
        <f t="shared" si="8"/>
        <v>0.56000000000000005</v>
      </c>
      <c r="CP229" s="367">
        <f t="shared" si="9"/>
        <v>0.48000000000000004</v>
      </c>
      <c r="CQ229" s="367">
        <f t="shared" si="10"/>
        <v>0.38</v>
      </c>
      <c r="CR229" s="24">
        <v>8.9999999999999955E-2</v>
      </c>
      <c r="CS229" s="126">
        <v>0.11000000000000003</v>
      </c>
      <c r="CT229" s="126">
        <v>0.08</v>
      </c>
      <c r="CU229" s="126"/>
      <c r="CV229" s="126"/>
      <c r="CW229" s="126"/>
    </row>
    <row r="230" spans="63:101" hidden="1">
      <c r="BK230" s="642"/>
      <c r="BL230" s="278" t="s">
        <v>1271</v>
      </c>
      <c r="BS230" s="217"/>
      <c r="BT230" s="217"/>
      <c r="BU230" s="217"/>
      <c r="BV230" s="206" t="s">
        <v>1911</v>
      </c>
      <c r="BW230">
        <v>4337</v>
      </c>
      <c r="BX230" s="368">
        <v>4000000</v>
      </c>
      <c r="BY230" s="364">
        <v>7.999999999999996E-2</v>
      </c>
      <c r="BZ230" s="364">
        <v>0.10000000000000003</v>
      </c>
      <c r="CA230" s="364">
        <v>7.0000000000000007E-2</v>
      </c>
      <c r="CB230" s="365">
        <v>0.55000000000000004</v>
      </c>
      <c r="CC230" s="365">
        <v>0.47000000000000003</v>
      </c>
      <c r="CD230" s="365">
        <v>0.37</v>
      </c>
      <c r="CE230" s="366"/>
      <c r="CF230" s="366"/>
      <c r="CG230" s="366"/>
      <c r="CH230" s="24"/>
      <c r="CI230" s="206" t="s">
        <v>1911</v>
      </c>
      <c r="CJ230">
        <v>4337</v>
      </c>
      <c r="CK230" s="368">
        <v>4000000</v>
      </c>
      <c r="CL230" s="364">
        <v>7.999999999999996E-2</v>
      </c>
      <c r="CM230" s="364">
        <v>0.10000000000000003</v>
      </c>
      <c r="CN230" s="364">
        <v>7.0000000000000007E-2</v>
      </c>
      <c r="CO230" s="367">
        <f t="shared" si="8"/>
        <v>0.56000000000000005</v>
      </c>
      <c r="CP230" s="367">
        <f t="shared" si="9"/>
        <v>0.48000000000000004</v>
      </c>
      <c r="CQ230" s="367">
        <f t="shared" si="10"/>
        <v>0.38</v>
      </c>
      <c r="CR230" s="24">
        <v>8.9999999999999955E-2</v>
      </c>
      <c r="CS230" s="126">
        <v>0.11000000000000003</v>
      </c>
      <c r="CT230" s="126">
        <v>0.08</v>
      </c>
      <c r="CU230" s="126"/>
      <c r="CV230" s="126"/>
      <c r="CW230" s="126"/>
    </row>
    <row r="231" spans="63:101" hidden="1">
      <c r="BK231" s="642"/>
      <c r="BL231" s="278" t="s">
        <v>1937</v>
      </c>
      <c r="BS231" s="217"/>
      <c r="BT231" s="217"/>
      <c r="BU231" s="217"/>
      <c r="BV231" s="206" t="s">
        <v>125</v>
      </c>
      <c r="BW231">
        <v>3042</v>
      </c>
      <c r="BX231" s="23">
        <v>0</v>
      </c>
      <c r="BY231" s="364">
        <v>7.999999999999996E-2</v>
      </c>
      <c r="BZ231" s="364">
        <v>0.10000000000000003</v>
      </c>
      <c r="CA231" s="364">
        <v>7.0000000000000007E-2</v>
      </c>
      <c r="CB231" s="365">
        <v>0.55000000000000004</v>
      </c>
      <c r="CC231" s="365">
        <v>0.47000000000000003</v>
      </c>
      <c r="CD231" s="365">
        <v>0.37</v>
      </c>
      <c r="CE231" s="366"/>
      <c r="CF231" s="366"/>
      <c r="CG231" s="366"/>
      <c r="CH231" s="24"/>
      <c r="CI231" s="206" t="s">
        <v>125</v>
      </c>
      <c r="CJ231">
        <v>3042</v>
      </c>
      <c r="CK231" s="23">
        <v>0</v>
      </c>
      <c r="CL231" s="364">
        <v>7.999999999999996E-2</v>
      </c>
      <c r="CM231" s="364">
        <v>0.10000000000000003</v>
      </c>
      <c r="CN231" s="364">
        <v>7.0000000000000007E-2</v>
      </c>
      <c r="CO231" s="367">
        <f t="shared" si="8"/>
        <v>0.56000000000000005</v>
      </c>
      <c r="CP231" s="367">
        <f t="shared" si="9"/>
        <v>0.48000000000000004</v>
      </c>
      <c r="CQ231" s="367">
        <f t="shared" si="10"/>
        <v>0.38</v>
      </c>
      <c r="CR231" s="24">
        <v>8.9999999999999955E-2</v>
      </c>
      <c r="CS231" s="126">
        <v>0.11000000000000003</v>
      </c>
      <c r="CT231" s="126">
        <v>0.08</v>
      </c>
      <c r="CU231" s="126"/>
      <c r="CV231" s="126"/>
      <c r="CW231" s="126"/>
    </row>
    <row r="232" spans="63:101" hidden="1">
      <c r="BK232" s="642"/>
      <c r="BL232" s="278" t="s">
        <v>2776</v>
      </c>
      <c r="BS232" s="217"/>
      <c r="BT232" s="217"/>
      <c r="BU232" s="217"/>
      <c r="BV232" s="206" t="s">
        <v>124</v>
      </c>
      <c r="BW232">
        <v>3043</v>
      </c>
      <c r="BX232" s="23">
        <v>0</v>
      </c>
      <c r="BY232" s="364">
        <v>7.999999999999996E-2</v>
      </c>
      <c r="BZ232" s="364">
        <v>0.10000000000000003</v>
      </c>
      <c r="CA232" s="364">
        <v>7.0000000000000007E-2</v>
      </c>
      <c r="CB232" s="365">
        <v>0.55000000000000004</v>
      </c>
      <c r="CC232" s="365">
        <v>0.47000000000000003</v>
      </c>
      <c r="CD232" s="365">
        <v>0.37</v>
      </c>
      <c r="CE232" s="366"/>
      <c r="CF232" s="366"/>
      <c r="CG232" s="366"/>
      <c r="CH232" s="24"/>
      <c r="CI232" s="206" t="s">
        <v>124</v>
      </c>
      <c r="CJ232">
        <v>3043</v>
      </c>
      <c r="CK232" s="23">
        <v>0</v>
      </c>
      <c r="CL232" s="364">
        <v>7.999999999999996E-2</v>
      </c>
      <c r="CM232" s="364">
        <v>0.10000000000000003</v>
      </c>
      <c r="CN232" s="364">
        <v>7.0000000000000007E-2</v>
      </c>
      <c r="CO232" s="367">
        <f t="shared" si="8"/>
        <v>0.56000000000000005</v>
      </c>
      <c r="CP232" s="367">
        <f t="shared" si="9"/>
        <v>0.48000000000000004</v>
      </c>
      <c r="CQ232" s="367">
        <f t="shared" si="10"/>
        <v>0.38</v>
      </c>
      <c r="CR232" s="24">
        <v>8.9999999999999955E-2</v>
      </c>
      <c r="CS232" s="126">
        <v>0.11000000000000003</v>
      </c>
      <c r="CT232" s="126">
        <v>0.08</v>
      </c>
      <c r="CU232" s="126"/>
      <c r="CV232" s="126"/>
      <c r="CW232" s="126"/>
    </row>
    <row r="233" spans="63:101" hidden="1">
      <c r="BK233" s="642"/>
      <c r="BL233" s="278" t="s">
        <v>1955</v>
      </c>
      <c r="BS233" s="217"/>
      <c r="BT233" s="217"/>
      <c r="BU233" s="217"/>
      <c r="BV233" s="203" t="s">
        <v>1912</v>
      </c>
      <c r="BW233" s="202">
        <v>4655</v>
      </c>
      <c r="BX233" s="23">
        <v>0</v>
      </c>
      <c r="BY233" s="364">
        <v>7.999999999999996E-2</v>
      </c>
      <c r="BZ233" s="364">
        <v>0.10000000000000003</v>
      </c>
      <c r="CA233" s="364">
        <v>0.10999999999999999</v>
      </c>
      <c r="CB233" s="365">
        <v>0.53</v>
      </c>
      <c r="CC233" s="365">
        <v>0.45</v>
      </c>
      <c r="CD233" s="365">
        <v>0.39</v>
      </c>
      <c r="CE233" s="366"/>
      <c r="CF233" s="366"/>
      <c r="CG233" s="366"/>
      <c r="CH233" s="24"/>
      <c r="CI233" s="203" t="s">
        <v>1912</v>
      </c>
      <c r="CJ233" s="202">
        <v>4655</v>
      </c>
      <c r="CK233" s="23">
        <v>0</v>
      </c>
      <c r="CL233" s="364">
        <v>7.999999999999996E-2</v>
      </c>
      <c r="CM233" s="364">
        <v>0.10000000000000003</v>
      </c>
      <c r="CN233" s="364">
        <v>0.10999999999999999</v>
      </c>
      <c r="CO233" s="367">
        <f t="shared" si="8"/>
        <v>0.54</v>
      </c>
      <c r="CP233" s="367">
        <f t="shared" si="9"/>
        <v>0.46</v>
      </c>
      <c r="CQ233" s="367">
        <f t="shared" si="10"/>
        <v>0.4</v>
      </c>
      <c r="CR233" s="24">
        <v>8.9999999999999955E-2</v>
      </c>
      <c r="CS233" s="126">
        <v>0.11000000000000003</v>
      </c>
      <c r="CT233" s="126">
        <v>0.11999999999999998</v>
      </c>
      <c r="CU233" s="126"/>
      <c r="CV233" s="126"/>
      <c r="CW233" s="126"/>
    </row>
    <row r="234" spans="63:101" hidden="1">
      <c r="BK234" s="642"/>
      <c r="BL234" s="277" t="s">
        <v>2854</v>
      </c>
      <c r="BS234" s="217"/>
      <c r="BT234" s="217"/>
      <c r="BU234" s="217"/>
      <c r="BV234" t="s">
        <v>1371</v>
      </c>
      <c r="BW234">
        <v>4557</v>
      </c>
      <c r="BX234" s="23">
        <v>0</v>
      </c>
      <c r="BY234" s="364">
        <v>4.9999999999999933E-2</v>
      </c>
      <c r="BZ234" s="364">
        <v>7.0000000000000007E-2</v>
      </c>
      <c r="CA234" s="364">
        <v>8.0000000000000016E-2</v>
      </c>
      <c r="CB234" s="365">
        <v>0.52</v>
      </c>
      <c r="CC234" s="365">
        <v>0.44</v>
      </c>
      <c r="CD234" s="365">
        <v>0.38</v>
      </c>
      <c r="CE234" s="366"/>
      <c r="CF234" s="366"/>
      <c r="CG234" s="366"/>
      <c r="CH234" s="24"/>
      <c r="CI234" t="s">
        <v>1371</v>
      </c>
      <c r="CJ234">
        <v>4557</v>
      </c>
      <c r="CK234" s="23">
        <v>0</v>
      </c>
      <c r="CL234" s="364">
        <v>4.9999999999999933E-2</v>
      </c>
      <c r="CM234" s="364">
        <v>7.0000000000000007E-2</v>
      </c>
      <c r="CN234" s="364">
        <v>8.0000000000000016E-2</v>
      </c>
      <c r="CO234" s="367">
        <f t="shared" si="8"/>
        <v>0.53</v>
      </c>
      <c r="CP234" s="367">
        <f t="shared" si="9"/>
        <v>0.45</v>
      </c>
      <c r="CQ234" s="367">
        <f t="shared" si="10"/>
        <v>0.39</v>
      </c>
      <c r="CR234" s="24">
        <v>5.9999999999999935E-2</v>
      </c>
      <c r="CS234" s="126">
        <v>0.08</v>
      </c>
      <c r="CT234" s="126">
        <v>9.0000000000000011E-2</v>
      </c>
      <c r="CU234" s="126"/>
      <c r="CV234" s="126"/>
      <c r="CW234" s="126"/>
    </row>
    <row r="235" spans="63:101" hidden="1">
      <c r="BK235" s="642"/>
      <c r="BL235" s="66" t="s">
        <v>2855</v>
      </c>
      <c r="BS235" s="217"/>
      <c r="BT235" s="217"/>
      <c r="BU235" s="217"/>
      <c r="BV235" t="s">
        <v>1372</v>
      </c>
      <c r="BW235">
        <v>4553</v>
      </c>
      <c r="BX235" s="23">
        <v>0</v>
      </c>
      <c r="BY235" s="364">
        <v>5.0000000000000044E-2</v>
      </c>
      <c r="BZ235" s="364">
        <v>6.9999999999999951E-2</v>
      </c>
      <c r="CA235" s="364">
        <v>7.999999999999996E-2</v>
      </c>
      <c r="CB235" s="365">
        <v>0.49000000000000005</v>
      </c>
      <c r="CC235" s="365">
        <v>0.41</v>
      </c>
      <c r="CD235" s="365">
        <v>0.35</v>
      </c>
      <c r="CE235" s="366"/>
      <c r="CF235" s="366"/>
      <c r="CG235" s="366"/>
      <c r="CH235" s="24"/>
      <c r="CI235" t="s">
        <v>1372</v>
      </c>
      <c r="CJ235">
        <v>4553</v>
      </c>
      <c r="CK235" s="23">
        <v>0</v>
      </c>
      <c r="CL235" s="364">
        <v>5.0000000000000044E-2</v>
      </c>
      <c r="CM235" s="364">
        <v>6.9999999999999951E-2</v>
      </c>
      <c r="CN235" s="364">
        <v>7.999999999999996E-2</v>
      </c>
      <c r="CO235" s="367">
        <f t="shared" si="8"/>
        <v>0.5</v>
      </c>
      <c r="CP235" s="367">
        <f t="shared" si="9"/>
        <v>0.42</v>
      </c>
      <c r="CQ235" s="367">
        <f t="shared" si="10"/>
        <v>0.36</v>
      </c>
      <c r="CR235" s="24">
        <v>6.0000000000000046E-2</v>
      </c>
      <c r="CS235" s="126">
        <v>7.9999999999999946E-2</v>
      </c>
      <c r="CT235" s="126">
        <v>8.9999999999999955E-2</v>
      </c>
      <c r="CU235" s="126"/>
      <c r="CV235" s="126"/>
      <c r="CW235" s="126"/>
    </row>
    <row r="236" spans="63:101" hidden="1">
      <c r="BK236" s="659" t="s">
        <v>2856</v>
      </c>
      <c r="BL236" s="279" t="s">
        <v>2857</v>
      </c>
      <c r="BS236" s="217"/>
      <c r="BT236" s="217"/>
      <c r="BU236" s="217"/>
      <c r="BV236" t="s">
        <v>1373</v>
      </c>
      <c r="BW236">
        <v>4559</v>
      </c>
      <c r="BX236" s="23">
        <v>0</v>
      </c>
      <c r="BY236" s="364">
        <v>1.9999999999999962E-2</v>
      </c>
      <c r="BZ236" s="364">
        <v>4.0000000000000036E-2</v>
      </c>
      <c r="CA236" s="364">
        <v>4.9999999999999989E-2</v>
      </c>
      <c r="CB236" s="365">
        <v>0.41</v>
      </c>
      <c r="CC236" s="365">
        <v>0.33</v>
      </c>
      <c r="CD236" s="365">
        <v>0.27</v>
      </c>
      <c r="CE236" s="366"/>
      <c r="CF236" s="366"/>
      <c r="CG236" s="366"/>
      <c r="CH236" s="24"/>
      <c r="CI236" t="s">
        <v>1373</v>
      </c>
      <c r="CJ236">
        <v>4559</v>
      </c>
      <c r="CK236" s="23">
        <v>0</v>
      </c>
      <c r="CL236" s="364">
        <v>1.9999999999999962E-2</v>
      </c>
      <c r="CM236" s="364">
        <v>4.0000000000000036E-2</v>
      </c>
      <c r="CN236" s="364">
        <v>4.9999999999999989E-2</v>
      </c>
      <c r="CO236" s="367">
        <f t="shared" si="8"/>
        <v>0.42</v>
      </c>
      <c r="CP236" s="367">
        <f t="shared" si="9"/>
        <v>0.34</v>
      </c>
      <c r="CQ236" s="367">
        <f t="shared" si="10"/>
        <v>0.28000000000000003</v>
      </c>
      <c r="CR236" s="24">
        <v>2.9999999999999964E-2</v>
      </c>
      <c r="CS236" s="126">
        <v>5.0000000000000037E-2</v>
      </c>
      <c r="CT236" s="126">
        <v>5.9999999999999991E-2</v>
      </c>
      <c r="CU236" s="126"/>
      <c r="CV236" s="126"/>
      <c r="CW236" s="126"/>
    </row>
    <row r="237" spans="63:101" hidden="1">
      <c r="BK237" s="659"/>
      <c r="BL237" s="277" t="s">
        <v>2858</v>
      </c>
      <c r="BS237" s="217"/>
      <c r="BT237" s="217"/>
      <c r="BU237" s="217"/>
      <c r="BV237" s="41" t="s">
        <v>1301</v>
      </c>
      <c r="BW237">
        <v>3731</v>
      </c>
      <c r="BX237" s="23">
        <v>0</v>
      </c>
      <c r="BY237" s="364">
        <v>0</v>
      </c>
      <c r="BZ237" s="364">
        <v>2.0000000000000018E-2</v>
      </c>
      <c r="CA237" s="364">
        <v>3.0000000000000027E-2</v>
      </c>
      <c r="CB237" s="365">
        <v>0.41</v>
      </c>
      <c r="CC237" s="365">
        <v>0.33</v>
      </c>
      <c r="CD237" s="365">
        <v>0.27</v>
      </c>
      <c r="CE237" s="366"/>
      <c r="CF237" s="366"/>
      <c r="CG237" s="366"/>
      <c r="CH237" s="24"/>
      <c r="CI237" s="41" t="s">
        <v>1301</v>
      </c>
      <c r="CJ237">
        <v>3731</v>
      </c>
      <c r="CK237" s="23">
        <v>0</v>
      </c>
      <c r="CL237" s="364">
        <v>0</v>
      </c>
      <c r="CM237" s="364">
        <v>2.0000000000000018E-2</v>
      </c>
      <c r="CN237" s="364">
        <v>3.0000000000000027E-2</v>
      </c>
      <c r="CO237" s="367">
        <f t="shared" si="8"/>
        <v>0.42</v>
      </c>
      <c r="CP237" s="367">
        <f t="shared" si="9"/>
        <v>0.34</v>
      </c>
      <c r="CQ237" s="367">
        <f t="shared" si="10"/>
        <v>0.28000000000000003</v>
      </c>
      <c r="CR237" s="24">
        <v>0.01</v>
      </c>
      <c r="CS237" s="126">
        <v>3.000000000000002E-2</v>
      </c>
      <c r="CT237" s="126">
        <v>4.0000000000000029E-2</v>
      </c>
      <c r="CU237" s="126"/>
      <c r="CV237" s="126"/>
      <c r="CW237" s="126"/>
    </row>
    <row r="238" spans="63:101" hidden="1">
      <c r="BK238" s="659"/>
      <c r="BL238" s="278" t="s">
        <v>2859</v>
      </c>
      <c r="BS238" s="217"/>
      <c r="BT238" s="217"/>
      <c r="BU238" s="217"/>
      <c r="BV238" s="206" t="s">
        <v>1302</v>
      </c>
      <c r="BW238">
        <v>3932</v>
      </c>
      <c r="BX238" s="23">
        <v>0</v>
      </c>
      <c r="BY238" s="364">
        <v>1.9999999999999962E-2</v>
      </c>
      <c r="BZ238" s="364">
        <v>4.0000000000000036E-2</v>
      </c>
      <c r="CA238" s="364">
        <v>4.9999999999999989E-2</v>
      </c>
      <c r="CB238" s="365">
        <v>0.41</v>
      </c>
      <c r="CC238" s="365">
        <v>0.33</v>
      </c>
      <c r="CD238" s="365">
        <v>0.27</v>
      </c>
      <c r="CE238" s="366"/>
      <c r="CF238" s="366"/>
      <c r="CG238" s="366"/>
      <c r="CH238" s="24"/>
      <c r="CI238" s="206" t="s">
        <v>1302</v>
      </c>
      <c r="CJ238">
        <v>3932</v>
      </c>
      <c r="CK238" s="23">
        <v>0</v>
      </c>
      <c r="CL238" s="364">
        <v>1.9999999999999962E-2</v>
      </c>
      <c r="CM238" s="364">
        <v>4.0000000000000036E-2</v>
      </c>
      <c r="CN238" s="364">
        <v>4.9999999999999989E-2</v>
      </c>
      <c r="CO238" s="367">
        <f t="shared" si="8"/>
        <v>0.42</v>
      </c>
      <c r="CP238" s="367">
        <f t="shared" si="9"/>
        <v>0.34</v>
      </c>
      <c r="CQ238" s="367">
        <f t="shared" si="10"/>
        <v>0.28000000000000003</v>
      </c>
      <c r="CR238" s="24">
        <v>2.9999999999999964E-2</v>
      </c>
      <c r="CS238" s="126">
        <v>5.0000000000000037E-2</v>
      </c>
      <c r="CT238" s="126">
        <v>5.9999999999999991E-2</v>
      </c>
      <c r="CU238" s="126"/>
      <c r="CV238" s="126"/>
      <c r="CW238" s="126"/>
    </row>
    <row r="239" spans="63:101" hidden="1">
      <c r="BK239" s="659"/>
      <c r="BL239" s="277" t="s">
        <v>2860</v>
      </c>
      <c r="BS239" s="217"/>
      <c r="BT239" s="217"/>
      <c r="BU239" s="217"/>
      <c r="BV239" s="206" t="s">
        <v>1287</v>
      </c>
      <c r="BW239">
        <v>4212</v>
      </c>
      <c r="BX239" s="23">
        <v>0</v>
      </c>
      <c r="BY239" s="364">
        <v>5.0000000000000044E-2</v>
      </c>
      <c r="BZ239" s="364">
        <v>6.9999999999999951E-2</v>
      </c>
      <c r="CA239" s="364">
        <v>7.999999999999996E-2</v>
      </c>
      <c r="CB239" s="365">
        <v>0.49000000000000005</v>
      </c>
      <c r="CC239" s="365">
        <v>0.41</v>
      </c>
      <c r="CD239" s="365">
        <v>0.35</v>
      </c>
      <c r="CE239" s="366"/>
      <c r="CF239" s="366"/>
      <c r="CG239" s="366"/>
      <c r="CH239" s="24"/>
      <c r="CI239" s="206" t="s">
        <v>1287</v>
      </c>
      <c r="CJ239">
        <v>4212</v>
      </c>
      <c r="CK239" s="23">
        <v>0</v>
      </c>
      <c r="CL239" s="364">
        <v>5.0000000000000044E-2</v>
      </c>
      <c r="CM239" s="364">
        <v>6.9999999999999951E-2</v>
      </c>
      <c r="CN239" s="364">
        <v>7.999999999999996E-2</v>
      </c>
      <c r="CO239" s="367">
        <f t="shared" si="8"/>
        <v>0.5</v>
      </c>
      <c r="CP239" s="367">
        <f t="shared" si="9"/>
        <v>0.42</v>
      </c>
      <c r="CQ239" s="367">
        <f t="shared" si="10"/>
        <v>0.36</v>
      </c>
      <c r="CR239" s="24">
        <v>6.0000000000000046E-2</v>
      </c>
      <c r="CS239" s="126">
        <v>7.9999999999999946E-2</v>
      </c>
      <c r="CT239" s="126">
        <v>8.9999999999999955E-2</v>
      </c>
      <c r="CU239" s="126"/>
      <c r="CV239" s="126"/>
      <c r="CW239" s="126"/>
    </row>
    <row r="240" spans="63:101" hidden="1">
      <c r="BK240" s="659"/>
      <c r="BL240" s="277" t="s">
        <v>2861</v>
      </c>
      <c r="BS240" s="217"/>
      <c r="BT240" s="217"/>
      <c r="BU240" s="217"/>
      <c r="BV240" s="206" t="s">
        <v>1397</v>
      </c>
      <c r="BW240">
        <v>4057</v>
      </c>
      <c r="BX240" s="23">
        <v>0</v>
      </c>
      <c r="BY240" s="364">
        <v>3.0000000000000027E-2</v>
      </c>
      <c r="BZ240" s="364">
        <v>4.9999999999999989E-2</v>
      </c>
      <c r="CA240" s="364">
        <v>0.06</v>
      </c>
      <c r="CB240" s="365">
        <v>0.47000000000000003</v>
      </c>
      <c r="CC240" s="365">
        <v>0.39</v>
      </c>
      <c r="CD240" s="365">
        <v>0.33</v>
      </c>
      <c r="CE240" s="366"/>
      <c r="CF240" s="366"/>
      <c r="CG240" s="366"/>
      <c r="CH240" s="24"/>
      <c r="CI240" s="206" t="s">
        <v>1397</v>
      </c>
      <c r="CJ240">
        <v>4057</v>
      </c>
      <c r="CK240" s="23">
        <v>0</v>
      </c>
      <c r="CL240" s="364">
        <v>3.0000000000000027E-2</v>
      </c>
      <c r="CM240" s="364">
        <v>4.9999999999999989E-2</v>
      </c>
      <c r="CN240" s="364">
        <v>0.06</v>
      </c>
      <c r="CO240" s="367">
        <f t="shared" si="8"/>
        <v>0.48000000000000004</v>
      </c>
      <c r="CP240" s="367">
        <f t="shared" si="9"/>
        <v>0.4</v>
      </c>
      <c r="CQ240" s="367">
        <f t="shared" si="10"/>
        <v>0.34</v>
      </c>
      <c r="CR240" s="24">
        <v>4.0000000000000029E-2</v>
      </c>
      <c r="CS240" s="126">
        <v>5.9999999999999991E-2</v>
      </c>
      <c r="CT240" s="126">
        <v>6.9999999999999993E-2</v>
      </c>
      <c r="CU240" s="126"/>
      <c r="CV240" s="126"/>
      <c r="CW240" s="126"/>
    </row>
    <row r="241" spans="63:101" hidden="1">
      <c r="BK241" s="642" t="s">
        <v>1985</v>
      </c>
      <c r="BL241" s="277" t="s">
        <v>121</v>
      </c>
      <c r="BS241" s="217"/>
      <c r="BT241" s="217"/>
      <c r="BU241" s="217"/>
      <c r="BV241" s="206" t="s">
        <v>1398</v>
      </c>
      <c r="BW241">
        <v>2384</v>
      </c>
      <c r="BX241" s="23">
        <v>0</v>
      </c>
      <c r="BY241" s="364">
        <v>3.0000000000000027E-2</v>
      </c>
      <c r="BZ241" s="364">
        <v>4.9999999999999989E-2</v>
      </c>
      <c r="CA241" s="364">
        <v>0.06</v>
      </c>
      <c r="CB241" s="365">
        <v>0.47000000000000003</v>
      </c>
      <c r="CC241" s="365">
        <v>0.39</v>
      </c>
      <c r="CD241" s="365">
        <v>0.33</v>
      </c>
      <c r="CE241" s="366"/>
      <c r="CF241" s="366"/>
      <c r="CG241" s="366"/>
      <c r="CH241" s="24"/>
      <c r="CI241" s="206" t="s">
        <v>1398</v>
      </c>
      <c r="CJ241">
        <v>2384</v>
      </c>
      <c r="CK241" s="23">
        <v>0</v>
      </c>
      <c r="CL241" s="364">
        <v>3.0000000000000027E-2</v>
      </c>
      <c r="CM241" s="364">
        <v>4.9999999999999989E-2</v>
      </c>
      <c r="CN241" s="364">
        <v>0.06</v>
      </c>
      <c r="CO241" s="367">
        <f t="shared" si="8"/>
        <v>0.48000000000000004</v>
      </c>
      <c r="CP241" s="367">
        <f t="shared" si="9"/>
        <v>0.4</v>
      </c>
      <c r="CQ241" s="367">
        <f t="shared" si="10"/>
        <v>0.34</v>
      </c>
      <c r="CR241" s="24">
        <v>4.0000000000000029E-2</v>
      </c>
      <c r="CS241" s="126">
        <v>5.9999999999999991E-2</v>
      </c>
      <c r="CT241" s="126">
        <v>6.9999999999999993E-2</v>
      </c>
      <c r="CU241" s="126"/>
      <c r="CV241" s="126"/>
      <c r="CW241" s="126"/>
    </row>
    <row r="242" spans="63:101" hidden="1">
      <c r="BK242" s="642"/>
      <c r="BL242" s="280" t="s">
        <v>1414</v>
      </c>
      <c r="BS242" s="217"/>
      <c r="BT242" s="217"/>
      <c r="BU242" s="217"/>
      <c r="BV242" s="206" t="s">
        <v>1976</v>
      </c>
      <c r="BW242">
        <v>3574</v>
      </c>
      <c r="BX242" s="23">
        <v>0</v>
      </c>
      <c r="BY242" s="364">
        <v>6.0000000000000053E-2</v>
      </c>
      <c r="BZ242" s="364">
        <v>7.999999999999996E-2</v>
      </c>
      <c r="CA242" s="364">
        <v>8.9999999999999969E-2</v>
      </c>
      <c r="CB242" s="365">
        <v>0.5</v>
      </c>
      <c r="CC242" s="365">
        <v>0.42</v>
      </c>
      <c r="CD242" s="365">
        <v>0.36</v>
      </c>
      <c r="CE242" s="366"/>
      <c r="CF242" s="366"/>
      <c r="CG242" s="366"/>
      <c r="CH242" s="24"/>
      <c r="CI242" s="206" t="s">
        <v>1976</v>
      </c>
      <c r="CJ242">
        <v>3574</v>
      </c>
      <c r="CK242" s="23">
        <v>0</v>
      </c>
      <c r="CL242" s="364">
        <v>6.0000000000000053E-2</v>
      </c>
      <c r="CM242" s="364">
        <v>7.999999999999996E-2</v>
      </c>
      <c r="CN242" s="364">
        <v>8.9999999999999969E-2</v>
      </c>
      <c r="CO242" s="367">
        <f t="shared" si="8"/>
        <v>0.51</v>
      </c>
      <c r="CP242" s="367">
        <f t="shared" si="9"/>
        <v>0.43</v>
      </c>
      <c r="CQ242" s="367">
        <f t="shared" si="10"/>
        <v>0.37</v>
      </c>
      <c r="CR242" s="24">
        <v>7.0000000000000048E-2</v>
      </c>
      <c r="CS242" s="126">
        <v>8.9999999999999955E-2</v>
      </c>
      <c r="CT242" s="126">
        <v>9.9999999999999964E-2</v>
      </c>
      <c r="CU242" s="126"/>
      <c r="CV242" s="126"/>
      <c r="CW242" s="126"/>
    </row>
    <row r="243" spans="63:101" hidden="1">
      <c r="BK243" s="642" t="s">
        <v>3010</v>
      </c>
      <c r="BL243" s="281" t="s">
        <v>2805</v>
      </c>
      <c r="BS243" s="217"/>
      <c r="BT243" s="217"/>
      <c r="BU243" s="217"/>
      <c r="BV243" s="41" t="s">
        <v>1399</v>
      </c>
      <c r="BW243">
        <v>3575</v>
      </c>
      <c r="BX243" s="23">
        <v>0</v>
      </c>
      <c r="BY243" s="364">
        <v>5.0000000000000044E-2</v>
      </c>
      <c r="BZ243" s="364">
        <v>6.9999999999999951E-2</v>
      </c>
      <c r="CA243" s="364">
        <v>7.999999999999996E-2</v>
      </c>
      <c r="CB243" s="365">
        <v>0.49000000000000005</v>
      </c>
      <c r="CC243" s="365">
        <v>0.41</v>
      </c>
      <c r="CD243" s="365">
        <v>0.35</v>
      </c>
      <c r="CE243" s="366"/>
      <c r="CF243" s="366"/>
      <c r="CG243" s="366"/>
      <c r="CH243" s="24"/>
      <c r="CI243" s="41" t="s">
        <v>1399</v>
      </c>
      <c r="CJ243">
        <v>3575</v>
      </c>
      <c r="CK243" s="23">
        <v>0</v>
      </c>
      <c r="CL243" s="364">
        <v>5.0000000000000044E-2</v>
      </c>
      <c r="CM243" s="364">
        <v>6.9999999999999951E-2</v>
      </c>
      <c r="CN243" s="364">
        <v>7.999999999999996E-2</v>
      </c>
      <c r="CO243" s="367">
        <f t="shared" si="8"/>
        <v>0.5</v>
      </c>
      <c r="CP243" s="367">
        <f t="shared" si="9"/>
        <v>0.42</v>
      </c>
      <c r="CQ243" s="367">
        <f t="shared" si="10"/>
        <v>0.36</v>
      </c>
      <c r="CR243" s="24">
        <v>6.0000000000000046E-2</v>
      </c>
      <c r="CS243" s="126">
        <v>7.9999999999999946E-2</v>
      </c>
      <c r="CT243" s="126">
        <v>8.9999999999999955E-2</v>
      </c>
      <c r="CU243" s="126"/>
      <c r="CV243" s="126"/>
      <c r="CW243" s="126"/>
    </row>
    <row r="244" spans="63:101" hidden="1">
      <c r="BK244" s="642"/>
      <c r="BL244" s="281" t="s">
        <v>1371</v>
      </c>
      <c r="BS244" s="217"/>
      <c r="BT244" s="217"/>
      <c r="BU244" s="217"/>
      <c r="BV244" s="41" t="s">
        <v>121</v>
      </c>
      <c r="BW244">
        <v>1354</v>
      </c>
      <c r="BX244" s="23">
        <v>0</v>
      </c>
      <c r="BY244" s="364">
        <v>-2.9999999999999916E-2</v>
      </c>
      <c r="BZ244" s="364">
        <v>-1.0000000000000009E-2</v>
      </c>
      <c r="CA244" s="364">
        <v>0</v>
      </c>
      <c r="CB244" s="365">
        <v>0.49000000000000005</v>
      </c>
      <c r="CC244" s="365">
        <v>0.41</v>
      </c>
      <c r="CD244" s="365">
        <v>0.35</v>
      </c>
      <c r="CE244" s="366"/>
      <c r="CF244" s="366"/>
      <c r="CG244" s="366"/>
      <c r="CH244" s="24"/>
      <c r="CI244" s="41" t="s">
        <v>121</v>
      </c>
      <c r="CJ244">
        <v>1354</v>
      </c>
      <c r="CK244" s="23">
        <v>0</v>
      </c>
      <c r="CL244" s="364">
        <v>-2.9999999999999916E-2</v>
      </c>
      <c r="CM244" s="364">
        <v>-1.0000000000000009E-2</v>
      </c>
      <c r="CN244" s="364">
        <v>0</v>
      </c>
      <c r="CO244" s="367">
        <f t="shared" si="8"/>
        <v>0.5</v>
      </c>
      <c r="CP244" s="367">
        <f t="shared" si="9"/>
        <v>0.42</v>
      </c>
      <c r="CQ244" s="367">
        <f t="shared" si="10"/>
        <v>0.36</v>
      </c>
      <c r="CR244" s="24">
        <v>-1.9999999999999914E-2</v>
      </c>
      <c r="CS244" s="126">
        <v>0</v>
      </c>
      <c r="CT244" s="126">
        <v>0.01</v>
      </c>
      <c r="CU244" s="126"/>
      <c r="CV244" s="126"/>
      <c r="CW244" s="126"/>
    </row>
    <row r="245" spans="63:101" hidden="1">
      <c r="BK245" s="642" t="s">
        <v>3011</v>
      </c>
      <c r="BL245" s="277" t="s">
        <v>1353</v>
      </c>
      <c r="BS245" s="217"/>
      <c r="BT245" s="217"/>
      <c r="BU245" s="217"/>
      <c r="BV245" s="203" t="s">
        <v>1414</v>
      </c>
      <c r="BW245" s="202">
        <v>4656</v>
      </c>
      <c r="BX245" s="23">
        <v>0</v>
      </c>
      <c r="BY245" s="364">
        <v>-2.9999999999999916E-2</v>
      </c>
      <c r="BZ245" s="364">
        <v>-1.0000000000000009E-2</v>
      </c>
      <c r="CA245" s="364">
        <v>0</v>
      </c>
      <c r="CB245" s="365">
        <v>0.49000000000000005</v>
      </c>
      <c r="CC245" s="365">
        <v>0.41</v>
      </c>
      <c r="CD245" s="365">
        <v>0.35</v>
      </c>
      <c r="CE245" s="366"/>
      <c r="CF245" s="366"/>
      <c r="CG245" s="366"/>
      <c r="CH245" s="24"/>
      <c r="CI245" s="203" t="s">
        <v>1414</v>
      </c>
      <c r="CJ245" s="202">
        <v>4656</v>
      </c>
      <c r="CK245" s="23">
        <v>0</v>
      </c>
      <c r="CL245" s="364">
        <v>-2.9999999999999916E-2</v>
      </c>
      <c r="CM245" s="364">
        <v>-1.0000000000000009E-2</v>
      </c>
      <c r="CN245" s="364">
        <v>0</v>
      </c>
      <c r="CO245" s="367">
        <f t="shared" si="8"/>
        <v>0.5</v>
      </c>
      <c r="CP245" s="367">
        <f t="shared" si="9"/>
        <v>0.42</v>
      </c>
      <c r="CQ245" s="367">
        <f t="shared" si="10"/>
        <v>0.36</v>
      </c>
      <c r="CR245" s="24">
        <v>-1.9999999999999914E-2</v>
      </c>
      <c r="CS245" s="126">
        <v>0</v>
      </c>
      <c r="CT245" s="126">
        <v>0.01</v>
      </c>
      <c r="CU245" s="126"/>
      <c r="CV245" s="126"/>
      <c r="CW245" s="126"/>
    </row>
    <row r="246" spans="63:101" hidden="1">
      <c r="BK246" s="642"/>
      <c r="BL246" s="277" t="s">
        <v>1407</v>
      </c>
      <c r="BS246" s="217"/>
      <c r="BT246" s="217"/>
      <c r="BU246" s="217"/>
      <c r="BV246" s="206" t="s">
        <v>1247</v>
      </c>
      <c r="BW246">
        <v>3762</v>
      </c>
      <c r="BX246" s="23">
        <v>0</v>
      </c>
      <c r="BY246" s="364">
        <v>4.9999999999999933E-2</v>
      </c>
      <c r="BZ246" s="364">
        <v>7.0000000000000007E-2</v>
      </c>
      <c r="CA246" s="364">
        <v>8.0000000000000016E-2</v>
      </c>
      <c r="CB246" s="365">
        <v>0.52</v>
      </c>
      <c r="CC246" s="365">
        <v>0.44</v>
      </c>
      <c r="CD246" s="365">
        <v>0.38</v>
      </c>
      <c r="CE246" s="366"/>
      <c r="CF246" s="366"/>
      <c r="CG246" s="366"/>
      <c r="CH246" s="24"/>
      <c r="CI246" s="206" t="s">
        <v>1247</v>
      </c>
      <c r="CJ246">
        <v>3762</v>
      </c>
      <c r="CK246" s="23">
        <v>0</v>
      </c>
      <c r="CL246" s="364">
        <v>4.9999999999999933E-2</v>
      </c>
      <c r="CM246" s="364">
        <v>7.0000000000000007E-2</v>
      </c>
      <c r="CN246" s="364">
        <v>8.0000000000000016E-2</v>
      </c>
      <c r="CO246" s="367">
        <f t="shared" si="8"/>
        <v>0.53</v>
      </c>
      <c r="CP246" s="367">
        <f t="shared" si="9"/>
        <v>0.45</v>
      </c>
      <c r="CQ246" s="367">
        <f t="shared" si="10"/>
        <v>0.39</v>
      </c>
      <c r="CR246" s="24">
        <v>5.9999999999999935E-2</v>
      </c>
      <c r="CS246" s="126">
        <v>0.08</v>
      </c>
      <c r="CT246" s="126">
        <v>9.0000000000000011E-2</v>
      </c>
      <c r="CU246" s="126"/>
      <c r="CV246" s="126"/>
      <c r="CW246" s="126"/>
    </row>
    <row r="247" spans="63:101" hidden="1">
      <c r="BK247" s="642"/>
      <c r="BL247" s="277" t="s">
        <v>1354</v>
      </c>
      <c r="BS247" s="217"/>
      <c r="BT247" s="217"/>
      <c r="BU247" s="217"/>
      <c r="BV247" s="206" t="s">
        <v>1248</v>
      </c>
      <c r="BW247">
        <v>3797</v>
      </c>
      <c r="BX247" s="23">
        <v>0</v>
      </c>
      <c r="BY247" s="364">
        <v>4.9999999999999933E-2</v>
      </c>
      <c r="BZ247" s="364">
        <v>7.0000000000000007E-2</v>
      </c>
      <c r="CA247" s="364">
        <v>8.0000000000000016E-2</v>
      </c>
      <c r="CB247" s="365">
        <v>0.52</v>
      </c>
      <c r="CC247" s="365">
        <v>0.44</v>
      </c>
      <c r="CD247" s="365">
        <v>0.38</v>
      </c>
      <c r="CE247" s="366"/>
      <c r="CF247" s="366"/>
      <c r="CG247" s="366"/>
      <c r="CH247" s="24"/>
      <c r="CI247" s="206" t="s">
        <v>1248</v>
      </c>
      <c r="CJ247">
        <v>3797</v>
      </c>
      <c r="CK247" s="23">
        <v>0</v>
      </c>
      <c r="CL247" s="364">
        <v>4.9999999999999933E-2</v>
      </c>
      <c r="CM247" s="364">
        <v>7.0000000000000007E-2</v>
      </c>
      <c r="CN247" s="364">
        <v>8.0000000000000016E-2</v>
      </c>
      <c r="CO247" s="367">
        <f t="shared" si="8"/>
        <v>0.53</v>
      </c>
      <c r="CP247" s="367">
        <f t="shared" si="9"/>
        <v>0.45</v>
      </c>
      <c r="CQ247" s="367">
        <f t="shared" si="10"/>
        <v>0.39</v>
      </c>
      <c r="CR247" s="24">
        <v>5.9999999999999935E-2</v>
      </c>
      <c r="CS247" s="126">
        <v>0.08</v>
      </c>
      <c r="CT247" s="126">
        <v>9.0000000000000011E-2</v>
      </c>
      <c r="CU247" s="126"/>
      <c r="CV247" s="126"/>
      <c r="CW247" s="126"/>
    </row>
    <row r="248" spans="63:101" hidden="1">
      <c r="BK248" s="642"/>
      <c r="BL248" s="277" t="s">
        <v>1408</v>
      </c>
      <c r="BS248" s="217"/>
      <c r="BT248" s="217"/>
      <c r="BU248" s="217"/>
      <c r="BV248" s="212" t="s">
        <v>1249</v>
      </c>
      <c r="BW248" s="211">
        <v>3798</v>
      </c>
      <c r="BX248" s="23">
        <v>0</v>
      </c>
      <c r="BY248" s="364">
        <v>0.05</v>
      </c>
      <c r="BZ248" s="364">
        <v>7.0000000000000007E-2</v>
      </c>
      <c r="CA248" s="364">
        <v>0.08</v>
      </c>
      <c r="CB248" s="365">
        <v>0.52</v>
      </c>
      <c r="CC248" s="365">
        <v>0.44</v>
      </c>
      <c r="CD248" s="365">
        <v>0.38</v>
      </c>
      <c r="CE248" s="366"/>
      <c r="CF248" s="366"/>
      <c r="CG248" s="366"/>
      <c r="CH248" s="24"/>
      <c r="CI248" s="212" t="s">
        <v>1249</v>
      </c>
      <c r="CJ248" s="211">
        <v>3798</v>
      </c>
      <c r="CK248" s="23">
        <v>0</v>
      </c>
      <c r="CL248" s="364">
        <v>0.05</v>
      </c>
      <c r="CM248" s="364">
        <v>7.0000000000000007E-2</v>
      </c>
      <c r="CN248" s="364">
        <v>0.06</v>
      </c>
      <c r="CO248" s="367">
        <f t="shared" si="8"/>
        <v>0.53</v>
      </c>
      <c r="CP248" s="367">
        <f t="shared" si="9"/>
        <v>0.45</v>
      </c>
      <c r="CQ248" s="367">
        <f t="shared" si="10"/>
        <v>0.39</v>
      </c>
      <c r="CR248" s="24">
        <v>8.9999999999999955E-2</v>
      </c>
      <c r="CS248" s="126">
        <v>0.10999999999999997</v>
      </c>
      <c r="CT248" s="126">
        <v>0.11999999999999998</v>
      </c>
      <c r="CU248" s="126"/>
      <c r="CV248" s="126"/>
      <c r="CW248" s="126"/>
    </row>
    <row r="249" spans="63:101" hidden="1">
      <c r="BK249" s="642"/>
      <c r="BL249" s="277" t="s">
        <v>1424</v>
      </c>
      <c r="BS249" s="217"/>
      <c r="BT249" s="217"/>
      <c r="BU249" s="217"/>
      <c r="BV249" s="206" t="s">
        <v>119</v>
      </c>
      <c r="BW249">
        <v>2284</v>
      </c>
      <c r="BX249" s="23">
        <v>0</v>
      </c>
      <c r="BY249" s="364">
        <v>0</v>
      </c>
      <c r="BZ249" s="364">
        <v>2.0000000000000018E-2</v>
      </c>
      <c r="CA249" s="364">
        <v>3.0000000000000027E-2</v>
      </c>
      <c r="CB249" s="365">
        <v>0.41</v>
      </c>
      <c r="CC249" s="365">
        <v>0.33</v>
      </c>
      <c r="CD249" s="365">
        <v>0.27</v>
      </c>
      <c r="CE249" s="366"/>
      <c r="CF249" s="366"/>
      <c r="CG249" s="366"/>
      <c r="CH249" s="24"/>
      <c r="CI249" s="206" t="s">
        <v>119</v>
      </c>
      <c r="CJ249">
        <v>2284</v>
      </c>
      <c r="CK249" s="23">
        <v>0</v>
      </c>
      <c r="CL249" s="364">
        <v>0</v>
      </c>
      <c r="CM249" s="364">
        <v>2.0000000000000018E-2</v>
      </c>
      <c r="CN249" s="364">
        <v>3.0000000000000027E-2</v>
      </c>
      <c r="CO249" s="367">
        <f t="shared" si="8"/>
        <v>0.42</v>
      </c>
      <c r="CP249" s="367">
        <f t="shared" si="9"/>
        <v>0.34</v>
      </c>
      <c r="CQ249" s="367">
        <f t="shared" si="10"/>
        <v>0.28000000000000003</v>
      </c>
      <c r="CR249" s="24">
        <v>0.01</v>
      </c>
      <c r="CS249" s="126">
        <v>3.000000000000002E-2</v>
      </c>
      <c r="CT249" s="126">
        <v>4.0000000000000029E-2</v>
      </c>
      <c r="CU249" s="126"/>
      <c r="CV249" s="126"/>
      <c r="CW249" s="126"/>
    </row>
    <row r="250" spans="63:101" hidden="1">
      <c r="BK250" s="642"/>
      <c r="BL250" s="277" t="s">
        <v>1425</v>
      </c>
      <c r="BS250" s="217"/>
      <c r="BT250" s="217"/>
      <c r="BU250" s="217"/>
      <c r="BV250" t="s">
        <v>1919</v>
      </c>
      <c r="BW250">
        <v>2779</v>
      </c>
      <c r="BX250" s="23">
        <v>0</v>
      </c>
      <c r="BY250" s="364">
        <v>4.0000000000000036E-2</v>
      </c>
      <c r="BZ250" s="364">
        <v>6.0000000000000053E-2</v>
      </c>
      <c r="CA250" s="364">
        <v>6.9999999999999951E-2</v>
      </c>
      <c r="CB250" s="365">
        <v>0.55000000000000004</v>
      </c>
      <c r="CC250" s="365">
        <v>0.47000000000000003</v>
      </c>
      <c r="CD250" s="365">
        <v>0.41</v>
      </c>
      <c r="CE250" s="366"/>
      <c r="CF250" s="366"/>
      <c r="CG250" s="366"/>
      <c r="CH250" s="24"/>
      <c r="CI250" t="s">
        <v>1919</v>
      </c>
      <c r="CJ250">
        <v>2779</v>
      </c>
      <c r="CK250" s="23">
        <v>0</v>
      </c>
      <c r="CL250" s="364">
        <v>4.0000000000000036E-2</v>
      </c>
      <c r="CM250" s="364">
        <v>6.0000000000000053E-2</v>
      </c>
      <c r="CN250" s="364">
        <v>6.9999999999999951E-2</v>
      </c>
      <c r="CO250" s="367">
        <f t="shared" si="8"/>
        <v>0.56000000000000005</v>
      </c>
      <c r="CP250" s="367">
        <f t="shared" si="9"/>
        <v>0.48000000000000004</v>
      </c>
      <c r="CQ250" s="367">
        <f t="shared" si="10"/>
        <v>0.42</v>
      </c>
      <c r="CR250" s="24">
        <v>5.0000000000000037E-2</v>
      </c>
      <c r="CS250" s="126">
        <v>7.0000000000000048E-2</v>
      </c>
      <c r="CT250" s="126">
        <v>7.9999999999999946E-2</v>
      </c>
      <c r="CU250" s="126"/>
      <c r="CV250" s="126"/>
      <c r="CW250" s="126"/>
    </row>
    <row r="251" spans="63:101" hidden="1">
      <c r="BK251" s="642"/>
      <c r="BL251" s="277" t="s">
        <v>1246</v>
      </c>
      <c r="BS251" s="217"/>
      <c r="BT251" s="217"/>
      <c r="BU251" s="217"/>
      <c r="BV251" t="s">
        <v>1374</v>
      </c>
      <c r="BW251">
        <v>4569</v>
      </c>
      <c r="BX251" s="23">
        <v>0</v>
      </c>
      <c r="BY251" s="364">
        <v>6.9999999999999951E-2</v>
      </c>
      <c r="BZ251" s="364">
        <v>9.0000000000000024E-2</v>
      </c>
      <c r="CA251" s="364">
        <v>9.9999999999999978E-2</v>
      </c>
      <c r="CB251" s="365">
        <v>0.55000000000000004</v>
      </c>
      <c r="CC251" s="365">
        <v>0.47000000000000003</v>
      </c>
      <c r="CD251" s="365">
        <v>0.41</v>
      </c>
      <c r="CE251" s="366"/>
      <c r="CF251" s="366"/>
      <c r="CG251" s="366"/>
      <c r="CH251" s="24"/>
      <c r="CI251" t="s">
        <v>1374</v>
      </c>
      <c r="CJ251">
        <v>4569</v>
      </c>
      <c r="CK251" s="23">
        <v>0</v>
      </c>
      <c r="CL251" s="364">
        <v>6.9999999999999951E-2</v>
      </c>
      <c r="CM251" s="364">
        <v>9.0000000000000024E-2</v>
      </c>
      <c r="CN251" s="364">
        <v>9.9999999999999978E-2</v>
      </c>
      <c r="CO251" s="367">
        <f t="shared" si="8"/>
        <v>0.56000000000000005</v>
      </c>
      <c r="CP251" s="367">
        <f t="shared" si="9"/>
        <v>0.48000000000000004</v>
      </c>
      <c r="CQ251" s="367">
        <f t="shared" si="10"/>
        <v>0.42</v>
      </c>
      <c r="CR251" s="24">
        <v>7.9999999999999946E-2</v>
      </c>
      <c r="CS251" s="126">
        <v>0.10000000000000002</v>
      </c>
      <c r="CT251" s="126">
        <v>0.10999999999999997</v>
      </c>
      <c r="CU251" s="126"/>
      <c r="CV251" s="126"/>
      <c r="CW251" s="126"/>
    </row>
    <row r="252" spans="63:101" hidden="1">
      <c r="BK252" s="642"/>
      <c r="BL252" s="277" t="s">
        <v>1283</v>
      </c>
      <c r="BS252" s="217"/>
      <c r="BT252" s="217"/>
      <c r="BU252" s="217"/>
      <c r="BV252" s="208" t="s">
        <v>1920</v>
      </c>
      <c r="BW252">
        <v>4333</v>
      </c>
      <c r="BX252" s="23">
        <v>0</v>
      </c>
      <c r="BY252" s="364">
        <v>6.9999999999999951E-2</v>
      </c>
      <c r="BZ252" s="364">
        <v>9.0000000000000024E-2</v>
      </c>
      <c r="CA252" s="364">
        <v>9.9999999999999978E-2</v>
      </c>
      <c r="CB252" s="365">
        <v>0.55000000000000004</v>
      </c>
      <c r="CC252" s="365">
        <v>0.47000000000000003</v>
      </c>
      <c r="CD252" s="365">
        <v>0.41</v>
      </c>
      <c r="CE252" s="366"/>
      <c r="CF252" s="366"/>
      <c r="CG252" s="366"/>
      <c r="CH252" s="24"/>
      <c r="CI252" s="208" t="s">
        <v>1920</v>
      </c>
      <c r="CJ252">
        <v>4333</v>
      </c>
      <c r="CK252" s="23">
        <v>0</v>
      </c>
      <c r="CL252" s="364">
        <v>6.9999999999999951E-2</v>
      </c>
      <c r="CM252" s="364">
        <v>9.0000000000000024E-2</v>
      </c>
      <c r="CN252" s="364">
        <v>9.9999999999999978E-2</v>
      </c>
      <c r="CO252" s="367">
        <f t="shared" si="8"/>
        <v>0.56000000000000005</v>
      </c>
      <c r="CP252" s="367">
        <f t="shared" si="9"/>
        <v>0.48000000000000004</v>
      </c>
      <c r="CQ252" s="367">
        <f t="shared" si="10"/>
        <v>0.42</v>
      </c>
      <c r="CR252" s="24">
        <v>7.9999999999999946E-2</v>
      </c>
      <c r="CS252" s="126">
        <v>0.10000000000000002</v>
      </c>
      <c r="CT252" s="126">
        <v>0.10999999999999997</v>
      </c>
      <c r="CU252" s="126"/>
      <c r="CV252" s="126"/>
      <c r="CW252" s="126"/>
    </row>
    <row r="253" spans="63:101" hidden="1">
      <c r="BK253" s="642" t="s">
        <v>3012</v>
      </c>
      <c r="BL253" s="215" t="s">
        <v>1391</v>
      </c>
      <c r="BS253" s="217"/>
      <c r="BT253" s="217"/>
      <c r="BU253" s="217"/>
      <c r="BV253" t="s">
        <v>1375</v>
      </c>
      <c r="BW253">
        <v>4570</v>
      </c>
      <c r="BX253" s="23">
        <v>0</v>
      </c>
      <c r="BY253" s="364">
        <v>6.9999999999999951E-2</v>
      </c>
      <c r="BZ253" s="364">
        <v>9.0000000000000024E-2</v>
      </c>
      <c r="CA253" s="364">
        <v>9.9999999999999978E-2</v>
      </c>
      <c r="CB253" s="365">
        <v>0.55000000000000004</v>
      </c>
      <c r="CC253" s="365">
        <v>0.47000000000000003</v>
      </c>
      <c r="CD253" s="365">
        <v>0.41</v>
      </c>
      <c r="CE253" s="366"/>
      <c r="CF253" s="366"/>
      <c r="CG253" s="366"/>
      <c r="CH253" s="24"/>
      <c r="CI253" t="s">
        <v>1375</v>
      </c>
      <c r="CJ253">
        <v>4570</v>
      </c>
      <c r="CK253" s="23">
        <v>0</v>
      </c>
      <c r="CL253" s="364">
        <v>6.9999999999999951E-2</v>
      </c>
      <c r="CM253" s="364">
        <v>9.0000000000000024E-2</v>
      </c>
      <c r="CN253" s="364">
        <v>9.9999999999999978E-2</v>
      </c>
      <c r="CO253" s="367">
        <f t="shared" si="8"/>
        <v>0.56000000000000005</v>
      </c>
      <c r="CP253" s="367">
        <f t="shared" si="9"/>
        <v>0.48000000000000004</v>
      </c>
      <c r="CQ253" s="367">
        <f t="shared" si="10"/>
        <v>0.42</v>
      </c>
      <c r="CR253" s="24">
        <v>7.9999999999999946E-2</v>
      </c>
      <c r="CS253" s="126">
        <v>0.10000000000000002</v>
      </c>
      <c r="CT253" s="126">
        <v>0.10999999999999997</v>
      </c>
      <c r="CU253" s="126"/>
      <c r="CV253" s="126"/>
      <c r="CW253" s="126"/>
    </row>
    <row r="254" spans="63:101" hidden="1">
      <c r="BK254" s="642"/>
      <c r="BL254" s="215" t="s">
        <v>1392</v>
      </c>
      <c r="BS254" s="217"/>
      <c r="BT254" s="217"/>
      <c r="BU254" s="217"/>
      <c r="BV254" t="s">
        <v>1306</v>
      </c>
      <c r="BW254">
        <v>3276</v>
      </c>
      <c r="BX254" s="23">
        <v>0</v>
      </c>
      <c r="BY254" s="364">
        <v>5.0000000000000044E-2</v>
      </c>
      <c r="BZ254" s="364">
        <v>7.0000000000000007E-2</v>
      </c>
      <c r="CA254" s="364">
        <v>8.0000000000000016E-2</v>
      </c>
      <c r="CB254" s="365">
        <v>0.46</v>
      </c>
      <c r="CC254" s="365">
        <v>0.38</v>
      </c>
      <c r="CD254" s="365">
        <v>0.32</v>
      </c>
      <c r="CE254" s="366"/>
      <c r="CF254" s="366"/>
      <c r="CG254" s="366"/>
      <c r="CH254" s="24"/>
      <c r="CI254" t="s">
        <v>1306</v>
      </c>
      <c r="CJ254">
        <v>3276</v>
      </c>
      <c r="CK254" s="23">
        <v>0</v>
      </c>
      <c r="CL254" s="364">
        <v>5.0000000000000044E-2</v>
      </c>
      <c r="CM254" s="364">
        <v>7.0000000000000007E-2</v>
      </c>
      <c r="CN254" s="364">
        <v>8.0000000000000016E-2</v>
      </c>
      <c r="CO254" s="367">
        <f t="shared" ref="CO254:CO293" si="11">CB254+1%</f>
        <v>0.47000000000000003</v>
      </c>
      <c r="CP254" s="367">
        <f t="shared" ref="CP254:CP293" si="12">CC254+1%</f>
        <v>0.39</v>
      </c>
      <c r="CQ254" s="367">
        <f t="shared" ref="CQ254:CQ293" si="13">CD254+1%</f>
        <v>0.33</v>
      </c>
      <c r="CR254" s="24">
        <v>6.0000000000000046E-2</v>
      </c>
      <c r="CS254" s="126">
        <v>0.08</v>
      </c>
      <c r="CT254" s="126">
        <v>9.0000000000000011E-2</v>
      </c>
      <c r="CU254" s="126"/>
      <c r="CV254" s="126"/>
      <c r="CW254" s="126"/>
    </row>
    <row r="255" spans="63:101" hidden="1">
      <c r="BK255" s="850" t="s">
        <v>3013</v>
      </c>
      <c r="BL255" s="281" t="s">
        <v>1412</v>
      </c>
      <c r="BS255" s="217"/>
      <c r="BT255" s="217"/>
      <c r="BU255" s="217"/>
      <c r="BV255" s="206" t="s">
        <v>1303</v>
      </c>
      <c r="BW255">
        <v>4037</v>
      </c>
      <c r="BX255" s="23">
        <v>0</v>
      </c>
      <c r="BY255" s="364">
        <v>7.999999999999996E-2</v>
      </c>
      <c r="BZ255" s="364">
        <v>0.10000000000000003</v>
      </c>
      <c r="CA255" s="364">
        <v>0.10999999999999999</v>
      </c>
      <c r="CB255" s="365">
        <v>0.53</v>
      </c>
      <c r="CC255" s="365">
        <v>0.45</v>
      </c>
      <c r="CD255" s="365">
        <v>0.39</v>
      </c>
      <c r="CE255" s="366"/>
      <c r="CF255" s="366"/>
      <c r="CG255" s="366"/>
      <c r="CH255" s="24"/>
      <c r="CI255" s="206" t="s">
        <v>1303</v>
      </c>
      <c r="CJ255">
        <v>4037</v>
      </c>
      <c r="CK255" s="23">
        <v>0</v>
      </c>
      <c r="CL255" s="364">
        <v>7.999999999999996E-2</v>
      </c>
      <c r="CM255" s="364">
        <v>0.10000000000000003</v>
      </c>
      <c r="CN255" s="364">
        <v>0.10999999999999999</v>
      </c>
      <c r="CO255" s="367">
        <f t="shared" si="11"/>
        <v>0.54</v>
      </c>
      <c r="CP255" s="367">
        <f t="shared" si="12"/>
        <v>0.46</v>
      </c>
      <c r="CQ255" s="367">
        <f t="shared" si="13"/>
        <v>0.4</v>
      </c>
      <c r="CR255" s="24">
        <v>8.9999999999999955E-2</v>
      </c>
      <c r="CS255" s="126">
        <v>0.11000000000000003</v>
      </c>
      <c r="CT255" s="126">
        <v>0.11999999999999998</v>
      </c>
      <c r="CU255" s="126"/>
      <c r="CV255" s="126"/>
      <c r="CW255" s="126"/>
    </row>
    <row r="256" spans="63:101" hidden="1">
      <c r="BK256" s="852"/>
      <c r="BL256" s="281" t="s">
        <v>1413</v>
      </c>
      <c r="BS256" s="217"/>
      <c r="BT256" s="217"/>
      <c r="BU256" s="217"/>
      <c r="BV256" s="206" t="s">
        <v>1304</v>
      </c>
      <c r="BW256">
        <v>4280</v>
      </c>
      <c r="BX256" s="23">
        <v>0</v>
      </c>
      <c r="BY256" s="364">
        <v>7.999999999999996E-2</v>
      </c>
      <c r="BZ256" s="364">
        <v>0.10000000000000003</v>
      </c>
      <c r="CA256" s="364">
        <v>0.10999999999999999</v>
      </c>
      <c r="CB256" s="365">
        <v>0.53</v>
      </c>
      <c r="CC256" s="365">
        <v>0.45</v>
      </c>
      <c r="CD256" s="365">
        <v>0.39</v>
      </c>
      <c r="CE256" s="366"/>
      <c r="CF256" s="366"/>
      <c r="CG256" s="366"/>
      <c r="CH256" s="24"/>
      <c r="CI256" s="206" t="s">
        <v>1304</v>
      </c>
      <c r="CJ256">
        <v>4280</v>
      </c>
      <c r="CK256" s="23">
        <v>0</v>
      </c>
      <c r="CL256" s="364">
        <v>7.999999999999996E-2</v>
      </c>
      <c r="CM256" s="364">
        <v>0.10000000000000003</v>
      </c>
      <c r="CN256" s="364">
        <v>0.10999999999999999</v>
      </c>
      <c r="CO256" s="367">
        <f t="shared" si="11"/>
        <v>0.54</v>
      </c>
      <c r="CP256" s="367">
        <f t="shared" si="12"/>
        <v>0.46</v>
      </c>
      <c r="CQ256" s="367">
        <f t="shared" si="13"/>
        <v>0.4</v>
      </c>
      <c r="CR256" s="24">
        <v>8.9999999999999955E-2</v>
      </c>
      <c r="CS256" s="126">
        <v>0.11000000000000003</v>
      </c>
      <c r="CT256" s="126">
        <v>0.11999999999999998</v>
      </c>
      <c r="CU256" s="126"/>
      <c r="CV256" s="126"/>
      <c r="CW256" s="126"/>
    </row>
    <row r="257" spans="61:101" hidden="1">
      <c r="BK257" s="236" t="s">
        <v>3014</v>
      </c>
      <c r="BL257" s="65" t="s">
        <v>2803</v>
      </c>
      <c r="BS257" s="217"/>
      <c r="BT257" s="217"/>
      <c r="BU257" s="217"/>
      <c r="BV257" s="206" t="s">
        <v>1305</v>
      </c>
      <c r="BW257">
        <v>4038</v>
      </c>
      <c r="BX257" s="23">
        <v>0</v>
      </c>
      <c r="BY257" s="364">
        <v>7.999999999999996E-2</v>
      </c>
      <c r="BZ257" s="364">
        <v>0.10000000000000003</v>
      </c>
      <c r="CA257" s="364">
        <v>0.10999999999999999</v>
      </c>
      <c r="CB257" s="365">
        <v>0.53</v>
      </c>
      <c r="CC257" s="365">
        <v>0.45</v>
      </c>
      <c r="CD257" s="365">
        <v>0.39</v>
      </c>
      <c r="CE257" s="366"/>
      <c r="CF257" s="366"/>
      <c r="CG257" s="366"/>
      <c r="CH257" s="24"/>
      <c r="CI257" s="206" t="s">
        <v>1305</v>
      </c>
      <c r="CJ257">
        <v>4038</v>
      </c>
      <c r="CK257" s="23">
        <v>0</v>
      </c>
      <c r="CL257" s="364">
        <v>7.999999999999996E-2</v>
      </c>
      <c r="CM257" s="364">
        <v>0.10000000000000003</v>
      </c>
      <c r="CN257" s="364">
        <v>0.10999999999999999</v>
      </c>
      <c r="CO257" s="367">
        <f t="shared" si="11"/>
        <v>0.54</v>
      </c>
      <c r="CP257" s="367">
        <f t="shared" si="12"/>
        <v>0.46</v>
      </c>
      <c r="CQ257" s="367">
        <f t="shared" si="13"/>
        <v>0.4</v>
      </c>
      <c r="CR257" s="21">
        <v>8.9999999999999955E-2</v>
      </c>
      <c r="CS257" s="126">
        <v>0.11000000000000003</v>
      </c>
      <c r="CT257" s="126">
        <v>0.11999999999999998</v>
      </c>
      <c r="CU257" s="126"/>
      <c r="CV257" s="126"/>
      <c r="CW257" s="126"/>
    </row>
    <row r="258" spans="61:101" hidden="1">
      <c r="BK258" s="236" t="s">
        <v>2064</v>
      </c>
      <c r="BL258" s="215" t="s">
        <v>2871</v>
      </c>
      <c r="BS258" s="217"/>
      <c r="BT258" s="217"/>
      <c r="BU258" s="217"/>
      <c r="BV258" s="206" t="s">
        <v>1977</v>
      </c>
      <c r="BW258">
        <v>5556</v>
      </c>
      <c r="BX258" s="23">
        <v>0</v>
      </c>
      <c r="BY258" s="364">
        <v>5.0000000000000044E-2</v>
      </c>
      <c r="BZ258" s="364">
        <v>7.0000000000000007E-2</v>
      </c>
      <c r="CA258" s="364">
        <v>8.0000000000000016E-2</v>
      </c>
      <c r="CB258" s="365">
        <v>0.46</v>
      </c>
      <c r="CC258" s="365">
        <v>0.38</v>
      </c>
      <c r="CD258" s="365">
        <v>0.32</v>
      </c>
      <c r="CE258" s="366"/>
      <c r="CF258" s="366"/>
      <c r="CG258" s="366"/>
      <c r="CH258" s="24"/>
      <c r="CI258" s="206" t="s">
        <v>1977</v>
      </c>
      <c r="CJ258">
        <v>5556</v>
      </c>
      <c r="CK258" s="23">
        <v>0</v>
      </c>
      <c r="CL258" s="364">
        <v>5.0000000000000044E-2</v>
      </c>
      <c r="CM258" s="364">
        <v>7.0000000000000007E-2</v>
      </c>
      <c r="CN258" s="364">
        <v>8.0000000000000016E-2</v>
      </c>
      <c r="CO258" s="367">
        <f t="shared" si="11"/>
        <v>0.47000000000000003</v>
      </c>
      <c r="CP258" s="367">
        <f t="shared" si="12"/>
        <v>0.39</v>
      </c>
      <c r="CQ258" s="367">
        <f t="shared" si="13"/>
        <v>0.33</v>
      </c>
      <c r="CR258" s="21">
        <v>6.0000000000000046E-2</v>
      </c>
      <c r="CS258" s="126">
        <v>0.08</v>
      </c>
      <c r="CT258" s="126">
        <v>9.0000000000000011E-2</v>
      </c>
      <c r="CU258" s="126"/>
      <c r="CV258" s="126"/>
      <c r="CW258" s="126"/>
    </row>
    <row r="259" spans="61:101" hidden="1">
      <c r="BK259" s="236" t="s">
        <v>3014</v>
      </c>
      <c r="BL259" s="282" t="s">
        <v>2869</v>
      </c>
      <c r="BS259" s="217"/>
      <c r="BT259" s="217"/>
      <c r="BU259" s="217"/>
      <c r="BV259" s="206" t="s">
        <v>1921</v>
      </c>
      <c r="BW259">
        <v>3733</v>
      </c>
      <c r="BX259" s="23">
        <v>0</v>
      </c>
      <c r="BY259" s="364">
        <v>7.999999999999996E-2</v>
      </c>
      <c r="BZ259" s="364">
        <v>0.10000000000000003</v>
      </c>
      <c r="CA259" s="364">
        <v>0.10999999999999999</v>
      </c>
      <c r="CB259" s="365">
        <v>0.55000000000000004</v>
      </c>
      <c r="CC259" s="365">
        <v>0.47000000000000003</v>
      </c>
      <c r="CD259" s="365">
        <v>0.41</v>
      </c>
      <c r="CE259" s="366"/>
      <c r="CF259" s="366"/>
      <c r="CG259" s="366"/>
      <c r="CH259" s="24"/>
      <c r="CI259" s="206" t="s">
        <v>1921</v>
      </c>
      <c r="CJ259">
        <v>3733</v>
      </c>
      <c r="CK259" s="23">
        <v>0</v>
      </c>
      <c r="CL259" s="364">
        <v>7.999999999999996E-2</v>
      </c>
      <c r="CM259" s="364">
        <v>0.10000000000000003</v>
      </c>
      <c r="CN259" s="364">
        <v>0.10999999999999999</v>
      </c>
      <c r="CO259" s="367">
        <f t="shared" si="11"/>
        <v>0.56000000000000005</v>
      </c>
      <c r="CP259" s="367">
        <f t="shared" si="12"/>
        <v>0.48000000000000004</v>
      </c>
      <c r="CQ259" s="367">
        <f t="shared" si="13"/>
        <v>0.42</v>
      </c>
      <c r="CR259" s="21">
        <v>8.9999999999999955E-2</v>
      </c>
      <c r="CS259" s="126">
        <v>0.11000000000000003</v>
      </c>
      <c r="CT259" s="126">
        <v>0.11999999999999998</v>
      </c>
      <c r="CU259" s="126"/>
      <c r="CV259" s="126"/>
      <c r="CW259" s="126"/>
    </row>
    <row r="260" spans="61:101" hidden="1">
      <c r="BK260" s="642" t="s">
        <v>2103</v>
      </c>
      <c r="BL260" s="308" t="s">
        <v>3002</v>
      </c>
      <c r="BS260" s="217"/>
      <c r="BT260" s="217"/>
      <c r="BU260" s="217"/>
      <c r="BV260" s="206" t="s">
        <v>1307</v>
      </c>
      <c r="BW260">
        <v>4320</v>
      </c>
      <c r="BX260" s="23">
        <v>0</v>
      </c>
      <c r="BY260" s="364">
        <v>7.999999999999996E-2</v>
      </c>
      <c r="BZ260" s="364">
        <v>0.10000000000000003</v>
      </c>
      <c r="CA260" s="364">
        <v>0.10999999999999999</v>
      </c>
      <c r="CB260" s="365">
        <v>0.55000000000000004</v>
      </c>
      <c r="CC260" s="365">
        <v>0.47000000000000003</v>
      </c>
      <c r="CD260" s="365">
        <v>0.41</v>
      </c>
      <c r="CE260" s="366"/>
      <c r="CF260" s="366"/>
      <c r="CG260" s="366"/>
      <c r="CH260" s="24"/>
      <c r="CI260" s="206" t="s">
        <v>1307</v>
      </c>
      <c r="CJ260">
        <v>4320</v>
      </c>
      <c r="CK260" s="23">
        <v>0</v>
      </c>
      <c r="CL260" s="364">
        <v>7.999999999999996E-2</v>
      </c>
      <c r="CM260" s="364">
        <v>0.10000000000000003</v>
      </c>
      <c r="CN260" s="364">
        <v>0.10999999999999999</v>
      </c>
      <c r="CO260" s="367">
        <f t="shared" si="11"/>
        <v>0.56000000000000005</v>
      </c>
      <c r="CP260" s="367">
        <f t="shared" si="12"/>
        <v>0.48000000000000004</v>
      </c>
      <c r="CQ260" s="367">
        <f t="shared" si="13"/>
        <v>0.42</v>
      </c>
      <c r="CR260" s="21">
        <v>8.9999999999999955E-2</v>
      </c>
      <c r="CS260" s="126">
        <v>0.11000000000000003</v>
      </c>
      <c r="CT260" s="126">
        <v>0.11999999999999998</v>
      </c>
      <c r="CU260" s="126"/>
      <c r="CV260" s="126"/>
      <c r="CW260" s="126"/>
    </row>
    <row r="261" spans="61:101" hidden="1">
      <c r="BK261" s="642"/>
      <c r="BL261" s="308" t="s">
        <v>3004</v>
      </c>
      <c r="BS261" s="217"/>
      <c r="BT261" s="217"/>
      <c r="BU261" s="217"/>
      <c r="BV261" s="213" t="s">
        <v>1922</v>
      </c>
      <c r="BW261">
        <v>4334</v>
      </c>
      <c r="BX261" s="23">
        <v>0</v>
      </c>
      <c r="BY261" s="364">
        <v>7.999999999999996E-2</v>
      </c>
      <c r="BZ261" s="364">
        <v>0.10000000000000003</v>
      </c>
      <c r="CA261" s="364">
        <v>0.10999999999999999</v>
      </c>
      <c r="CB261" s="365">
        <v>0.55000000000000004</v>
      </c>
      <c r="CC261" s="365">
        <v>0.47000000000000003</v>
      </c>
      <c r="CD261" s="365">
        <v>0.41</v>
      </c>
      <c r="CE261" s="366"/>
      <c r="CF261" s="366"/>
      <c r="CG261" s="366"/>
      <c r="CH261" s="24"/>
      <c r="CI261" s="213" t="s">
        <v>1922</v>
      </c>
      <c r="CJ261">
        <v>4334</v>
      </c>
      <c r="CK261" s="23">
        <v>0</v>
      </c>
      <c r="CL261" s="364">
        <v>7.999999999999996E-2</v>
      </c>
      <c r="CM261" s="364">
        <v>0.10000000000000003</v>
      </c>
      <c r="CN261" s="364">
        <v>0.10999999999999999</v>
      </c>
      <c r="CO261" s="367">
        <f t="shared" si="11"/>
        <v>0.56000000000000005</v>
      </c>
      <c r="CP261" s="367">
        <f t="shared" si="12"/>
        <v>0.48000000000000004</v>
      </c>
      <c r="CQ261" s="367">
        <f t="shared" si="13"/>
        <v>0.42</v>
      </c>
      <c r="CR261" s="21">
        <v>8.9999999999999955E-2</v>
      </c>
      <c r="CS261" s="126">
        <v>0.11000000000000003</v>
      </c>
      <c r="CT261" s="126">
        <v>0.11999999999999998</v>
      </c>
      <c r="CU261" s="126"/>
      <c r="CV261" s="126"/>
      <c r="CW261" s="126"/>
    </row>
    <row r="262" spans="61:101" hidden="1">
      <c r="BK262" s="642"/>
      <c r="BL262" s="309" t="s">
        <v>3003</v>
      </c>
      <c r="BS262" s="217"/>
      <c r="BT262" s="217"/>
      <c r="BU262" s="217"/>
      <c r="BV262" s="206" t="s">
        <v>1308</v>
      </c>
      <c r="BW262">
        <v>4321</v>
      </c>
      <c r="BX262" s="23">
        <v>0</v>
      </c>
      <c r="BY262" s="364">
        <v>7.999999999999996E-2</v>
      </c>
      <c r="BZ262" s="364">
        <v>0.10000000000000003</v>
      </c>
      <c r="CA262" s="364">
        <v>0.10999999999999999</v>
      </c>
      <c r="CB262" s="365">
        <v>0.55000000000000004</v>
      </c>
      <c r="CC262" s="365">
        <v>0.47000000000000003</v>
      </c>
      <c r="CD262" s="365">
        <v>0.41</v>
      </c>
      <c r="CE262" s="366"/>
      <c r="CF262" s="366"/>
      <c r="CG262" s="366"/>
      <c r="CH262" s="24"/>
      <c r="CI262" s="206" t="s">
        <v>1308</v>
      </c>
      <c r="CJ262">
        <v>4321</v>
      </c>
      <c r="CK262" s="23">
        <v>0</v>
      </c>
      <c r="CL262" s="364">
        <v>7.999999999999996E-2</v>
      </c>
      <c r="CM262" s="364">
        <v>0.10000000000000003</v>
      </c>
      <c r="CN262" s="364">
        <v>0.10999999999999999</v>
      </c>
      <c r="CO262" s="367">
        <f t="shared" si="11"/>
        <v>0.56000000000000005</v>
      </c>
      <c r="CP262" s="367">
        <f t="shared" si="12"/>
        <v>0.48000000000000004</v>
      </c>
      <c r="CQ262" s="367">
        <f t="shared" si="13"/>
        <v>0.42</v>
      </c>
      <c r="CR262" s="21">
        <v>8.9999999999999955E-2</v>
      </c>
      <c r="CS262" s="126">
        <v>0.11000000000000003</v>
      </c>
      <c r="CT262" s="126">
        <v>0.11999999999999998</v>
      </c>
      <c r="CU262" s="126"/>
      <c r="CV262" s="126"/>
      <c r="CW262" s="126"/>
    </row>
    <row r="263" spans="61:101" hidden="1">
      <c r="BJ263" s="505">
        <f>BT7</f>
        <v>4749</v>
      </c>
      <c r="BS263" s="217"/>
      <c r="BT263" s="217"/>
      <c r="BU263" s="217"/>
      <c r="BV263" s="206" t="s">
        <v>1309</v>
      </c>
      <c r="BW263">
        <v>3735</v>
      </c>
      <c r="BX263" s="23">
        <v>0</v>
      </c>
      <c r="BY263" s="364">
        <v>5.0000000000000044E-2</v>
      </c>
      <c r="BZ263" s="364">
        <v>7.0000000000000007E-2</v>
      </c>
      <c r="CA263" s="364">
        <v>8.0000000000000016E-2</v>
      </c>
      <c r="CB263" s="365">
        <v>0.46</v>
      </c>
      <c r="CC263" s="365">
        <v>0.38</v>
      </c>
      <c r="CD263" s="365">
        <v>0.32</v>
      </c>
      <c r="CE263" s="366"/>
      <c r="CF263" s="366"/>
      <c r="CG263" s="366"/>
      <c r="CH263" s="24"/>
      <c r="CI263" s="206" t="s">
        <v>1309</v>
      </c>
      <c r="CJ263">
        <v>3735</v>
      </c>
      <c r="CK263" s="23">
        <v>0</v>
      </c>
      <c r="CL263" s="364">
        <v>5.0000000000000044E-2</v>
      </c>
      <c r="CM263" s="364">
        <v>7.0000000000000007E-2</v>
      </c>
      <c r="CN263" s="364">
        <v>8.0000000000000016E-2</v>
      </c>
      <c r="CO263" s="367">
        <f t="shared" si="11"/>
        <v>0.47000000000000003</v>
      </c>
      <c r="CP263" s="367">
        <f t="shared" si="12"/>
        <v>0.39</v>
      </c>
      <c r="CQ263" s="367">
        <f t="shared" si="13"/>
        <v>0.33</v>
      </c>
      <c r="CR263" s="21">
        <v>6.0000000000000046E-2</v>
      </c>
      <c r="CS263" s="126">
        <v>0.08</v>
      </c>
      <c r="CT263" s="126">
        <v>9.0000000000000011E-2</v>
      </c>
      <c r="CU263" s="126"/>
      <c r="CV263" s="126"/>
      <c r="CW263" s="126"/>
    </row>
    <row r="264" spans="61:101" hidden="1">
      <c r="BI264" s="517">
        <v>0</v>
      </c>
      <c r="BJ264" s="491" t="s">
        <v>3164</v>
      </c>
      <c r="BK264" s="494" t="s">
        <v>3165</v>
      </c>
      <c r="BL264" s="495" t="s">
        <v>3165</v>
      </c>
      <c r="BM264" s="496" t="s">
        <v>3165</v>
      </c>
      <c r="BS264" s="217"/>
      <c r="BT264" s="217"/>
      <c r="BU264" s="217"/>
      <c r="BV264" s="206" t="s">
        <v>1428</v>
      </c>
      <c r="BW264">
        <v>5555</v>
      </c>
      <c r="BX264" s="23">
        <v>0</v>
      </c>
      <c r="BY264" s="364">
        <v>5.0000000000000044E-2</v>
      </c>
      <c r="BZ264" s="364">
        <v>7.0000000000000007E-2</v>
      </c>
      <c r="CA264" s="364">
        <v>8.0000000000000016E-2</v>
      </c>
      <c r="CB264" s="365">
        <v>0.46</v>
      </c>
      <c r="CC264" s="365">
        <v>0.38</v>
      </c>
      <c r="CD264" s="365">
        <v>0.32</v>
      </c>
      <c r="CE264" s="366"/>
      <c r="CF264" s="366"/>
      <c r="CG264" s="366"/>
      <c r="CH264" s="24"/>
      <c r="CI264" s="206" t="s">
        <v>1428</v>
      </c>
      <c r="CJ264">
        <v>5555</v>
      </c>
      <c r="CK264" s="23">
        <v>0</v>
      </c>
      <c r="CL264" s="364">
        <v>5.0000000000000044E-2</v>
      </c>
      <c r="CM264" s="364">
        <v>7.0000000000000007E-2</v>
      </c>
      <c r="CN264" s="364">
        <v>8.0000000000000016E-2</v>
      </c>
      <c r="CO264" s="367">
        <f t="shared" si="11"/>
        <v>0.47000000000000003</v>
      </c>
      <c r="CP264" s="367">
        <f t="shared" si="12"/>
        <v>0.39</v>
      </c>
      <c r="CQ264" s="367">
        <f t="shared" si="13"/>
        <v>0.33</v>
      </c>
      <c r="CR264" s="21">
        <v>6.0000000000000046E-2</v>
      </c>
      <c r="CS264" s="126">
        <v>0.08</v>
      </c>
      <c r="CT264" s="126">
        <v>9.0000000000000011E-2</v>
      </c>
      <c r="CU264" s="126"/>
      <c r="CV264" s="126"/>
      <c r="CW264" s="126"/>
    </row>
    <row r="265" spans="61:101" hidden="1">
      <c r="BI265" s="207" t="s">
        <v>184</v>
      </c>
      <c r="BJ265" s="492">
        <v>4694</v>
      </c>
      <c r="BK265" s="497">
        <v>-0.06</v>
      </c>
      <c r="BL265" s="497">
        <v>-6.0000000000000053E-2</v>
      </c>
      <c r="BM265" s="497">
        <v>-6.0000000000000053E-2</v>
      </c>
      <c r="BN265" s="126" t="str">
        <f>VLOOKUP(BJ265,차량가!$A:$L,11,FALSE)</f>
        <v>Panamera</v>
      </c>
      <c r="BO265" s="126" t="str">
        <f>VLOOKUP(BJ265,차량가!$A:$L,12,FALSE)</f>
        <v>Panamera 4 E-하이브리드</v>
      </c>
      <c r="BS265" s="217"/>
      <c r="BT265" s="217"/>
      <c r="BU265" s="217"/>
      <c r="BV265" s="211" t="s">
        <v>1415</v>
      </c>
      <c r="BW265" s="211">
        <v>4661</v>
      </c>
      <c r="BX265" s="23">
        <v>0</v>
      </c>
      <c r="BY265" s="364">
        <v>4.9999999999999933E-2</v>
      </c>
      <c r="BZ265" s="364">
        <v>7.0000000000000007E-2</v>
      </c>
      <c r="CA265" s="364">
        <v>8.0000000000000016E-2</v>
      </c>
      <c r="CB265" s="365">
        <v>0.53</v>
      </c>
      <c r="CC265" s="365">
        <v>0.45</v>
      </c>
      <c r="CD265" s="365">
        <v>0.39</v>
      </c>
      <c r="CE265" s="366"/>
      <c r="CF265" s="366"/>
      <c r="CG265" s="366"/>
      <c r="CH265" s="24"/>
      <c r="CI265" s="211" t="s">
        <v>1415</v>
      </c>
      <c r="CJ265" s="211">
        <v>4661</v>
      </c>
      <c r="CK265" s="23">
        <v>0</v>
      </c>
      <c r="CL265" s="364">
        <v>4.9999999999999933E-2</v>
      </c>
      <c r="CM265" s="364">
        <v>7.0000000000000007E-2</v>
      </c>
      <c r="CN265" s="364">
        <v>8.0000000000000016E-2</v>
      </c>
      <c r="CO265" s="367">
        <f t="shared" si="11"/>
        <v>0.54</v>
      </c>
      <c r="CP265" s="367">
        <f t="shared" si="12"/>
        <v>0.46</v>
      </c>
      <c r="CQ265" s="367">
        <f t="shared" si="13"/>
        <v>0.4</v>
      </c>
      <c r="CR265" s="21">
        <v>5.9999999999999935E-2</v>
      </c>
      <c r="CS265" s="126">
        <v>0.08</v>
      </c>
      <c r="CT265" s="126">
        <v>9.0000000000000011E-2</v>
      </c>
      <c r="CU265" s="126"/>
      <c r="CV265" s="126"/>
      <c r="CW265" s="126"/>
    </row>
    <row r="266" spans="61:101" hidden="1">
      <c r="BI266" s="207" t="s">
        <v>184</v>
      </c>
      <c r="BJ266" s="492">
        <v>5206</v>
      </c>
      <c r="BK266" s="497">
        <v>-0.06</v>
      </c>
      <c r="BL266" s="497">
        <v>-6.0000000000000053E-2</v>
      </c>
      <c r="BM266" s="497">
        <v>-6.0000000000000053E-2</v>
      </c>
      <c r="BN266" s="126" t="e">
        <f>VLOOKUP(BJ266,차량가!$A:$L,11,FALSE)</f>
        <v>#N/A</v>
      </c>
      <c r="BO266" s="126" t="e">
        <f>VLOOKUP(BJ266,차량가!$A:$L,12,FALSE)</f>
        <v>#N/A</v>
      </c>
      <c r="BS266" s="217"/>
      <c r="BT266" s="217"/>
      <c r="BU266" s="217"/>
      <c r="BV266" t="s">
        <v>1416</v>
      </c>
      <c r="BW266">
        <v>4662</v>
      </c>
      <c r="BX266" s="23">
        <v>0</v>
      </c>
      <c r="BY266" s="364">
        <v>6.9999999999999951E-2</v>
      </c>
      <c r="BZ266" s="364">
        <v>9.0000000000000024E-2</v>
      </c>
      <c r="CA266" s="364">
        <v>0.10000000000000003</v>
      </c>
      <c r="CB266" s="365">
        <v>0.53</v>
      </c>
      <c r="CC266" s="365">
        <v>0.45</v>
      </c>
      <c r="CD266" s="365">
        <v>0.39</v>
      </c>
      <c r="CE266" s="366"/>
      <c r="CF266" s="366"/>
      <c r="CG266" s="366"/>
      <c r="CH266" s="24"/>
      <c r="CI266" t="s">
        <v>1416</v>
      </c>
      <c r="CJ266">
        <v>4662</v>
      </c>
      <c r="CK266" s="23">
        <v>0</v>
      </c>
      <c r="CL266" s="364">
        <v>6.9999999999999951E-2</v>
      </c>
      <c r="CM266" s="364">
        <v>9.0000000000000024E-2</v>
      </c>
      <c r="CN266" s="364">
        <v>0.10000000000000003</v>
      </c>
      <c r="CO266" s="367">
        <f t="shared" si="11"/>
        <v>0.54</v>
      </c>
      <c r="CP266" s="367">
        <f t="shared" si="12"/>
        <v>0.46</v>
      </c>
      <c r="CQ266" s="367">
        <f t="shared" si="13"/>
        <v>0.4</v>
      </c>
      <c r="CR266" s="21">
        <v>7.9999999999999946E-2</v>
      </c>
      <c r="CS266" s="126">
        <v>0.10000000000000002</v>
      </c>
      <c r="CT266" s="126">
        <v>0.11000000000000003</v>
      </c>
      <c r="CU266" s="126"/>
      <c r="CV266" s="126"/>
      <c r="CW266" s="126"/>
    </row>
    <row r="267" spans="61:101" hidden="1">
      <c r="BI267" s="207" t="s">
        <v>184</v>
      </c>
      <c r="BJ267" s="492">
        <v>4695</v>
      </c>
      <c r="BK267" s="497">
        <v>-0.06</v>
      </c>
      <c r="BL267" s="497">
        <v>-6.0000000000000053E-2</v>
      </c>
      <c r="BM267" s="497">
        <v>-6.0000000000000053E-2</v>
      </c>
      <c r="BN267" s="126" t="str">
        <f>VLOOKUP(BJ267,차량가!$A:$L,11,FALSE)</f>
        <v>Panamera</v>
      </c>
      <c r="BO267" s="126" t="str">
        <f>VLOOKUP(BJ267,차량가!$A:$L,12,FALSE)</f>
        <v>Turbo S</v>
      </c>
      <c r="BS267" s="217"/>
      <c r="BT267" s="217"/>
      <c r="BU267" s="217"/>
      <c r="BV267" s="206" t="s">
        <v>1310</v>
      </c>
      <c r="BW267">
        <v>2782</v>
      </c>
      <c r="BX267" s="23">
        <v>0</v>
      </c>
      <c r="BY267" s="364">
        <v>4.9999999999999933E-2</v>
      </c>
      <c r="BZ267" s="364">
        <v>7.0000000000000007E-2</v>
      </c>
      <c r="CA267" s="364">
        <v>8.0000000000000016E-2</v>
      </c>
      <c r="CB267" s="365">
        <v>0.53</v>
      </c>
      <c r="CC267" s="365">
        <v>0.45</v>
      </c>
      <c r="CD267" s="365">
        <v>0.39</v>
      </c>
      <c r="CE267" s="366"/>
      <c r="CF267" s="366"/>
      <c r="CG267" s="366"/>
      <c r="CH267" s="24"/>
      <c r="CI267" s="206" t="s">
        <v>1310</v>
      </c>
      <c r="CJ267">
        <v>2782</v>
      </c>
      <c r="CK267" s="23">
        <v>0</v>
      </c>
      <c r="CL267" s="364">
        <v>4.9999999999999933E-2</v>
      </c>
      <c r="CM267" s="364">
        <v>7.0000000000000007E-2</v>
      </c>
      <c r="CN267" s="364">
        <v>8.0000000000000016E-2</v>
      </c>
      <c r="CO267" s="367">
        <f t="shared" si="11"/>
        <v>0.54</v>
      </c>
      <c r="CP267" s="367">
        <f t="shared" si="12"/>
        <v>0.46</v>
      </c>
      <c r="CQ267" s="367">
        <f t="shared" si="13"/>
        <v>0.4</v>
      </c>
      <c r="CR267" s="21">
        <v>5.9999999999999935E-2</v>
      </c>
      <c r="CS267" s="126">
        <v>0.08</v>
      </c>
      <c r="CT267" s="126">
        <v>9.0000000000000011E-2</v>
      </c>
      <c r="CU267" s="126"/>
      <c r="CV267" s="126"/>
      <c r="CW267" s="126"/>
    </row>
    <row r="268" spans="61:101" hidden="1">
      <c r="BI268" s="207" t="s">
        <v>184</v>
      </c>
      <c r="BJ268" s="492">
        <v>5207</v>
      </c>
      <c r="BK268" s="497">
        <v>-0.06</v>
      </c>
      <c r="BL268" s="497">
        <v>-6.0000000000000053E-2</v>
      </c>
      <c r="BM268" s="497">
        <v>-6.0000000000000053E-2</v>
      </c>
      <c r="BN268" s="126" t="e">
        <f>VLOOKUP(BJ268,차량가!$A:$L,11,FALSE)</f>
        <v>#N/A</v>
      </c>
      <c r="BO268" s="126" t="e">
        <f>VLOOKUP(BJ268,차량가!$A:$L,12,FALSE)</f>
        <v>#N/A</v>
      </c>
      <c r="BS268" s="217"/>
      <c r="BT268" s="217"/>
      <c r="BU268" s="217"/>
      <c r="BV268" s="206" t="s">
        <v>117</v>
      </c>
      <c r="BW268">
        <v>3207</v>
      </c>
      <c r="BX268" s="23">
        <v>0</v>
      </c>
      <c r="BY268" s="364">
        <v>6.9999999999999951E-2</v>
      </c>
      <c r="BZ268" s="364">
        <v>9.0000000000000024E-2</v>
      </c>
      <c r="CA268" s="364">
        <v>0.10000000000000003</v>
      </c>
      <c r="CB268" s="365">
        <v>0.53</v>
      </c>
      <c r="CC268" s="365">
        <v>0.45</v>
      </c>
      <c r="CD268" s="365">
        <v>0.39</v>
      </c>
      <c r="CE268" s="366"/>
      <c r="CF268" s="366"/>
      <c r="CG268" s="366"/>
      <c r="CH268" s="24"/>
      <c r="CI268" s="206" t="s">
        <v>117</v>
      </c>
      <c r="CJ268">
        <v>3207</v>
      </c>
      <c r="CK268" s="23">
        <v>0</v>
      </c>
      <c r="CL268" s="364">
        <v>6.9999999999999951E-2</v>
      </c>
      <c r="CM268" s="364">
        <v>9.0000000000000024E-2</v>
      </c>
      <c r="CN268" s="364">
        <v>0.10000000000000003</v>
      </c>
      <c r="CO268" s="367">
        <f t="shared" si="11"/>
        <v>0.54</v>
      </c>
      <c r="CP268" s="367">
        <f t="shared" si="12"/>
        <v>0.46</v>
      </c>
      <c r="CQ268" s="367">
        <f t="shared" si="13"/>
        <v>0.4</v>
      </c>
      <c r="CR268" s="21">
        <v>7.9999999999999946E-2</v>
      </c>
      <c r="CS268" s="126">
        <v>0.10000000000000002</v>
      </c>
      <c r="CT268" s="126">
        <v>0.11000000000000003</v>
      </c>
      <c r="CU268" s="126"/>
      <c r="CV268" s="126"/>
      <c r="CW268" s="126"/>
    </row>
    <row r="269" spans="61:101" hidden="1">
      <c r="BI269" s="207" t="s">
        <v>3166</v>
      </c>
      <c r="BJ269" s="492">
        <v>4658</v>
      </c>
      <c r="BK269" s="497">
        <v>-1.0000000000000009E-2</v>
      </c>
      <c r="BL269" s="497">
        <v>-1.0000000000000009E-2</v>
      </c>
      <c r="BM269" s="497">
        <v>-1.0000000000000009E-2</v>
      </c>
      <c r="BN269" s="126" t="str">
        <f>VLOOKUP(BJ269,차량가!$A:$L,11,FALSE)</f>
        <v>고스트</v>
      </c>
      <c r="BO269" s="126" t="str">
        <f>VLOOKUP(BJ269,차량가!$A:$L,12,FALSE)</f>
        <v>EWB</v>
      </c>
      <c r="BS269" s="217"/>
      <c r="BT269" s="217"/>
      <c r="BU269" s="217"/>
      <c r="BV269" s="206" t="s">
        <v>1311</v>
      </c>
      <c r="BW269">
        <v>3986</v>
      </c>
      <c r="BX269" s="23">
        <v>0</v>
      </c>
      <c r="BY269" s="364">
        <v>4.9999999999999933E-2</v>
      </c>
      <c r="BZ269" s="364">
        <v>7.0000000000000007E-2</v>
      </c>
      <c r="CA269" s="364">
        <v>8.0000000000000016E-2</v>
      </c>
      <c r="CB269" s="365">
        <v>0.53</v>
      </c>
      <c r="CC269" s="365">
        <v>0.45</v>
      </c>
      <c r="CD269" s="365">
        <v>0.39</v>
      </c>
      <c r="CE269" s="366"/>
      <c r="CF269" s="366"/>
      <c r="CG269" s="366"/>
      <c r="CH269" s="24"/>
      <c r="CI269" s="206" t="s">
        <v>1311</v>
      </c>
      <c r="CJ269">
        <v>3986</v>
      </c>
      <c r="CK269" s="23">
        <v>0</v>
      </c>
      <c r="CL269" s="364">
        <v>4.9999999999999933E-2</v>
      </c>
      <c r="CM269" s="364">
        <v>7.0000000000000007E-2</v>
      </c>
      <c r="CN269" s="364">
        <v>8.0000000000000016E-2</v>
      </c>
      <c r="CO269" s="367">
        <f t="shared" si="11"/>
        <v>0.54</v>
      </c>
      <c r="CP269" s="367">
        <f t="shared" si="12"/>
        <v>0.46</v>
      </c>
      <c r="CQ269" s="367">
        <f t="shared" si="13"/>
        <v>0.4</v>
      </c>
      <c r="CR269" s="21">
        <v>5.9999999999999935E-2</v>
      </c>
      <c r="CS269" s="126">
        <v>0.08</v>
      </c>
      <c r="CT269" s="126">
        <v>9.0000000000000011E-2</v>
      </c>
      <c r="CU269" s="126"/>
      <c r="CV269" s="126"/>
      <c r="CW269" s="126"/>
    </row>
    <row r="270" spans="61:101" hidden="1">
      <c r="BI270" s="207" t="s">
        <v>3166</v>
      </c>
      <c r="BJ270" s="492">
        <v>2779</v>
      </c>
      <c r="BK270" s="497">
        <v>-1.0000000000000009E-2</v>
      </c>
      <c r="BL270" s="497">
        <v>-1.0000000000000009E-2</v>
      </c>
      <c r="BM270" s="497">
        <v>-1.0000000000000009E-2</v>
      </c>
      <c r="BN270" s="126" t="e">
        <f>VLOOKUP(BJ270,차량가!$A:$L,11,FALSE)</f>
        <v>#N/A</v>
      </c>
      <c r="BO270" s="126" t="e">
        <f>VLOOKUP(BJ270,차량가!$A:$L,12,FALSE)</f>
        <v>#N/A</v>
      </c>
      <c r="BS270" s="217"/>
      <c r="BT270" s="217"/>
      <c r="BU270" s="217"/>
      <c r="BV270" s="206" t="s">
        <v>1312</v>
      </c>
      <c r="BW270">
        <v>3275</v>
      </c>
      <c r="BX270" s="23">
        <v>0</v>
      </c>
      <c r="BY270" s="364">
        <v>3.0000000000000027E-2</v>
      </c>
      <c r="BZ270" s="364">
        <v>4.9999999999999989E-2</v>
      </c>
      <c r="CA270" s="364">
        <v>0.06</v>
      </c>
      <c r="CB270" s="365">
        <v>0.44</v>
      </c>
      <c r="CC270" s="365">
        <v>0.36</v>
      </c>
      <c r="CD270" s="365">
        <v>0.3</v>
      </c>
      <c r="CE270" s="366"/>
      <c r="CF270" s="366"/>
      <c r="CG270" s="366"/>
      <c r="CH270" s="24"/>
      <c r="CI270" s="206" t="s">
        <v>1312</v>
      </c>
      <c r="CJ270">
        <v>3275</v>
      </c>
      <c r="CK270" s="23">
        <v>0</v>
      </c>
      <c r="CL270" s="364">
        <v>3.0000000000000027E-2</v>
      </c>
      <c r="CM270" s="364">
        <v>4.9999999999999989E-2</v>
      </c>
      <c r="CN270" s="364">
        <v>0.06</v>
      </c>
      <c r="CO270" s="367">
        <f t="shared" si="11"/>
        <v>0.45</v>
      </c>
      <c r="CP270" s="367">
        <f t="shared" si="12"/>
        <v>0.37</v>
      </c>
      <c r="CQ270" s="367">
        <f t="shared" si="13"/>
        <v>0.31</v>
      </c>
      <c r="CR270" s="21">
        <v>4.0000000000000029E-2</v>
      </c>
      <c r="CS270" s="126">
        <v>5.9999999999999991E-2</v>
      </c>
      <c r="CT270" s="126">
        <v>6.9999999999999993E-2</v>
      </c>
      <c r="CU270" s="126"/>
      <c r="CV270" s="126"/>
      <c r="CW270" s="126"/>
    </row>
    <row r="271" spans="61:101" hidden="1">
      <c r="BI271" s="207" t="s">
        <v>3166</v>
      </c>
      <c r="BJ271" s="492">
        <v>4569</v>
      </c>
      <c r="BK271" s="497">
        <v>-1.0000000000000009E-2</v>
      </c>
      <c r="BL271" s="497">
        <v>-1.0000000000000009E-2</v>
      </c>
      <c r="BM271" s="497">
        <v>-1.0000000000000009E-2</v>
      </c>
      <c r="BN271" s="126" t="str">
        <f>VLOOKUP(BJ271,차량가!$A:$L,11,FALSE)</f>
        <v>쏘울</v>
      </c>
      <c r="BO271" s="126" t="str">
        <f>VLOOKUP(BJ271,차량가!$A:$L,12,FALSE)</f>
        <v>1.6 노블레스</v>
      </c>
      <c r="BS271" s="217"/>
      <c r="BT271" s="217"/>
      <c r="BU271" s="217"/>
      <c r="BV271" s="206" t="s">
        <v>1927</v>
      </c>
      <c r="BW271">
        <v>4255</v>
      </c>
      <c r="BX271" s="23">
        <v>0</v>
      </c>
      <c r="BY271" s="364">
        <v>6.9999999999999951E-2</v>
      </c>
      <c r="BZ271" s="364">
        <v>9.0000000000000024E-2</v>
      </c>
      <c r="CA271" s="364">
        <v>9.9999999999999978E-2</v>
      </c>
      <c r="CB271" s="365">
        <v>0.52</v>
      </c>
      <c r="CC271" s="365">
        <v>0.44</v>
      </c>
      <c r="CD271" s="365">
        <v>0.38</v>
      </c>
      <c r="CE271" s="366"/>
      <c r="CF271" s="366"/>
      <c r="CG271" s="366"/>
      <c r="CH271" s="24"/>
      <c r="CI271" s="206" t="s">
        <v>1927</v>
      </c>
      <c r="CJ271">
        <v>4255</v>
      </c>
      <c r="CK271" s="23">
        <v>0</v>
      </c>
      <c r="CL271" s="364">
        <v>6.9999999999999951E-2</v>
      </c>
      <c r="CM271" s="364">
        <v>9.0000000000000024E-2</v>
      </c>
      <c r="CN271" s="364">
        <v>9.9999999999999978E-2</v>
      </c>
      <c r="CO271" s="367">
        <f t="shared" si="11"/>
        <v>0.53</v>
      </c>
      <c r="CP271" s="367">
        <f t="shared" si="12"/>
        <v>0.45</v>
      </c>
      <c r="CQ271" s="367">
        <f t="shared" si="13"/>
        <v>0.39</v>
      </c>
      <c r="CR271" s="21">
        <v>7.9999999999999946E-2</v>
      </c>
      <c r="CS271" s="126">
        <v>0.10000000000000002</v>
      </c>
      <c r="CT271" s="126">
        <v>0.10999999999999997</v>
      </c>
      <c r="CU271" s="126"/>
      <c r="CV271" s="126"/>
      <c r="CW271" s="126"/>
    </row>
    <row r="272" spans="61:101" hidden="1">
      <c r="BI272" s="207" t="s">
        <v>3166</v>
      </c>
      <c r="BJ272" s="492">
        <v>3733</v>
      </c>
      <c r="BK272" s="497">
        <v>-1.0000000000000009E-2</v>
      </c>
      <c r="BL272" s="497">
        <v>-1.0000000000000009E-2</v>
      </c>
      <c r="BM272" s="497">
        <v>-1.0000000000000009E-2</v>
      </c>
      <c r="BN272" s="126" t="e">
        <f>VLOOKUP(BJ272,차량가!$A:$L,11,FALSE)</f>
        <v>#N/A</v>
      </c>
      <c r="BO272" s="126" t="e">
        <f>VLOOKUP(BJ272,차량가!$A:$L,12,FALSE)</f>
        <v>#N/A</v>
      </c>
      <c r="BS272" s="217"/>
      <c r="BT272" s="217"/>
      <c r="BU272" s="217"/>
      <c r="BV272" s="206" t="s">
        <v>1313</v>
      </c>
      <c r="BW272">
        <v>3897</v>
      </c>
      <c r="BX272" s="23">
        <v>0</v>
      </c>
      <c r="BY272" s="364">
        <v>6.9999999999999951E-2</v>
      </c>
      <c r="BZ272" s="364">
        <v>9.0000000000000024E-2</v>
      </c>
      <c r="CA272" s="364">
        <v>9.9999999999999978E-2</v>
      </c>
      <c r="CB272" s="365">
        <v>0.52</v>
      </c>
      <c r="CC272" s="365">
        <v>0.44</v>
      </c>
      <c r="CD272" s="365">
        <v>0.38</v>
      </c>
      <c r="CE272" s="366"/>
      <c r="CF272" s="366"/>
      <c r="CG272" s="366"/>
      <c r="CH272" s="24"/>
      <c r="CI272" s="206" t="s">
        <v>1313</v>
      </c>
      <c r="CJ272">
        <v>3897</v>
      </c>
      <c r="CK272" s="23">
        <v>0</v>
      </c>
      <c r="CL272" s="364">
        <v>6.9999999999999951E-2</v>
      </c>
      <c r="CM272" s="364">
        <v>9.0000000000000024E-2</v>
      </c>
      <c r="CN272" s="364">
        <v>9.9999999999999978E-2</v>
      </c>
      <c r="CO272" s="367">
        <f t="shared" si="11"/>
        <v>0.53</v>
      </c>
      <c r="CP272" s="367">
        <f t="shared" si="12"/>
        <v>0.45</v>
      </c>
      <c r="CQ272" s="367">
        <f t="shared" si="13"/>
        <v>0.39</v>
      </c>
      <c r="CR272" s="21">
        <v>7.9999999999999946E-2</v>
      </c>
      <c r="CS272" s="126">
        <v>0.10000000000000002</v>
      </c>
      <c r="CT272" s="126">
        <v>0.10999999999999997</v>
      </c>
      <c r="CU272" s="126"/>
      <c r="CV272" s="126"/>
      <c r="CW272" s="126"/>
    </row>
    <row r="273" spans="61:101" hidden="1">
      <c r="BI273" s="207" t="s">
        <v>3166</v>
      </c>
      <c r="BJ273" s="492">
        <v>4320</v>
      </c>
      <c r="BK273" s="497">
        <v>-1.0000000000000009E-2</v>
      </c>
      <c r="BL273" s="497">
        <v>-1.0000000000000009E-2</v>
      </c>
      <c r="BM273" s="497">
        <v>-1.0000000000000009E-2</v>
      </c>
      <c r="BN273" s="126" t="str">
        <f>VLOOKUP(BJ273,차량가!$A:$L,11,FALSE)</f>
        <v>K5</v>
      </c>
      <c r="BO273" s="126" t="str">
        <f>VLOOKUP(BJ273,차량가!$A:$L,12,FALSE)</f>
        <v>DL3 2.0 LPI 시그니처</v>
      </c>
      <c r="BS273" s="217"/>
      <c r="BT273" s="217"/>
      <c r="BU273" s="217"/>
      <c r="BV273" s="206" t="s">
        <v>1314</v>
      </c>
      <c r="BW273">
        <v>2187</v>
      </c>
      <c r="BX273" s="23">
        <v>0</v>
      </c>
      <c r="BY273" s="364">
        <v>6.9999999999999951E-2</v>
      </c>
      <c r="BZ273" s="364">
        <v>9.0000000000000024E-2</v>
      </c>
      <c r="CA273" s="364">
        <v>9.9999999999999978E-2</v>
      </c>
      <c r="CB273" s="365">
        <v>0.52</v>
      </c>
      <c r="CC273" s="365">
        <v>0.44</v>
      </c>
      <c r="CD273" s="365">
        <v>0.38</v>
      </c>
      <c r="CE273" s="366"/>
      <c r="CF273" s="366"/>
      <c r="CG273" s="366"/>
      <c r="CH273" s="24"/>
      <c r="CI273" s="206" t="s">
        <v>1314</v>
      </c>
      <c r="CJ273">
        <v>2187</v>
      </c>
      <c r="CK273" s="23">
        <v>0</v>
      </c>
      <c r="CL273" s="364">
        <v>6.9999999999999951E-2</v>
      </c>
      <c r="CM273" s="364">
        <v>9.0000000000000024E-2</v>
      </c>
      <c r="CN273" s="364">
        <v>9.9999999999999978E-2</v>
      </c>
      <c r="CO273" s="367">
        <f t="shared" si="11"/>
        <v>0.53</v>
      </c>
      <c r="CP273" s="367">
        <f t="shared" si="12"/>
        <v>0.45</v>
      </c>
      <c r="CQ273" s="367">
        <f t="shared" si="13"/>
        <v>0.39</v>
      </c>
      <c r="CR273" s="21">
        <v>7.9999999999999946E-2</v>
      </c>
      <c r="CS273" s="126">
        <v>0.10000000000000002</v>
      </c>
      <c r="CT273" s="126">
        <v>0.10999999999999997</v>
      </c>
      <c r="CU273" s="126"/>
      <c r="CV273" s="126"/>
      <c r="CW273" s="126"/>
    </row>
    <row r="274" spans="61:101" hidden="1">
      <c r="BI274" s="207" t="s">
        <v>3166</v>
      </c>
      <c r="BJ274" s="492">
        <v>5191</v>
      </c>
      <c r="BK274" s="497">
        <v>-1.0000000000000009E-2</v>
      </c>
      <c r="BL274" s="497">
        <v>-1.0000000000000009E-2</v>
      </c>
      <c r="BM274" s="497">
        <v>-1.0000000000000009E-2</v>
      </c>
      <c r="BN274" s="126" t="e">
        <f>VLOOKUP(BJ274,차량가!$A:$L,11,FALSE)</f>
        <v>#N/A</v>
      </c>
      <c r="BO274" s="126" t="e">
        <f>VLOOKUP(BJ274,차량가!$A:$L,12,FALSE)</f>
        <v>#N/A</v>
      </c>
      <c r="BS274" s="217"/>
      <c r="BT274" s="217"/>
      <c r="BU274" s="217"/>
      <c r="BV274" s="206" t="s">
        <v>1340</v>
      </c>
      <c r="BW274">
        <v>3705</v>
      </c>
      <c r="BX274" s="23">
        <v>0</v>
      </c>
      <c r="BY274" s="364">
        <v>0.10999999999999999</v>
      </c>
      <c r="BZ274" s="364">
        <v>0.13</v>
      </c>
      <c r="CA274" s="364">
        <v>0.14000000000000001</v>
      </c>
      <c r="CB274" s="365">
        <v>0.52</v>
      </c>
      <c r="CC274" s="365">
        <v>0.44</v>
      </c>
      <c r="CD274" s="365">
        <v>0.38</v>
      </c>
      <c r="CE274" s="366"/>
      <c r="CF274" s="366"/>
      <c r="CG274" s="366"/>
      <c r="CH274" s="24"/>
      <c r="CI274" s="206" t="s">
        <v>1340</v>
      </c>
      <c r="CJ274">
        <v>3705</v>
      </c>
      <c r="CK274" s="23">
        <v>0</v>
      </c>
      <c r="CL274" s="364">
        <v>0.10999999999999999</v>
      </c>
      <c r="CM274" s="364">
        <v>0.13</v>
      </c>
      <c r="CN274" s="364">
        <v>0.14000000000000001</v>
      </c>
      <c r="CO274" s="367">
        <f t="shared" si="11"/>
        <v>0.53</v>
      </c>
      <c r="CP274" s="367">
        <f t="shared" si="12"/>
        <v>0.45</v>
      </c>
      <c r="CQ274" s="367">
        <f t="shared" si="13"/>
        <v>0.39</v>
      </c>
      <c r="CR274" s="21">
        <v>0.11999999999999998</v>
      </c>
      <c r="CS274" s="126">
        <v>0.14000000000000001</v>
      </c>
      <c r="CT274" s="126">
        <v>0.15000000000000002</v>
      </c>
      <c r="CU274" s="126"/>
      <c r="CV274" s="126"/>
      <c r="CW274" s="126"/>
    </row>
    <row r="275" spans="61:101" hidden="1">
      <c r="BI275" s="207" t="s">
        <v>3166</v>
      </c>
      <c r="BJ275" s="492">
        <v>4661</v>
      </c>
      <c r="BK275" s="497">
        <v>-1.0000000000000009E-2</v>
      </c>
      <c r="BL275" s="497">
        <v>-1.0000000000000009E-2</v>
      </c>
      <c r="BM275" s="497">
        <v>-1.0000000000000009E-2</v>
      </c>
      <c r="BN275" s="126" t="str">
        <f>VLOOKUP(BJ275,차량가!$A:$L,11,FALSE)</f>
        <v>GT</v>
      </c>
      <c r="BO275" s="126" t="str">
        <f>VLOOKUP(BJ275,차량가!$A:$L,12,FALSE)</f>
        <v>V8</v>
      </c>
      <c r="BS275" s="217"/>
      <c r="BT275" s="217"/>
      <c r="BU275" s="217"/>
      <c r="BV275" s="206" t="s">
        <v>1341</v>
      </c>
      <c r="BW275">
        <v>3709</v>
      </c>
      <c r="BX275" s="23">
        <v>0</v>
      </c>
      <c r="BY275" s="364">
        <v>7.0000000000000007E-2</v>
      </c>
      <c r="BZ275" s="364">
        <v>8.9999999999999969E-2</v>
      </c>
      <c r="CA275" s="364">
        <v>9.9999999999999978E-2</v>
      </c>
      <c r="CB275" s="365">
        <v>0.43</v>
      </c>
      <c r="CC275" s="365">
        <v>0.35</v>
      </c>
      <c r="CD275" s="365">
        <v>0.28999999999999998</v>
      </c>
      <c r="CE275" s="366"/>
      <c r="CF275" s="366"/>
      <c r="CG275" s="366"/>
      <c r="CH275" s="24"/>
      <c r="CI275" s="206" t="s">
        <v>1341</v>
      </c>
      <c r="CJ275">
        <v>3709</v>
      </c>
      <c r="CK275" s="23">
        <v>0</v>
      </c>
      <c r="CL275" s="364">
        <v>7.0000000000000007E-2</v>
      </c>
      <c r="CM275" s="364">
        <v>8.9999999999999969E-2</v>
      </c>
      <c r="CN275" s="364">
        <v>9.9999999999999978E-2</v>
      </c>
      <c r="CO275" s="367">
        <f t="shared" si="11"/>
        <v>0.44</v>
      </c>
      <c r="CP275" s="367">
        <f t="shared" si="12"/>
        <v>0.36</v>
      </c>
      <c r="CQ275" s="367">
        <f t="shared" si="13"/>
        <v>0.3</v>
      </c>
      <c r="CR275" s="21">
        <v>0.08</v>
      </c>
      <c r="CS275" s="126">
        <v>9.9999999999999964E-2</v>
      </c>
      <c r="CT275" s="126">
        <v>0.10999999999999997</v>
      </c>
      <c r="CU275" s="126"/>
      <c r="CV275" s="126"/>
      <c r="CW275" s="126"/>
    </row>
    <row r="276" spans="61:101" hidden="1">
      <c r="BI276" s="207" t="s">
        <v>3166</v>
      </c>
      <c r="BJ276" s="492">
        <v>4662</v>
      </c>
      <c r="BK276" s="497">
        <v>-1.0000000000000009E-2</v>
      </c>
      <c r="BL276" s="497">
        <v>-1.0000000000000009E-2</v>
      </c>
      <c r="BM276" s="497">
        <v>-1.0000000000000009E-2</v>
      </c>
      <c r="BN276" s="126" t="str">
        <f>VLOOKUP(BJ276,차량가!$A:$L,11,FALSE)</f>
        <v>아투라</v>
      </c>
      <c r="BO276" s="126" t="str">
        <f>VLOOKUP(BJ276,차량가!$A:$L,12,FALSE)</f>
        <v>V6</v>
      </c>
      <c r="BS276" s="217"/>
      <c r="BT276" s="217"/>
      <c r="BU276" s="217"/>
      <c r="BV276" s="206" t="s">
        <v>1342</v>
      </c>
      <c r="BW276">
        <v>3706</v>
      </c>
      <c r="BX276" s="23">
        <v>0</v>
      </c>
      <c r="BY276" s="364">
        <v>5.0000000000000044E-2</v>
      </c>
      <c r="BZ276" s="364">
        <v>7.0000000000000007E-2</v>
      </c>
      <c r="CA276" s="364">
        <v>8.0000000000000016E-2</v>
      </c>
      <c r="CB276" s="365">
        <v>0.46</v>
      </c>
      <c r="CC276" s="365">
        <v>0.38</v>
      </c>
      <c r="CD276" s="365">
        <v>0.32</v>
      </c>
      <c r="CE276" s="366"/>
      <c r="CF276" s="366"/>
      <c r="CG276" s="366"/>
      <c r="CH276" s="24"/>
      <c r="CI276" s="206" t="s">
        <v>1342</v>
      </c>
      <c r="CJ276">
        <v>3706</v>
      </c>
      <c r="CK276" s="23">
        <v>0</v>
      </c>
      <c r="CL276" s="364">
        <v>5.0000000000000044E-2</v>
      </c>
      <c r="CM276" s="364">
        <v>7.0000000000000007E-2</v>
      </c>
      <c r="CN276" s="364">
        <v>8.0000000000000016E-2</v>
      </c>
      <c r="CO276" s="367">
        <f t="shared" si="11"/>
        <v>0.47000000000000003</v>
      </c>
      <c r="CP276" s="367">
        <f t="shared" si="12"/>
        <v>0.39</v>
      </c>
      <c r="CQ276" s="367">
        <f t="shared" si="13"/>
        <v>0.33</v>
      </c>
      <c r="CR276" s="21">
        <v>6.0000000000000046E-2</v>
      </c>
      <c r="CS276" s="126">
        <v>0.08</v>
      </c>
      <c r="CT276" s="126">
        <v>9.0000000000000011E-2</v>
      </c>
      <c r="CU276" s="126"/>
      <c r="CV276" s="126"/>
      <c r="CW276" s="126"/>
    </row>
    <row r="277" spans="61:101" hidden="1">
      <c r="BI277" s="207" t="s">
        <v>3166</v>
      </c>
      <c r="BJ277" s="492">
        <v>5371</v>
      </c>
      <c r="BK277" s="497">
        <v>-1.0000000000000009E-2</v>
      </c>
      <c r="BL277" s="497">
        <v>-1.0000000000000009E-2</v>
      </c>
      <c r="BM277" s="497">
        <v>-1.0000000000000009E-2</v>
      </c>
      <c r="BN277" s="126" t="e">
        <f>VLOOKUP(BJ277,차량가!$A:$L,11,FALSE)</f>
        <v>#N/A</v>
      </c>
      <c r="BO277" s="126" t="e">
        <f>VLOOKUP(BJ277,차량가!$A:$L,12,FALSE)</f>
        <v>#N/A</v>
      </c>
      <c r="BS277" s="217"/>
      <c r="BT277" s="217"/>
      <c r="BU277" s="217"/>
      <c r="BV277" s="206" t="s">
        <v>1913</v>
      </c>
      <c r="BW277">
        <v>4842</v>
      </c>
      <c r="BX277" s="23">
        <v>0</v>
      </c>
      <c r="BY277" s="364">
        <v>8.0000000000000016E-2</v>
      </c>
      <c r="BZ277" s="364">
        <v>9.9999999999999978E-2</v>
      </c>
      <c r="CA277" s="364">
        <v>0.10999999999999999</v>
      </c>
      <c r="CB277" s="365">
        <v>0.44</v>
      </c>
      <c r="CC277" s="365">
        <v>0.36</v>
      </c>
      <c r="CD277" s="365">
        <v>0.3</v>
      </c>
      <c r="CE277" s="366"/>
      <c r="CF277" s="366"/>
      <c r="CG277" s="366"/>
      <c r="CI277" s="206" t="s">
        <v>1913</v>
      </c>
      <c r="CJ277">
        <v>4842</v>
      </c>
      <c r="CK277" s="23">
        <v>0</v>
      </c>
      <c r="CL277" s="364">
        <v>8.0000000000000016E-2</v>
      </c>
      <c r="CM277" s="364">
        <v>9.9999999999999978E-2</v>
      </c>
      <c r="CN277" s="364">
        <v>0.10999999999999999</v>
      </c>
      <c r="CO277" s="367">
        <f t="shared" si="11"/>
        <v>0.45</v>
      </c>
      <c r="CP277" s="367">
        <f t="shared" si="12"/>
        <v>0.37</v>
      </c>
      <c r="CQ277" s="367">
        <f t="shared" si="13"/>
        <v>0.31</v>
      </c>
      <c r="CR277" s="21">
        <v>9.0000000000000011E-2</v>
      </c>
      <c r="CS277" s="126">
        <v>0.10999999999999997</v>
      </c>
      <c r="CT277" s="126">
        <v>0.11999999999999998</v>
      </c>
      <c r="CU277" s="126"/>
      <c r="CV277" s="126"/>
      <c r="CW277" s="126"/>
    </row>
    <row r="278" spans="61:101" hidden="1">
      <c r="BI278" s="207" t="s">
        <v>3166</v>
      </c>
      <c r="BJ278" s="202">
        <v>6006</v>
      </c>
      <c r="BK278" s="497">
        <v>-1.0000000000000009E-2</v>
      </c>
      <c r="BL278" s="497">
        <v>-1.0000000000000009E-2</v>
      </c>
      <c r="BM278" s="497">
        <v>-1.0000000000000009E-2</v>
      </c>
      <c r="BN278" s="126" t="e">
        <f>VLOOKUP(BJ278,차량가!$A:$L,11,FALSE)</f>
        <v>#N/A</v>
      </c>
      <c r="BO278" s="126" t="e">
        <f>VLOOKUP(BJ278,차량가!$A:$L,12,FALSE)</f>
        <v>#N/A</v>
      </c>
      <c r="BS278" s="217"/>
      <c r="BT278" s="217"/>
      <c r="BU278" s="217"/>
      <c r="BV278" s="206" t="s">
        <v>1343</v>
      </c>
      <c r="BW278">
        <v>3909</v>
      </c>
      <c r="BX278" s="23">
        <v>0</v>
      </c>
      <c r="BY278" s="364">
        <v>7.0000000000000007E-2</v>
      </c>
      <c r="BZ278" s="364">
        <v>8.9999999999999969E-2</v>
      </c>
      <c r="CA278" s="364">
        <v>9.9999999999999978E-2</v>
      </c>
      <c r="CB278" s="365">
        <v>0.43</v>
      </c>
      <c r="CC278" s="365">
        <v>0.35</v>
      </c>
      <c r="CD278" s="365">
        <v>0.28999999999999998</v>
      </c>
      <c r="CE278" s="366"/>
      <c r="CF278" s="366"/>
      <c r="CG278" s="366"/>
      <c r="CI278" s="206" t="s">
        <v>1343</v>
      </c>
      <c r="CJ278">
        <v>3909</v>
      </c>
      <c r="CK278" s="23">
        <v>0</v>
      </c>
      <c r="CL278" s="364">
        <v>7.0000000000000007E-2</v>
      </c>
      <c r="CM278" s="364">
        <v>8.9999999999999969E-2</v>
      </c>
      <c r="CN278" s="364">
        <v>9.9999999999999978E-2</v>
      </c>
      <c r="CO278" s="367">
        <f t="shared" si="11"/>
        <v>0.44</v>
      </c>
      <c r="CP278" s="367">
        <f t="shared" si="12"/>
        <v>0.36</v>
      </c>
      <c r="CQ278" s="367">
        <f t="shared" si="13"/>
        <v>0.3</v>
      </c>
      <c r="CR278" s="21">
        <v>0.08</v>
      </c>
      <c r="CS278" s="126">
        <v>9.9999999999999964E-2</v>
      </c>
      <c r="CT278" s="126">
        <v>0.10999999999999997</v>
      </c>
      <c r="CU278" s="126"/>
      <c r="CV278" s="126"/>
      <c r="CW278" s="126"/>
    </row>
    <row r="279" spans="61:101" hidden="1">
      <c r="BI279" s="207" t="s">
        <v>184</v>
      </c>
      <c r="BJ279" s="492">
        <v>4599</v>
      </c>
      <c r="BK279" s="497">
        <v>-1.0000000000000009E-2</v>
      </c>
      <c r="BL279" s="497">
        <v>-1.0000000000000009E-2</v>
      </c>
      <c r="BM279" s="497">
        <v>-1.0000000000000009E-2</v>
      </c>
      <c r="BN279" s="126" t="str">
        <f>VLOOKUP(BJ279,차량가!$A:$L,11,FALSE)</f>
        <v>S60</v>
      </c>
      <c r="BO279" s="126" t="str">
        <f>VLOOKUP(BJ279,차량가!$A:$L,12,FALSE)</f>
        <v>B5 얼티메이트 브라이트</v>
      </c>
      <c r="BS279" s="217"/>
      <c r="BT279" s="217"/>
      <c r="BU279" s="217"/>
      <c r="BV279" s="206" t="s">
        <v>1319</v>
      </c>
      <c r="BW279">
        <v>3707</v>
      </c>
      <c r="BX279" s="23">
        <v>0</v>
      </c>
      <c r="BY279" s="364">
        <v>8.0000000000000016E-2</v>
      </c>
      <c r="BZ279" s="364">
        <v>9.9999999999999978E-2</v>
      </c>
      <c r="CA279" s="364">
        <v>0.10999999999999999</v>
      </c>
      <c r="CB279" s="365">
        <v>0.44</v>
      </c>
      <c r="CC279" s="365">
        <v>0.36</v>
      </c>
      <c r="CD279" s="365">
        <v>0.3</v>
      </c>
      <c r="CE279" s="366"/>
      <c r="CF279" s="366"/>
      <c r="CG279" s="366"/>
      <c r="CI279" s="206" t="s">
        <v>1319</v>
      </c>
      <c r="CJ279">
        <v>3707</v>
      </c>
      <c r="CK279" s="23">
        <v>0</v>
      </c>
      <c r="CL279" s="364">
        <v>8.0000000000000016E-2</v>
      </c>
      <c r="CM279" s="364">
        <v>9.9999999999999978E-2</v>
      </c>
      <c r="CN279" s="364">
        <v>0.10999999999999999</v>
      </c>
      <c r="CO279" s="367">
        <f t="shared" si="11"/>
        <v>0.45</v>
      </c>
      <c r="CP279" s="367">
        <f t="shared" si="12"/>
        <v>0.37</v>
      </c>
      <c r="CQ279" s="367">
        <f t="shared" si="13"/>
        <v>0.31</v>
      </c>
      <c r="CR279" s="21">
        <v>9.0000000000000011E-2</v>
      </c>
      <c r="CS279" s="126">
        <v>0.10999999999999997</v>
      </c>
      <c r="CT279" s="126">
        <v>0.11999999999999998</v>
      </c>
      <c r="CU279" s="126"/>
      <c r="CV279" s="126"/>
      <c r="CW279" s="126"/>
    </row>
    <row r="280" spans="61:101" hidden="1">
      <c r="BI280" s="207" t="s">
        <v>184</v>
      </c>
      <c r="BJ280" s="492">
        <v>2721</v>
      </c>
      <c r="BK280" s="497">
        <v>-1.0000000000000009E-2</v>
      </c>
      <c r="BL280" s="497">
        <v>-1.0000000000000009E-2</v>
      </c>
      <c r="BM280" s="497">
        <v>-1.0000000000000009E-2</v>
      </c>
      <c r="BN280" s="126" t="e">
        <f>VLOOKUP(BJ280,차량가!$A:$L,11,FALSE)</f>
        <v>#N/A</v>
      </c>
      <c r="BO280" s="126" t="e">
        <f>VLOOKUP(BJ280,차량가!$A:$L,12,FALSE)</f>
        <v>#N/A</v>
      </c>
      <c r="BS280" s="217"/>
      <c r="BT280" s="217"/>
      <c r="BU280" s="217"/>
      <c r="BV280" t="s">
        <v>1376</v>
      </c>
      <c r="BW280">
        <v>2670</v>
      </c>
      <c r="BX280" s="23">
        <v>0</v>
      </c>
      <c r="BY280" s="364">
        <v>4.9999999999999989E-2</v>
      </c>
      <c r="BZ280" s="364">
        <v>7.0000000000000007E-2</v>
      </c>
      <c r="CA280" s="364">
        <v>8.0000000000000016E-2</v>
      </c>
      <c r="CB280" s="365">
        <v>0.41</v>
      </c>
      <c r="CC280" s="365">
        <v>0.33</v>
      </c>
      <c r="CD280" s="365">
        <v>0.27</v>
      </c>
      <c r="CE280" s="366"/>
      <c r="CF280" s="366"/>
      <c r="CG280" s="366"/>
      <c r="CI280" t="s">
        <v>1376</v>
      </c>
      <c r="CJ280">
        <v>2670</v>
      </c>
      <c r="CK280" s="23">
        <v>0</v>
      </c>
      <c r="CL280" s="364">
        <v>4.9999999999999989E-2</v>
      </c>
      <c r="CM280" s="364">
        <v>7.0000000000000007E-2</v>
      </c>
      <c r="CN280" s="364">
        <v>8.0000000000000016E-2</v>
      </c>
      <c r="CO280" s="367">
        <f t="shared" si="11"/>
        <v>0.42</v>
      </c>
      <c r="CP280" s="367">
        <f t="shared" si="12"/>
        <v>0.34</v>
      </c>
      <c r="CQ280" s="367">
        <f t="shared" si="13"/>
        <v>0.28000000000000003</v>
      </c>
      <c r="CR280" s="21">
        <v>5.9999999999999991E-2</v>
      </c>
      <c r="CS280" s="126">
        <v>0.08</v>
      </c>
      <c r="CT280" s="126">
        <v>9.0000000000000011E-2</v>
      </c>
      <c r="CU280" s="126"/>
      <c r="CV280" s="126"/>
      <c r="CW280" s="126"/>
    </row>
    <row r="281" spans="61:101" hidden="1">
      <c r="BI281" s="207" t="s">
        <v>184</v>
      </c>
      <c r="BJ281" s="492">
        <v>4947</v>
      </c>
      <c r="BK281" s="497">
        <v>-1.0000000000000009E-2</v>
      </c>
      <c r="BL281" s="497">
        <v>-1.0000000000000009E-2</v>
      </c>
      <c r="BM281" s="497">
        <v>-1.0000000000000009E-2</v>
      </c>
      <c r="BN281" s="126" t="str">
        <f>VLOOKUP(BJ281,차량가!$A:$L,11,FALSE)</f>
        <v>MUSTANG</v>
      </c>
      <c r="BO281" s="126" t="str">
        <f>VLOOKUP(BJ281,차량가!$A:$L,12,FALSE)</f>
        <v>2.3L EcoBoost Premium (convertible)</v>
      </c>
      <c r="BS281" s="217"/>
      <c r="BT281" s="217"/>
      <c r="BU281" s="217"/>
      <c r="BV281" s="206" t="s">
        <v>1400</v>
      </c>
      <c r="BW281">
        <v>4157</v>
      </c>
      <c r="BX281" s="23">
        <v>0</v>
      </c>
      <c r="BY281" s="364">
        <v>4.9999999999999989E-2</v>
      </c>
      <c r="BZ281" s="364">
        <v>7.0000000000000007E-2</v>
      </c>
      <c r="CA281" s="364">
        <v>8.0000000000000016E-2</v>
      </c>
      <c r="CB281" s="365">
        <v>0.41</v>
      </c>
      <c r="CC281" s="365">
        <v>0.33</v>
      </c>
      <c r="CD281" s="365">
        <v>0.27</v>
      </c>
      <c r="CE281" s="366"/>
      <c r="CF281" s="366"/>
      <c r="CG281" s="366"/>
      <c r="CI281" s="206" t="s">
        <v>1400</v>
      </c>
      <c r="CJ281">
        <v>4157</v>
      </c>
      <c r="CK281" s="23">
        <v>0</v>
      </c>
      <c r="CL281" s="364">
        <v>4.9999999999999989E-2</v>
      </c>
      <c r="CM281" s="364">
        <v>7.0000000000000007E-2</v>
      </c>
      <c r="CN281" s="364">
        <v>8.0000000000000016E-2</v>
      </c>
      <c r="CO281" s="367">
        <f t="shared" si="11"/>
        <v>0.42</v>
      </c>
      <c r="CP281" s="367">
        <f t="shared" si="12"/>
        <v>0.34</v>
      </c>
      <c r="CQ281" s="367">
        <f t="shared" si="13"/>
        <v>0.28000000000000003</v>
      </c>
      <c r="CR281" s="21">
        <v>5.9999999999999991E-2</v>
      </c>
      <c r="CS281" s="126">
        <v>0.08</v>
      </c>
      <c r="CT281" s="126">
        <v>9.0000000000000011E-2</v>
      </c>
      <c r="CU281" s="126"/>
      <c r="CV281" s="126"/>
      <c r="CW281" s="126"/>
    </row>
    <row r="282" spans="61:101" hidden="1">
      <c r="BI282" s="207" t="s">
        <v>184</v>
      </c>
      <c r="BJ282" s="492">
        <v>5326</v>
      </c>
      <c r="BK282" s="497">
        <v>-1.0000000000000009E-2</v>
      </c>
      <c r="BL282" s="497">
        <v>-1.0000000000000009E-2</v>
      </c>
      <c r="BM282" s="497">
        <v>-1.0000000000000009E-2</v>
      </c>
      <c r="BN282" s="126" t="e">
        <f>VLOOKUP(BJ282,차량가!$A:$L,11,FALSE)</f>
        <v>#N/A</v>
      </c>
      <c r="BO282" s="126" t="e">
        <f>VLOOKUP(BJ282,차량가!$A:$L,12,FALSE)</f>
        <v>#N/A</v>
      </c>
      <c r="BS282" s="217"/>
      <c r="BT282" s="217"/>
      <c r="BU282" s="217"/>
      <c r="BV282" s="206" t="s">
        <v>1410</v>
      </c>
      <c r="BW282">
        <v>2450</v>
      </c>
      <c r="BX282" s="368">
        <v>100000000</v>
      </c>
      <c r="BY282" s="364">
        <v>4.9999999999999989E-2</v>
      </c>
      <c r="BZ282" s="364">
        <v>7.0000000000000007E-2</v>
      </c>
      <c r="CA282" s="364">
        <v>8.0000000000000016E-2</v>
      </c>
      <c r="CB282" s="365">
        <v>0.41</v>
      </c>
      <c r="CC282" s="365">
        <v>0.33</v>
      </c>
      <c r="CD282" s="365">
        <v>0.27</v>
      </c>
      <c r="CE282" s="366"/>
      <c r="CF282" s="366"/>
      <c r="CG282" s="366"/>
      <c r="CI282" s="206" t="s">
        <v>1410</v>
      </c>
      <c r="CJ282">
        <v>2450</v>
      </c>
      <c r="CK282" s="368">
        <v>100000000</v>
      </c>
      <c r="CL282" s="364">
        <v>4.9999999999999989E-2</v>
      </c>
      <c r="CM282" s="364">
        <v>7.0000000000000007E-2</v>
      </c>
      <c r="CN282" s="364">
        <v>8.0000000000000016E-2</v>
      </c>
      <c r="CO282" s="367">
        <f t="shared" si="11"/>
        <v>0.42</v>
      </c>
      <c r="CP282" s="367">
        <f t="shared" si="12"/>
        <v>0.34</v>
      </c>
      <c r="CQ282" s="367">
        <f t="shared" si="13"/>
        <v>0.28000000000000003</v>
      </c>
      <c r="CR282" s="21">
        <v>5.9999999999999991E-2</v>
      </c>
      <c r="CS282" s="126">
        <v>0.08</v>
      </c>
      <c r="CT282" s="126">
        <v>9.0000000000000011E-2</v>
      </c>
      <c r="CU282" s="126"/>
      <c r="CV282" s="126"/>
      <c r="CW282" s="126"/>
    </row>
    <row r="283" spans="61:101" hidden="1">
      <c r="BI283" s="207" t="s">
        <v>184</v>
      </c>
      <c r="BJ283" s="492">
        <v>5327</v>
      </c>
      <c r="BK283" s="497">
        <v>-1.0000000000000009E-2</v>
      </c>
      <c r="BL283" s="497">
        <v>-1.0000000000000009E-2</v>
      </c>
      <c r="BM283" s="497">
        <v>-1.0000000000000009E-2</v>
      </c>
      <c r="BN283" s="126" t="e">
        <f>VLOOKUP(BJ283,차량가!$A:$L,11,FALSE)</f>
        <v>#N/A</v>
      </c>
      <c r="BO283" s="126" t="e">
        <f>VLOOKUP(BJ283,차량가!$A:$L,12,FALSE)</f>
        <v>#N/A</v>
      </c>
      <c r="BS283" s="217"/>
      <c r="BT283" s="217"/>
      <c r="BU283" s="217"/>
      <c r="BV283" s="41">
        <v>250</v>
      </c>
      <c r="BW283">
        <v>3462</v>
      </c>
      <c r="BX283" s="23">
        <v>0</v>
      </c>
      <c r="BY283" s="364">
        <v>0</v>
      </c>
      <c r="BZ283" s="364">
        <v>2.0000000000000018E-2</v>
      </c>
      <c r="CA283" s="364">
        <v>3.0000000000000027E-2</v>
      </c>
      <c r="CB283" s="365">
        <v>0.46</v>
      </c>
      <c r="CC283" s="365">
        <v>0.38</v>
      </c>
      <c r="CD283" s="365">
        <v>0.32</v>
      </c>
      <c r="CE283" s="366"/>
      <c r="CF283" s="366"/>
      <c r="CG283" s="366"/>
      <c r="CI283" s="41">
        <v>250</v>
      </c>
      <c r="CJ283">
        <v>3462</v>
      </c>
      <c r="CK283" s="23">
        <v>0</v>
      </c>
      <c r="CL283" s="364">
        <v>0</v>
      </c>
      <c r="CM283" s="364">
        <v>2.0000000000000018E-2</v>
      </c>
      <c r="CN283" s="364">
        <v>3.0000000000000027E-2</v>
      </c>
      <c r="CO283" s="367">
        <f t="shared" si="11"/>
        <v>0.47000000000000003</v>
      </c>
      <c r="CP283" s="367">
        <f t="shared" si="12"/>
        <v>0.39</v>
      </c>
      <c r="CQ283" s="367">
        <f t="shared" si="13"/>
        <v>0.33</v>
      </c>
      <c r="CR283" s="21">
        <v>0.01</v>
      </c>
      <c r="CS283" s="126">
        <v>3.000000000000002E-2</v>
      </c>
      <c r="CT283" s="126">
        <v>4.0000000000000029E-2</v>
      </c>
      <c r="CU283" s="126"/>
      <c r="CV283" s="126"/>
      <c r="CW283" s="126"/>
    </row>
    <row r="284" spans="61:101" hidden="1">
      <c r="BI284" s="207" t="s">
        <v>3168</v>
      </c>
      <c r="BJ284" s="36">
        <v>1746</v>
      </c>
      <c r="BK284" s="503">
        <v>-0.01</v>
      </c>
      <c r="BL284" s="503">
        <v>-0.01</v>
      </c>
      <c r="BM284" s="503">
        <v>-0.01</v>
      </c>
      <c r="BN284" s="126" t="e">
        <f>VLOOKUP(BJ284,차량가!$A:$L,11,FALSE)</f>
        <v>#N/A</v>
      </c>
      <c r="BO284" s="126" t="e">
        <f>VLOOKUP(BJ284,차량가!$A:$L,12,FALSE)</f>
        <v>#N/A</v>
      </c>
      <c r="BS284" s="217"/>
      <c r="BT284" s="217"/>
      <c r="BU284" s="217"/>
      <c r="BV284" s="206" t="s">
        <v>1315</v>
      </c>
      <c r="BW284">
        <v>3208</v>
      </c>
      <c r="BX284" s="23">
        <v>0</v>
      </c>
      <c r="BY284" s="364">
        <v>1.9999999999999962E-2</v>
      </c>
      <c r="BZ284" s="364">
        <v>4.0000000000000036E-2</v>
      </c>
      <c r="CA284" s="364">
        <v>4.9999999999999989E-2</v>
      </c>
      <c r="CB284" s="365">
        <v>0.41</v>
      </c>
      <c r="CC284" s="365">
        <v>0.33</v>
      </c>
      <c r="CD284" s="365">
        <v>0.27</v>
      </c>
      <c r="CE284" s="366"/>
      <c r="CF284" s="366"/>
      <c r="CG284" s="366"/>
      <c r="CI284" s="206" t="s">
        <v>1315</v>
      </c>
      <c r="CJ284">
        <v>3208</v>
      </c>
      <c r="CK284" s="23">
        <v>0</v>
      </c>
      <c r="CL284" s="364">
        <v>1.9999999999999962E-2</v>
      </c>
      <c r="CM284" s="364">
        <v>4.0000000000000036E-2</v>
      </c>
      <c r="CN284" s="364">
        <v>4.9999999999999989E-2</v>
      </c>
      <c r="CO284" s="367">
        <f t="shared" si="11"/>
        <v>0.42</v>
      </c>
      <c r="CP284" s="367">
        <f t="shared" si="12"/>
        <v>0.34</v>
      </c>
      <c r="CQ284" s="367">
        <f t="shared" si="13"/>
        <v>0.28000000000000003</v>
      </c>
      <c r="CR284" s="21">
        <v>2.9999999999999964E-2</v>
      </c>
      <c r="CS284" s="126">
        <v>5.0000000000000037E-2</v>
      </c>
      <c r="CT284" s="126">
        <v>5.9999999999999991E-2</v>
      </c>
      <c r="CU284" s="126"/>
      <c r="CV284" s="126"/>
      <c r="CW284" s="126"/>
    </row>
    <row r="285" spans="61:101" hidden="1">
      <c r="BI285" s="207" t="s">
        <v>184</v>
      </c>
      <c r="BJ285" s="502">
        <v>4948</v>
      </c>
      <c r="BK285" s="497">
        <v>-0.01</v>
      </c>
      <c r="BL285" s="497">
        <v>-0.01</v>
      </c>
      <c r="BM285" s="497">
        <v>0.03</v>
      </c>
      <c r="BN285" s="126" t="str">
        <f>VLOOKUP(BJ285,차량가!$A:$L,11,FALSE)</f>
        <v>MUSTANG</v>
      </c>
      <c r="BO285" s="126" t="str">
        <f>VLOOKUP(BJ285,차량가!$A:$L,12,FALSE)</f>
        <v>2.3L EcoBoost Premium (coupe)</v>
      </c>
      <c r="BS285" s="217"/>
      <c r="BT285" s="217"/>
      <c r="BU285" s="217"/>
      <c r="BV285" s="206" t="s">
        <v>113</v>
      </c>
      <c r="BW285">
        <v>2385</v>
      </c>
      <c r="BX285" s="23">
        <v>0</v>
      </c>
      <c r="BY285" s="364">
        <v>4.0000000000000036E-2</v>
      </c>
      <c r="BZ285" s="364">
        <v>0.06</v>
      </c>
      <c r="CA285" s="364">
        <v>7.0000000000000007E-2</v>
      </c>
      <c r="CB285" s="365">
        <v>0.4</v>
      </c>
      <c r="CC285" s="365">
        <v>0.32</v>
      </c>
      <c r="CD285" s="365">
        <v>0.26</v>
      </c>
      <c r="CE285" s="366"/>
      <c r="CF285" s="366"/>
      <c r="CG285" s="366"/>
      <c r="CI285" s="206" t="s">
        <v>113</v>
      </c>
      <c r="CJ285">
        <v>2385</v>
      </c>
      <c r="CK285" s="23">
        <v>0</v>
      </c>
      <c r="CL285" s="364">
        <v>4.0000000000000036E-2</v>
      </c>
      <c r="CM285" s="364">
        <v>0.06</v>
      </c>
      <c r="CN285" s="364">
        <v>7.0000000000000007E-2</v>
      </c>
      <c r="CO285" s="367">
        <f t="shared" si="11"/>
        <v>0.41000000000000003</v>
      </c>
      <c r="CP285" s="367">
        <f t="shared" si="12"/>
        <v>0.33</v>
      </c>
      <c r="CQ285" s="367">
        <f t="shared" si="13"/>
        <v>0.27</v>
      </c>
      <c r="CR285" s="21">
        <v>5.0000000000000037E-2</v>
      </c>
      <c r="CS285" s="126">
        <v>6.9999999999999993E-2</v>
      </c>
      <c r="CT285" s="126">
        <v>0.08</v>
      </c>
      <c r="CU285" s="126"/>
      <c r="CV285" s="126"/>
    </row>
    <row r="286" spans="61:101" hidden="1">
      <c r="BI286" s="207" t="s">
        <v>3166</v>
      </c>
      <c r="BJ286" s="492">
        <v>3040</v>
      </c>
      <c r="BK286" s="497">
        <v>0</v>
      </c>
      <c r="BL286" s="497">
        <v>0</v>
      </c>
      <c r="BM286" s="497">
        <v>0</v>
      </c>
      <c r="BN286" s="126" t="e">
        <f>VLOOKUP(BJ286,차량가!$A:$L,11,FALSE)</f>
        <v>#N/A</v>
      </c>
      <c r="BO286" s="126" t="e">
        <f>VLOOKUP(BJ286,차량가!$A:$L,12,FALSE)</f>
        <v>#N/A</v>
      </c>
      <c r="BS286" s="217"/>
      <c r="BT286" s="217"/>
      <c r="BU286" s="217"/>
      <c r="BV286" s="205" t="s">
        <v>2024</v>
      </c>
      <c r="BW286">
        <v>4994</v>
      </c>
      <c r="BX286" s="23">
        <v>0</v>
      </c>
      <c r="BY286" s="364">
        <v>5.0000000000000044E-2</v>
      </c>
      <c r="BZ286" s="364">
        <v>7.0000000000000007E-2</v>
      </c>
      <c r="CA286" s="364">
        <v>8.0000000000000016E-2</v>
      </c>
      <c r="CB286" s="365">
        <v>0.47000000000000003</v>
      </c>
      <c r="CC286" s="365">
        <v>0.39</v>
      </c>
      <c r="CD286" s="365">
        <v>0.33</v>
      </c>
      <c r="CE286" s="366"/>
      <c r="CF286" s="366"/>
      <c r="CG286" s="366"/>
      <c r="CI286" s="205" t="s">
        <v>2024</v>
      </c>
      <c r="CJ286">
        <v>4994</v>
      </c>
      <c r="CK286" s="23">
        <v>0</v>
      </c>
      <c r="CL286" s="364">
        <v>5.0000000000000044E-2</v>
      </c>
      <c r="CM286" s="364">
        <v>7.0000000000000007E-2</v>
      </c>
      <c r="CN286" s="364">
        <v>8.0000000000000016E-2</v>
      </c>
      <c r="CO286" s="367">
        <f t="shared" si="11"/>
        <v>0.48000000000000004</v>
      </c>
      <c r="CP286" s="367">
        <f t="shared" si="12"/>
        <v>0.4</v>
      </c>
      <c r="CQ286" s="367">
        <f t="shared" si="13"/>
        <v>0.34</v>
      </c>
      <c r="CR286" s="21">
        <v>6.0000000000000046E-2</v>
      </c>
      <c r="CS286" s="126">
        <v>0.08</v>
      </c>
      <c r="CT286" s="126">
        <v>9.0000000000000011E-2</v>
      </c>
      <c r="CU286" s="126"/>
      <c r="CV286" s="126"/>
    </row>
    <row r="287" spans="61:101" hidden="1">
      <c r="BI287" s="207" t="s">
        <v>3166</v>
      </c>
      <c r="BJ287" s="492">
        <v>3343</v>
      </c>
      <c r="BK287" s="497">
        <v>0</v>
      </c>
      <c r="BL287" s="497">
        <v>0</v>
      </c>
      <c r="BM287" s="497">
        <v>0</v>
      </c>
      <c r="BN287" s="126" t="e">
        <f>VLOOKUP(BJ287,차량가!$A:$L,11,FALSE)</f>
        <v>#N/A</v>
      </c>
      <c r="BO287" s="126" t="e">
        <f>VLOOKUP(BJ287,차량가!$A:$L,12,FALSE)</f>
        <v>#N/A</v>
      </c>
      <c r="BS287" s="217"/>
      <c r="BT287" s="217"/>
      <c r="BU287" s="217"/>
      <c r="BV287" s="204" t="s">
        <v>2025</v>
      </c>
      <c r="BW287">
        <v>4985</v>
      </c>
      <c r="BX287" s="23">
        <v>0</v>
      </c>
      <c r="BY287" s="364">
        <v>4.0000000000000036E-2</v>
      </c>
      <c r="BZ287" s="364">
        <v>0.06</v>
      </c>
      <c r="CA287" s="364">
        <v>7.0000000000000007E-2</v>
      </c>
      <c r="CB287" s="365">
        <v>0.45</v>
      </c>
      <c r="CC287" s="365">
        <v>0.37</v>
      </c>
      <c r="CD287" s="365">
        <v>0.31</v>
      </c>
      <c r="CE287" s="366"/>
      <c r="CF287" s="366"/>
      <c r="CG287" s="366"/>
      <c r="CI287" s="204" t="s">
        <v>2025</v>
      </c>
      <c r="CJ287">
        <v>4985</v>
      </c>
      <c r="CK287" s="23">
        <v>0</v>
      </c>
      <c r="CL287" s="364">
        <v>4.0000000000000036E-2</v>
      </c>
      <c r="CM287" s="364">
        <v>0.06</v>
      </c>
      <c r="CN287" s="364">
        <v>7.0000000000000007E-2</v>
      </c>
      <c r="CO287" s="367">
        <f t="shared" si="11"/>
        <v>0.46</v>
      </c>
      <c r="CP287" s="367">
        <f t="shared" si="12"/>
        <v>0.38</v>
      </c>
      <c r="CQ287" s="367">
        <f t="shared" si="13"/>
        <v>0.32</v>
      </c>
      <c r="CR287" s="21">
        <v>5.0000000000000037E-2</v>
      </c>
      <c r="CS287" s="126">
        <v>6.9999999999999993E-2</v>
      </c>
      <c r="CT287" s="126">
        <v>0.08</v>
      </c>
      <c r="CU287" s="126"/>
      <c r="CV287" s="126"/>
    </row>
    <row r="288" spans="61:101" hidden="1">
      <c r="BI288" s="207" t="s">
        <v>3166</v>
      </c>
      <c r="BJ288" s="492">
        <v>5246</v>
      </c>
      <c r="BK288" s="497">
        <v>0</v>
      </c>
      <c r="BL288" s="497">
        <v>0</v>
      </c>
      <c r="BM288" s="497">
        <v>0</v>
      </c>
      <c r="BN288" s="126" t="e">
        <f>VLOOKUP(BJ288,차량가!$A:$L,11,FALSE)</f>
        <v>#N/A</v>
      </c>
      <c r="BO288" s="126" t="e">
        <f>VLOOKUP(BJ288,차량가!$A:$L,12,FALSE)</f>
        <v>#N/A</v>
      </c>
      <c r="BS288" s="217"/>
      <c r="BT288" s="217"/>
      <c r="BU288" s="217"/>
      <c r="BV288" s="206" t="s">
        <v>1288</v>
      </c>
      <c r="BW288">
        <v>3209</v>
      </c>
      <c r="BX288" s="23">
        <v>0</v>
      </c>
      <c r="BY288" s="364">
        <v>2.0000000000000018E-2</v>
      </c>
      <c r="BZ288" s="364">
        <v>3.999999999999998E-2</v>
      </c>
      <c r="CA288" s="364">
        <v>4.9999999999999989E-2</v>
      </c>
      <c r="CB288" s="365">
        <v>0.43</v>
      </c>
      <c r="CC288" s="365">
        <v>0.35</v>
      </c>
      <c r="CD288" s="365">
        <v>0.28999999999999998</v>
      </c>
      <c r="CE288" s="366"/>
      <c r="CF288" s="366"/>
      <c r="CG288" s="366"/>
      <c r="CI288" s="206" t="s">
        <v>1288</v>
      </c>
      <c r="CJ288">
        <v>3209</v>
      </c>
      <c r="CK288" s="23">
        <v>0</v>
      </c>
      <c r="CL288" s="364">
        <v>2.0000000000000018E-2</v>
      </c>
      <c r="CM288" s="364">
        <v>3.999999999999998E-2</v>
      </c>
      <c r="CN288" s="364">
        <v>4.9999999999999989E-2</v>
      </c>
      <c r="CO288" s="367">
        <f t="shared" si="11"/>
        <v>0.44</v>
      </c>
      <c r="CP288" s="367">
        <f t="shared" si="12"/>
        <v>0.36</v>
      </c>
      <c r="CQ288" s="367">
        <f t="shared" si="13"/>
        <v>0.3</v>
      </c>
      <c r="CR288" s="21">
        <v>3.000000000000002E-2</v>
      </c>
      <c r="CS288" s="126">
        <v>4.9999999999999982E-2</v>
      </c>
      <c r="CT288" s="126">
        <v>5.9999999999999991E-2</v>
      </c>
      <c r="CU288" s="126"/>
      <c r="CV288" s="126"/>
    </row>
    <row r="289" spans="61:100" hidden="1">
      <c r="BI289" s="207" t="s">
        <v>3166</v>
      </c>
      <c r="BJ289" s="492">
        <v>4655</v>
      </c>
      <c r="BK289" s="497">
        <v>0</v>
      </c>
      <c r="BL289" s="497">
        <v>0</v>
      </c>
      <c r="BM289" s="497">
        <v>0</v>
      </c>
      <c r="BN289" s="126" t="str">
        <f>VLOOKUP(BJ289,차량가!$A:$L,11,FALSE)</f>
        <v>팬텀</v>
      </c>
      <c r="BO289" s="126" t="str">
        <f>VLOOKUP(BJ289,차량가!$A:$L,12,FALSE)</f>
        <v>SWB</v>
      </c>
      <c r="BS289" s="217"/>
      <c r="BT289" s="217"/>
      <c r="BU289" s="217"/>
      <c r="BV289" s="206" t="s">
        <v>1391</v>
      </c>
      <c r="BW289">
        <v>4708</v>
      </c>
      <c r="BX289" s="23">
        <v>0</v>
      </c>
      <c r="BY289" s="364">
        <v>6.0000000000000053E-2</v>
      </c>
      <c r="BZ289" s="364">
        <v>8.0000000000000016E-2</v>
      </c>
      <c r="CA289" s="364">
        <v>9.0000000000000024E-2</v>
      </c>
      <c r="CB289" s="365">
        <v>0.47000000000000003</v>
      </c>
      <c r="CC289" s="365">
        <v>0.39</v>
      </c>
      <c r="CD289" s="365">
        <v>0.33</v>
      </c>
      <c r="CE289" s="366"/>
      <c r="CF289" s="366"/>
      <c r="CG289" s="366"/>
      <c r="CI289" s="206" t="s">
        <v>1391</v>
      </c>
      <c r="CJ289">
        <v>4708</v>
      </c>
      <c r="CK289" s="23">
        <v>0</v>
      </c>
      <c r="CL289" s="364">
        <v>6.0000000000000053E-2</v>
      </c>
      <c r="CM289" s="364">
        <v>8.0000000000000016E-2</v>
      </c>
      <c r="CN289" s="364">
        <v>9.0000000000000024E-2</v>
      </c>
      <c r="CO289" s="367">
        <f t="shared" si="11"/>
        <v>0.48000000000000004</v>
      </c>
      <c r="CP289" s="367">
        <f t="shared" si="12"/>
        <v>0.4</v>
      </c>
      <c r="CQ289" s="367">
        <f t="shared" si="13"/>
        <v>0.34</v>
      </c>
      <c r="CR289" s="21">
        <v>7.0000000000000048E-2</v>
      </c>
      <c r="CS289" s="126">
        <v>9.0000000000000011E-2</v>
      </c>
      <c r="CT289" s="126">
        <v>0.10000000000000002</v>
      </c>
      <c r="CU289" s="126"/>
      <c r="CV289" s="126"/>
    </row>
    <row r="290" spans="61:100" hidden="1">
      <c r="BI290" s="207" t="s">
        <v>3166</v>
      </c>
      <c r="BJ290" s="492">
        <v>3574</v>
      </c>
      <c r="BK290" s="497">
        <v>0</v>
      </c>
      <c r="BL290" s="497">
        <v>0</v>
      </c>
      <c r="BM290" s="497">
        <v>0</v>
      </c>
      <c r="BN290" s="126" t="e">
        <f>VLOOKUP(BJ290,차량가!$A:$L,11,FALSE)</f>
        <v>#N/A</v>
      </c>
      <c r="BO290" s="126" t="e">
        <f>VLOOKUP(BJ290,차량가!$A:$L,12,FALSE)</f>
        <v>#N/A</v>
      </c>
      <c r="BS290" s="217"/>
      <c r="BT290" s="217"/>
      <c r="BU290" s="217"/>
      <c r="BV290" s="206" t="s">
        <v>1392</v>
      </c>
      <c r="BW290">
        <v>4629</v>
      </c>
      <c r="BX290" s="23">
        <v>0</v>
      </c>
      <c r="BY290" s="364">
        <v>6.0000000000000053E-2</v>
      </c>
      <c r="BZ290" s="364">
        <v>8.0000000000000016E-2</v>
      </c>
      <c r="CA290" s="364">
        <v>9.0000000000000024E-2</v>
      </c>
      <c r="CB290" s="365">
        <v>0.47000000000000003</v>
      </c>
      <c r="CC290" s="365">
        <v>0.39</v>
      </c>
      <c r="CD290" s="365">
        <v>0.33</v>
      </c>
      <c r="CE290" s="366"/>
      <c r="CF290" s="366"/>
      <c r="CG290" s="366"/>
      <c r="CI290" s="206" t="s">
        <v>1392</v>
      </c>
      <c r="CJ290">
        <v>4629</v>
      </c>
      <c r="CK290" s="23">
        <v>0</v>
      </c>
      <c r="CL290" s="364">
        <v>6.0000000000000053E-2</v>
      </c>
      <c r="CM290" s="364">
        <v>8.0000000000000016E-2</v>
      </c>
      <c r="CN290" s="364">
        <v>9.0000000000000024E-2</v>
      </c>
      <c r="CO290" s="367">
        <f t="shared" si="11"/>
        <v>0.48000000000000004</v>
      </c>
      <c r="CP290" s="367">
        <f t="shared" si="12"/>
        <v>0.4</v>
      </c>
      <c r="CQ290" s="367">
        <f t="shared" si="13"/>
        <v>0.34</v>
      </c>
      <c r="CR290" s="21">
        <v>7.0000000000000048E-2</v>
      </c>
      <c r="CS290" s="126">
        <v>9.0000000000000011E-2</v>
      </c>
      <c r="CT290" s="126">
        <v>0.10000000000000002</v>
      </c>
      <c r="CU290" s="126"/>
      <c r="CV290" s="126"/>
    </row>
    <row r="291" spans="61:100" hidden="1">
      <c r="BI291" s="207" t="s">
        <v>184</v>
      </c>
      <c r="BJ291" s="492">
        <v>5593</v>
      </c>
      <c r="BK291" s="497">
        <v>0</v>
      </c>
      <c r="BL291" s="497">
        <v>0</v>
      </c>
      <c r="BM291" s="497">
        <v>0</v>
      </c>
      <c r="BN291" s="126" t="e">
        <f>VLOOKUP(BJ291,차량가!$A:$L,11,FALSE)</f>
        <v>#N/A</v>
      </c>
      <c r="BO291" s="126" t="e">
        <f>VLOOKUP(BJ291,차량가!$A:$L,12,FALSE)</f>
        <v>#N/A</v>
      </c>
      <c r="BS291" s="217"/>
      <c r="BT291" s="217"/>
      <c r="BU291" s="217"/>
      <c r="BV291" s="65" t="s">
        <v>2121</v>
      </c>
      <c r="BW291" s="21">
        <v>5119</v>
      </c>
      <c r="BX291" s="23">
        <v>0</v>
      </c>
      <c r="BY291" s="364">
        <v>0.06</v>
      </c>
      <c r="BZ291" s="364">
        <v>8.0000000000000016E-2</v>
      </c>
      <c r="CA291" s="364">
        <v>9.0000000000000024E-2</v>
      </c>
      <c r="CB291" s="365">
        <v>0.42</v>
      </c>
      <c r="CC291" s="365">
        <v>0.34</v>
      </c>
      <c r="CD291" s="365">
        <v>0.28000000000000003</v>
      </c>
      <c r="CE291" s="366"/>
      <c r="CF291" s="366"/>
      <c r="CG291" s="366"/>
      <c r="CI291" s="65" t="s">
        <v>2121</v>
      </c>
      <c r="CJ291" s="21" t="s">
        <v>2118</v>
      </c>
      <c r="CK291" s="23">
        <v>0</v>
      </c>
      <c r="CL291" s="364">
        <v>0.06</v>
      </c>
      <c r="CM291" s="364">
        <v>8.0000000000000016E-2</v>
      </c>
      <c r="CN291" s="364">
        <v>9.0000000000000024E-2</v>
      </c>
      <c r="CO291" s="367">
        <f t="shared" si="11"/>
        <v>0.43</v>
      </c>
      <c r="CP291" s="367">
        <f t="shared" si="12"/>
        <v>0.35000000000000003</v>
      </c>
      <c r="CQ291" s="367">
        <f t="shared" si="13"/>
        <v>0.29000000000000004</v>
      </c>
      <c r="CR291" s="21">
        <v>6.9999999999999993E-2</v>
      </c>
      <c r="CS291" s="126">
        <v>9.0000000000000011E-2</v>
      </c>
      <c r="CT291" s="126">
        <v>0.10000000000000002</v>
      </c>
      <c r="CU291" s="126"/>
      <c r="CV291" s="126"/>
    </row>
    <row r="292" spans="61:100" hidden="1">
      <c r="BI292" s="207" t="s">
        <v>184</v>
      </c>
      <c r="BJ292" s="492">
        <v>4268</v>
      </c>
      <c r="BK292" s="497">
        <v>0</v>
      </c>
      <c r="BL292" s="497">
        <v>0</v>
      </c>
      <c r="BM292" s="497">
        <v>0</v>
      </c>
      <c r="BN292" s="126" t="str">
        <f>VLOOKUP(BJ292,차량가!$A:$L,11,FALSE)</f>
        <v>코란도</v>
      </c>
      <c r="BO292" s="126" t="str">
        <f>VLOOKUP(BJ292,차량가!$A:$L,12,FALSE)</f>
        <v>디젤 2WD C5 플러스 (A/T)</v>
      </c>
      <c r="BV292" s="66" t="s">
        <v>2122</v>
      </c>
      <c r="BW292" s="21">
        <v>5121</v>
      </c>
      <c r="BX292" s="23">
        <v>0</v>
      </c>
      <c r="BY292" s="364">
        <v>0.06</v>
      </c>
      <c r="BZ292" s="364">
        <v>8.0000000000000016E-2</v>
      </c>
      <c r="CA292" s="364">
        <v>9.0000000000000024E-2</v>
      </c>
      <c r="CB292" s="365">
        <v>0.42</v>
      </c>
      <c r="CC292" s="365">
        <v>0.34</v>
      </c>
      <c r="CD292" s="365">
        <v>0.28000000000000003</v>
      </c>
      <c r="CE292" s="366"/>
      <c r="CF292" s="366"/>
      <c r="CG292" s="366"/>
      <c r="CI292" s="66" t="s">
        <v>2122</v>
      </c>
      <c r="CJ292" s="21" t="s">
        <v>2119</v>
      </c>
      <c r="CK292" s="23">
        <v>0</v>
      </c>
      <c r="CL292" s="364">
        <v>0.06</v>
      </c>
      <c r="CM292" s="364">
        <v>8.0000000000000016E-2</v>
      </c>
      <c r="CN292" s="364">
        <v>9.0000000000000024E-2</v>
      </c>
      <c r="CO292" s="367">
        <f t="shared" si="11"/>
        <v>0.43</v>
      </c>
      <c r="CP292" s="367">
        <f t="shared" si="12"/>
        <v>0.35000000000000003</v>
      </c>
      <c r="CQ292" s="367">
        <f t="shared" si="13"/>
        <v>0.29000000000000004</v>
      </c>
      <c r="CR292" s="21">
        <v>6.9999999999999993E-2</v>
      </c>
      <c r="CS292" s="126">
        <v>9.0000000000000011E-2</v>
      </c>
      <c r="CT292" s="126">
        <v>0.10000000000000002</v>
      </c>
    </row>
    <row r="293" spans="61:100" hidden="1">
      <c r="BI293" s="207" t="s">
        <v>184</v>
      </c>
      <c r="BJ293" s="492">
        <v>5316</v>
      </c>
      <c r="BK293" s="497">
        <v>0</v>
      </c>
      <c r="BL293" s="497">
        <v>0</v>
      </c>
      <c r="BM293" s="497">
        <v>0</v>
      </c>
      <c r="BN293" s="126" t="e">
        <f>VLOOKUP(BJ293,차량가!$A:$L,11,FALSE)</f>
        <v>#N/A</v>
      </c>
      <c r="BO293" s="126" t="e">
        <f>VLOOKUP(BJ293,차량가!$A:$L,12,FALSE)</f>
        <v>#N/A</v>
      </c>
      <c r="BV293" s="65" t="s">
        <v>2123</v>
      </c>
      <c r="BW293" s="21">
        <v>5120</v>
      </c>
      <c r="BX293" s="23">
        <v>0</v>
      </c>
      <c r="BY293" s="364">
        <v>0.06</v>
      </c>
      <c r="BZ293" s="364">
        <v>8.0000000000000016E-2</v>
      </c>
      <c r="CA293" s="364">
        <v>9.0000000000000024E-2</v>
      </c>
      <c r="CB293" s="365">
        <v>0.42</v>
      </c>
      <c r="CC293" s="365">
        <v>0.34</v>
      </c>
      <c r="CD293" s="365">
        <v>0.28000000000000003</v>
      </c>
      <c r="CE293" s="366"/>
      <c r="CF293" s="366"/>
      <c r="CG293" s="366"/>
      <c r="CI293" s="65" t="s">
        <v>2123</v>
      </c>
      <c r="CJ293" s="21" t="s">
        <v>2120</v>
      </c>
      <c r="CK293" s="23">
        <v>0</v>
      </c>
      <c r="CL293" s="364">
        <v>0.06</v>
      </c>
      <c r="CM293" s="364">
        <v>8.0000000000000016E-2</v>
      </c>
      <c r="CN293" s="364">
        <v>9.0000000000000024E-2</v>
      </c>
      <c r="CO293" s="367">
        <f t="shared" si="11"/>
        <v>0.43</v>
      </c>
      <c r="CP293" s="367">
        <f t="shared" si="12"/>
        <v>0.35000000000000003</v>
      </c>
      <c r="CQ293" s="367">
        <f t="shared" si="13"/>
        <v>0.29000000000000004</v>
      </c>
      <c r="CR293" s="21">
        <v>6.9999999999999993E-2</v>
      </c>
      <c r="CS293" s="126">
        <v>9.0000000000000011E-2</v>
      </c>
      <c r="CT293" s="126">
        <v>0.10000000000000002</v>
      </c>
    </row>
    <row r="294" spans="61:100" hidden="1">
      <c r="BI294" s="207" t="s">
        <v>184</v>
      </c>
      <c r="BJ294" s="492">
        <v>5310</v>
      </c>
      <c r="BK294" s="497">
        <v>0</v>
      </c>
      <c r="BL294" s="497">
        <v>0</v>
      </c>
      <c r="BM294" s="497">
        <v>0</v>
      </c>
      <c r="BN294" s="126" t="e">
        <f>VLOOKUP(BJ294,차량가!$A:$L,11,FALSE)</f>
        <v>#N/A</v>
      </c>
      <c r="BO294" s="126" t="e">
        <f>VLOOKUP(BJ294,차량가!$A:$L,12,FALSE)</f>
        <v>#N/A</v>
      </c>
      <c r="BV294" s="227" t="s">
        <v>2796</v>
      </c>
      <c r="BW294">
        <v>5191</v>
      </c>
      <c r="BY294" s="21">
        <v>0.02</v>
      </c>
      <c r="BZ294" s="21">
        <v>0.04</v>
      </c>
      <c r="CA294" s="21">
        <v>0.05</v>
      </c>
      <c r="CB294" s="365">
        <v>0.53</v>
      </c>
      <c r="CC294" s="365">
        <v>0.45</v>
      </c>
      <c r="CD294" s="365">
        <v>0.39</v>
      </c>
      <c r="CI294" s="227" t="s">
        <v>2796</v>
      </c>
      <c r="CJ294">
        <v>5191</v>
      </c>
      <c r="CL294" s="21">
        <v>0.02</v>
      </c>
      <c r="CM294" s="21">
        <v>0.04</v>
      </c>
      <c r="CN294" s="21">
        <v>0.05</v>
      </c>
      <c r="CO294" s="21">
        <v>0.54</v>
      </c>
      <c r="CP294" s="21">
        <v>0.46</v>
      </c>
      <c r="CQ294" s="21">
        <v>0.4</v>
      </c>
    </row>
    <row r="295" spans="61:100" hidden="1">
      <c r="BI295" s="207" t="s">
        <v>184</v>
      </c>
      <c r="BJ295" s="492">
        <v>5311</v>
      </c>
      <c r="BK295" s="497">
        <v>0</v>
      </c>
      <c r="BL295" s="497">
        <v>0</v>
      </c>
      <c r="BM295" s="497">
        <v>0</v>
      </c>
      <c r="BN295" s="126" t="e">
        <f>VLOOKUP(BJ295,차량가!$A:$L,11,FALSE)</f>
        <v>#N/A</v>
      </c>
      <c r="BO295" s="126" t="e">
        <f>VLOOKUP(BJ295,차량가!$A:$L,12,FALSE)</f>
        <v>#N/A</v>
      </c>
      <c r="BV295" s="226"/>
      <c r="CB295" s="226"/>
      <c r="CC295" s="226"/>
      <c r="CD295" s="369"/>
    </row>
    <row r="296" spans="61:100" hidden="1">
      <c r="BI296" s="207" t="s">
        <v>184</v>
      </c>
      <c r="BJ296" s="492">
        <v>5312</v>
      </c>
      <c r="BK296" s="497">
        <v>0</v>
      </c>
      <c r="BL296" s="497">
        <v>0</v>
      </c>
      <c r="BM296" s="497">
        <v>0</v>
      </c>
      <c r="BN296" s="126" t="e">
        <f>VLOOKUP(BJ296,차량가!$A:$L,11,FALSE)</f>
        <v>#N/A</v>
      </c>
      <c r="BO296" s="126" t="e">
        <f>VLOOKUP(BJ296,차량가!$A:$L,12,FALSE)</f>
        <v>#N/A</v>
      </c>
      <c r="BV296" s="226"/>
      <c r="CB296" s="226"/>
      <c r="CC296" s="226"/>
      <c r="CD296" s="369"/>
    </row>
    <row r="297" spans="61:100" hidden="1">
      <c r="BI297" s="207" t="s">
        <v>3167</v>
      </c>
      <c r="BJ297" s="492">
        <v>4966</v>
      </c>
      <c r="BK297" s="497">
        <v>0</v>
      </c>
      <c r="BL297" s="497">
        <v>0</v>
      </c>
      <c r="BM297" s="497">
        <v>0</v>
      </c>
      <c r="BN297" s="126" t="str">
        <f>VLOOKUP(BJ297,차량가!$A:$L,11,FALSE)</f>
        <v>XT4</v>
      </c>
      <c r="BO297" s="126" t="str">
        <f>VLOOKUP(BJ297,차량가!$A:$L,12,FALSE)</f>
        <v>스포츠</v>
      </c>
    </row>
    <row r="298" spans="61:100" hidden="1">
      <c r="BI298" s="207" t="s">
        <v>3167</v>
      </c>
      <c r="BJ298" s="492">
        <v>5094</v>
      </c>
      <c r="BK298" s="497">
        <v>0</v>
      </c>
      <c r="BL298" s="497">
        <v>0</v>
      </c>
      <c r="BM298" s="497">
        <v>0</v>
      </c>
      <c r="BN298" s="126" t="str">
        <f>VLOOKUP(BJ298,차량가!$A:$L,11,FALSE)</f>
        <v>X Series X6</v>
      </c>
      <c r="BO298" s="126" t="str">
        <f>VLOOKUP(BJ298,차량가!$A:$L,12,FALSE)</f>
        <v>X6 M</v>
      </c>
    </row>
    <row r="299" spans="61:100" hidden="1">
      <c r="BI299" s="207" t="s">
        <v>98</v>
      </c>
      <c r="BJ299" s="492">
        <v>4838</v>
      </c>
      <c r="BK299" s="497">
        <v>1.0000000000000009E-2</v>
      </c>
      <c r="BL299" s="497">
        <v>1.0000000000000009E-2</v>
      </c>
      <c r="BM299" s="497">
        <v>1.0000000000000009E-2</v>
      </c>
      <c r="BN299" s="126" t="str">
        <f>VLOOKUP(BJ299,차량가!$A:$L,11,FALSE)</f>
        <v>570S</v>
      </c>
      <c r="BO299" s="126" t="str">
        <f>VLOOKUP(BJ299,차량가!$A:$L,12,FALSE)</f>
        <v xml:space="preserve">570S V8 Coupe </v>
      </c>
    </row>
    <row r="300" spans="61:100" hidden="1">
      <c r="BI300" s="207" t="s">
        <v>98</v>
      </c>
      <c r="BJ300" s="492">
        <v>4049</v>
      </c>
      <c r="BK300" s="497">
        <v>1.0000000000000009E-2</v>
      </c>
      <c r="BL300" s="497">
        <v>1.0000000000000009E-2</v>
      </c>
      <c r="BM300" s="497">
        <v>1.0000000000000009E-2</v>
      </c>
      <c r="BN300" s="126" t="str">
        <f>VLOOKUP(BJ300,차량가!$A:$L,11,FALSE)</f>
        <v>포터Ⅱ</v>
      </c>
      <c r="BO300" s="126" t="str">
        <f>VLOOKUP(BJ300,차량가!$A:$L,12,FALSE)</f>
        <v>CRDi 133마력 4WD 슈퍼캡 장축 Style M/T</v>
      </c>
    </row>
    <row r="301" spans="61:100" hidden="1">
      <c r="BI301" s="207" t="s">
        <v>98</v>
      </c>
      <c r="BJ301" s="492">
        <v>3830</v>
      </c>
      <c r="BK301" s="497">
        <v>1.0000000000000009E-2</v>
      </c>
      <c r="BL301" s="497">
        <v>1.0000000000000009E-2</v>
      </c>
      <c r="BM301" s="497">
        <v>1.0000000000000009E-2</v>
      </c>
      <c r="BN301" s="126" t="str">
        <f>VLOOKUP(BJ301,차량가!$A:$L,11,FALSE)</f>
        <v>그랜드 스타렉스 Urban</v>
      </c>
      <c r="BO301" s="126" t="str">
        <f>VLOOKUP(BJ301,차량가!$A:$L,12,FALSE)</f>
        <v>프리미엄 스페셜</v>
      </c>
    </row>
    <row r="302" spans="61:100" hidden="1">
      <c r="BI302" s="207" t="s">
        <v>98</v>
      </c>
      <c r="BJ302" s="492">
        <v>5159</v>
      </c>
      <c r="BK302" s="497">
        <v>1.0000000000000009E-2</v>
      </c>
      <c r="BL302" s="497">
        <v>1.0000000000000009E-2</v>
      </c>
      <c r="BM302" s="497">
        <v>1.0000000000000009E-2</v>
      </c>
      <c r="BN302" s="126" t="str">
        <f>VLOOKUP(BJ302,차량가!$A:$L,11,FALSE)</f>
        <v>Q5</v>
      </c>
      <c r="BO302" s="126" t="str">
        <f>VLOOKUP(BJ302,차량가!$A:$L,12,FALSE)</f>
        <v xml:space="preserve"> 45 TFSI Q</v>
      </c>
    </row>
    <row r="303" spans="61:100" hidden="1">
      <c r="BI303" s="207" t="s">
        <v>98</v>
      </c>
      <c r="BJ303" s="492">
        <v>5039</v>
      </c>
      <c r="BK303" s="497">
        <v>1.0000000000000009E-2</v>
      </c>
      <c r="BL303" s="497">
        <v>1.0000000000000009E-2</v>
      </c>
      <c r="BM303" s="497">
        <v>1.0000000000000009E-2</v>
      </c>
      <c r="BN303" s="126" t="str">
        <f>VLOOKUP(BJ303,차량가!$A:$L,11,FALSE)</f>
        <v>M Series M4</v>
      </c>
      <c r="BO303" s="126" t="str">
        <f>VLOOKUP(BJ303,차량가!$A:$L,12,FALSE)</f>
        <v>M4 Competition M xDrive Convertible</v>
      </c>
    </row>
    <row r="304" spans="61:100" hidden="1">
      <c r="BI304" s="207" t="s">
        <v>98</v>
      </c>
      <c r="BJ304" s="492">
        <v>4905</v>
      </c>
      <c r="BK304" s="497">
        <v>1.0000000000000009E-2</v>
      </c>
      <c r="BL304" s="497">
        <v>1.0000000000000009E-2</v>
      </c>
      <c r="BM304" s="497">
        <v>1.0000000000000009E-2</v>
      </c>
      <c r="BN304" s="126" t="str">
        <f>VLOOKUP(BJ304,차량가!$A:$L,11,FALSE)</f>
        <v>Wrangler</v>
      </c>
      <c r="BO304" s="126" t="str">
        <f>VLOOKUP(BJ304,차량가!$A:$L,12,FALSE)</f>
        <v>사하라 4도어 파워탑 4xe</v>
      </c>
    </row>
    <row r="305" spans="3:67" hidden="1">
      <c r="BI305" s="207" t="s">
        <v>98</v>
      </c>
      <c r="BJ305" s="492">
        <v>5040</v>
      </c>
      <c r="BK305" s="497">
        <v>1.0000000000000009E-2</v>
      </c>
      <c r="BL305" s="497">
        <v>1.0000000000000009E-2</v>
      </c>
      <c r="BM305" s="497">
        <v>1.0000000000000009E-2</v>
      </c>
      <c r="BN305" s="126" t="str">
        <f>VLOOKUP(BJ305,차량가!$A:$L,11,FALSE)</f>
        <v>M Series M5 Sedan</v>
      </c>
      <c r="BO305" s="126" t="str">
        <f>VLOOKUP(BJ305,차량가!$A:$L,12,FALSE)</f>
        <v>M5 Competition</v>
      </c>
    </row>
    <row r="306" spans="3:67" hidden="1">
      <c r="BI306" s="207" t="s">
        <v>98</v>
      </c>
      <c r="BJ306" s="492">
        <v>2333</v>
      </c>
      <c r="BK306" s="497">
        <v>1.0000000000000009E-2</v>
      </c>
      <c r="BL306" s="497">
        <v>9.9999999999999534E-3</v>
      </c>
      <c r="BM306" s="497">
        <v>9.9999999999999534E-3</v>
      </c>
      <c r="BN306" s="126" t="e">
        <f>VLOOKUP(BJ306,차량가!$A:$L,11,FALSE)</f>
        <v>#N/A</v>
      </c>
      <c r="BO306" s="126" t="e">
        <f>VLOOKUP(BJ306,차량가!$A:$L,12,FALSE)</f>
        <v>#N/A</v>
      </c>
    </row>
    <row r="307" spans="3:67" hidden="1">
      <c r="C307" s="533"/>
      <c r="D307" s="533"/>
      <c r="E307" s="533"/>
      <c r="F307" s="533"/>
      <c r="G307" s="533"/>
      <c r="H307" s="533"/>
      <c r="I307" s="533"/>
      <c r="J307" s="533"/>
      <c r="K307" s="533"/>
      <c r="L307" s="533"/>
      <c r="M307" s="533"/>
      <c r="N307" s="533"/>
      <c r="O307" s="533"/>
      <c r="P307" s="533"/>
      <c r="Q307" s="533"/>
      <c r="R307" s="533"/>
      <c r="S307" s="533"/>
      <c r="T307" s="533"/>
      <c r="U307" s="533"/>
      <c r="V307" s="533"/>
      <c r="W307" s="533"/>
      <c r="X307" s="533"/>
      <c r="Y307" s="533"/>
      <c r="Z307" s="533"/>
      <c r="AA307" s="533"/>
      <c r="AB307" s="533"/>
      <c r="AC307" s="533"/>
      <c r="AD307" s="533"/>
      <c r="AE307" s="533"/>
      <c r="AF307" s="533"/>
      <c r="AG307" s="533"/>
      <c r="AH307" s="533"/>
      <c r="AI307" s="533"/>
      <c r="AJ307" s="533"/>
      <c r="AK307" s="533"/>
      <c r="AL307" s="533"/>
      <c r="AM307" s="533"/>
      <c r="AN307" s="533"/>
      <c r="AO307" s="533"/>
      <c r="AP307" s="533"/>
      <c r="AQ307" s="533"/>
      <c r="AR307" s="533"/>
      <c r="AS307" s="533"/>
      <c r="AT307" s="533"/>
      <c r="AU307" s="534" t="s">
        <v>3268</v>
      </c>
      <c r="BI307" s="207" t="s">
        <v>98</v>
      </c>
      <c r="BJ307" s="492">
        <v>3049</v>
      </c>
      <c r="BK307" s="497">
        <v>1.0000000000000009E-2</v>
      </c>
      <c r="BL307" s="497">
        <v>9.9999999999999534E-3</v>
      </c>
      <c r="BM307" s="497">
        <v>9.9999999999999534E-3</v>
      </c>
      <c r="BN307" s="126" t="e">
        <f>VLOOKUP(BJ307,차량가!$A:$L,11,FALSE)</f>
        <v>#N/A</v>
      </c>
      <c r="BO307" s="126" t="e">
        <f>VLOOKUP(BJ307,차량가!$A:$L,12,FALSE)</f>
        <v>#N/A</v>
      </c>
    </row>
    <row r="308" spans="3:67" hidden="1">
      <c r="BI308" s="207" t="s">
        <v>98</v>
      </c>
      <c r="BJ308" s="492">
        <v>2183</v>
      </c>
      <c r="BK308" s="497">
        <v>1.0000000000000009E-2</v>
      </c>
      <c r="BL308" s="497">
        <v>9.9999999999999534E-3</v>
      </c>
      <c r="BM308" s="497">
        <v>9.9999999999999534E-3</v>
      </c>
      <c r="BN308" s="126" t="e">
        <f>VLOOKUP(BJ308,차량가!$A:$L,11,FALSE)</f>
        <v>#N/A</v>
      </c>
      <c r="BO308" s="126" t="e">
        <f>VLOOKUP(BJ308,차량가!$A:$L,12,FALSE)</f>
        <v>#N/A</v>
      </c>
    </row>
    <row r="309" spans="3:67">
      <c r="BI309" s="207" t="s">
        <v>98</v>
      </c>
      <c r="BJ309" s="492">
        <v>3783</v>
      </c>
      <c r="BK309" s="497">
        <v>1.0000000000000009E-2</v>
      </c>
      <c r="BL309" s="497">
        <v>1.0000000000000009E-2</v>
      </c>
      <c r="BM309" s="497">
        <v>1.0000000000000009E-2</v>
      </c>
      <c r="BN309" s="126" t="str">
        <f>VLOOKUP(BJ309,차량가!$A:$L,11,FALSE)</f>
        <v>G80</v>
      </c>
      <c r="BO309" s="126" t="str">
        <f>VLOOKUP(BJ309,차량가!$A:$L,12,FALSE)</f>
        <v xml:space="preserve">2.2 디젤 2WD </v>
      </c>
    </row>
    <row r="310" spans="3:67">
      <c r="BI310" s="207" t="s">
        <v>98</v>
      </c>
      <c r="BJ310" s="492">
        <v>3330</v>
      </c>
      <c r="BK310" s="497">
        <v>1.0000000000000009E-2</v>
      </c>
      <c r="BL310" s="497">
        <v>1.0000000000000009E-2</v>
      </c>
      <c r="BM310" s="497">
        <v>1.0000000000000009E-2</v>
      </c>
      <c r="BN310" s="126" t="e">
        <f>VLOOKUP(BJ310,차량가!$A:$L,11,FALSE)</f>
        <v>#N/A</v>
      </c>
      <c r="BO310" s="126" t="e">
        <f>VLOOKUP(BJ310,차량가!$A:$L,12,FALSE)</f>
        <v>#N/A</v>
      </c>
    </row>
    <row r="311" spans="3:67">
      <c r="BI311" s="207" t="s">
        <v>98</v>
      </c>
      <c r="BJ311" s="492">
        <v>910</v>
      </c>
      <c r="BK311" s="497">
        <v>1.0000000000000009E-2</v>
      </c>
      <c r="BL311" s="497">
        <v>1.0000000000000009E-2</v>
      </c>
      <c r="BM311" s="497">
        <v>1.0000000000000009E-2</v>
      </c>
      <c r="BN311" s="126" t="e">
        <f>VLOOKUP(BJ311,차량가!$A:$L,11,FALSE)</f>
        <v>#N/A</v>
      </c>
      <c r="BO311" s="126" t="e">
        <f>VLOOKUP(BJ311,차량가!$A:$L,12,FALSE)</f>
        <v>#N/A</v>
      </c>
    </row>
    <row r="312" spans="3:67">
      <c r="BI312" s="207" t="s">
        <v>98</v>
      </c>
      <c r="BJ312" s="492">
        <v>4058</v>
      </c>
      <c r="BK312" s="497">
        <v>1.0000000000000009E-2</v>
      </c>
      <c r="BL312" s="497">
        <v>1.0000000000000009E-2</v>
      </c>
      <c r="BM312" s="497">
        <v>1.0000000000000009E-2</v>
      </c>
      <c r="BN312" s="126" t="str">
        <f>VLOOKUP(BJ312,차량가!$A:$L,11,FALSE)</f>
        <v>포터Ⅱ 특장</v>
      </c>
      <c r="BO312" s="126" t="str">
        <f>VLOOKUP(BJ312,차량가!$A:$L,12,FALSE)</f>
        <v>내장탑차 초장축 슈퍼캡 PLUS A/T</v>
      </c>
    </row>
    <row r="313" spans="3:67">
      <c r="BI313" s="207" t="s">
        <v>98</v>
      </c>
      <c r="BJ313" s="492">
        <v>5775</v>
      </c>
      <c r="BK313" s="497">
        <v>1.0000000000000009E-2</v>
      </c>
      <c r="BL313" s="497">
        <v>9.9999999999999534E-3</v>
      </c>
      <c r="BM313" s="497">
        <v>9.9999999999999534E-3</v>
      </c>
      <c r="BN313" s="126" t="e">
        <f>VLOOKUP(BJ313,차량가!$A:$L,11,FALSE)</f>
        <v>#N/A</v>
      </c>
      <c r="BO313" s="126" t="e">
        <f>VLOOKUP(BJ313,차량가!$A:$L,12,FALSE)</f>
        <v>#N/A</v>
      </c>
    </row>
    <row r="314" spans="3:67">
      <c r="BI314" s="207" t="s">
        <v>98</v>
      </c>
      <c r="BJ314" s="492">
        <v>5334</v>
      </c>
      <c r="BK314" s="497">
        <v>1.0000000000000009E-2</v>
      </c>
      <c r="BL314" s="497">
        <v>9.9999999999999534E-3</v>
      </c>
      <c r="BM314" s="497">
        <v>9.9999999999999534E-3</v>
      </c>
      <c r="BN314" s="126" t="e">
        <f>VLOOKUP(BJ314,차량가!$A:$L,11,FALSE)</f>
        <v>#N/A</v>
      </c>
      <c r="BO314" s="126" t="e">
        <f>VLOOKUP(BJ314,차량가!$A:$L,12,FALSE)</f>
        <v>#N/A</v>
      </c>
    </row>
    <row r="315" spans="3:67">
      <c r="BI315" s="207" t="s">
        <v>98</v>
      </c>
      <c r="BJ315" s="492">
        <v>5335</v>
      </c>
      <c r="BK315" s="497">
        <v>1.0000000000000009E-2</v>
      </c>
      <c r="BL315" s="497">
        <v>9.9999999999999534E-3</v>
      </c>
      <c r="BM315" s="497">
        <v>9.9999999999999534E-3</v>
      </c>
      <c r="BN315" s="126" t="e">
        <f>VLOOKUP(BJ315,차량가!$A:$L,11,FALSE)</f>
        <v>#N/A</v>
      </c>
      <c r="BO315" s="126" t="e">
        <f>VLOOKUP(BJ315,차량가!$A:$L,12,FALSE)</f>
        <v>#N/A</v>
      </c>
    </row>
    <row r="316" spans="3:67">
      <c r="BI316" s="207" t="s">
        <v>98</v>
      </c>
      <c r="BJ316" s="492">
        <v>5336</v>
      </c>
      <c r="BK316" s="497">
        <v>1.0000000000000009E-2</v>
      </c>
      <c r="BL316" s="497">
        <v>9.9999999999999534E-3</v>
      </c>
      <c r="BM316" s="497">
        <v>9.9999999999999534E-3</v>
      </c>
      <c r="BN316" s="126" t="e">
        <f>VLOOKUP(BJ316,차량가!$A:$L,11,FALSE)</f>
        <v>#N/A</v>
      </c>
      <c r="BO316" s="126" t="e">
        <f>VLOOKUP(BJ316,차량가!$A:$L,12,FALSE)</f>
        <v>#N/A</v>
      </c>
    </row>
    <row r="317" spans="3:67">
      <c r="BI317" s="207" t="s">
        <v>3166</v>
      </c>
      <c r="BJ317" s="492">
        <v>4749</v>
      </c>
      <c r="BK317" s="497">
        <v>1.0000000000000009E-2</v>
      </c>
      <c r="BL317" s="497">
        <v>1.0000000000000009E-2</v>
      </c>
      <c r="BM317" s="497">
        <v>1.0000000000000009E-2</v>
      </c>
      <c r="BN317" s="126" t="str">
        <f>VLOOKUP(BJ317,차량가!$A:$L,11,FALSE)</f>
        <v>A-Class</v>
      </c>
      <c r="BO317" s="126" t="str">
        <f>VLOOKUP(BJ317,차량가!$A:$L,12,FALSE)</f>
        <v>A 220 해치백</v>
      </c>
    </row>
    <row r="318" spans="3:67">
      <c r="BI318" s="207" t="s">
        <v>3166</v>
      </c>
      <c r="BJ318" s="492">
        <v>5245</v>
      </c>
      <c r="BK318" s="497">
        <v>1.0000000000000009E-2</v>
      </c>
      <c r="BL318" s="497">
        <v>1.0000000000000009E-2</v>
      </c>
      <c r="BM318" s="497">
        <v>1.0000000000000009E-2</v>
      </c>
      <c r="BN318" s="126" t="e">
        <f>VLOOKUP(BJ318,차량가!$A:$L,11,FALSE)</f>
        <v>#N/A</v>
      </c>
      <c r="BO318" s="126" t="e">
        <f>VLOOKUP(BJ318,차량가!$A:$L,12,FALSE)</f>
        <v>#N/A</v>
      </c>
    </row>
    <row r="319" spans="3:67">
      <c r="BI319" s="207" t="s">
        <v>3166</v>
      </c>
      <c r="BJ319" s="492">
        <v>3045</v>
      </c>
      <c r="BK319" s="497">
        <v>1.0000000000000009E-2</v>
      </c>
      <c r="BL319" s="497">
        <v>1.0000000000000009E-2</v>
      </c>
      <c r="BM319" s="497">
        <v>1.0000000000000009E-2</v>
      </c>
      <c r="BN319" s="126" t="e">
        <f>VLOOKUP(BJ319,차량가!$A:$L,11,FALSE)</f>
        <v>#N/A</v>
      </c>
      <c r="BO319" s="126" t="e">
        <f>VLOOKUP(BJ319,차량가!$A:$L,12,FALSE)</f>
        <v>#N/A</v>
      </c>
    </row>
    <row r="320" spans="3:67">
      <c r="BI320" s="207" t="s">
        <v>3166</v>
      </c>
      <c r="BJ320" s="505">
        <v>4337</v>
      </c>
      <c r="BK320" s="497">
        <v>1.0000000000000009E-2</v>
      </c>
      <c r="BL320" s="497">
        <v>1.0000000000000009E-2</v>
      </c>
      <c r="BM320" s="497">
        <v>1.0000000000000009E-2</v>
      </c>
      <c r="BN320" s="126" t="str">
        <f>VLOOKUP(BJ320,차량가!$A:$L,11,FALSE)</f>
        <v>K8</v>
      </c>
      <c r="BO320" s="126" t="str">
        <f>VLOOKUP(BJ320,차량가!$A:$L,12,FALSE)</f>
        <v>가솔린 3.5</v>
      </c>
    </row>
    <row r="321" spans="61:67">
      <c r="BI321" s="207" t="s">
        <v>3166</v>
      </c>
      <c r="BJ321" s="505">
        <v>5925</v>
      </c>
      <c r="BK321" s="497">
        <v>1.0000000000000009E-2</v>
      </c>
      <c r="BL321" s="497">
        <v>1.0000000000000009E-2</v>
      </c>
      <c r="BM321" s="497">
        <v>1.0000000000000009E-2</v>
      </c>
      <c r="BN321" s="126" t="e">
        <f>VLOOKUP(BJ321,차량가!$A:$L,11,FALSE)</f>
        <v>#N/A</v>
      </c>
      <c r="BO321" s="126" t="e">
        <f>VLOOKUP(BJ321,차량가!$A:$L,12,FALSE)</f>
        <v>#N/A</v>
      </c>
    </row>
    <row r="322" spans="61:67">
      <c r="BI322" s="207" t="s">
        <v>3166</v>
      </c>
      <c r="BJ322" s="492">
        <v>3042</v>
      </c>
      <c r="BK322" s="497">
        <v>1.0000000000000009E-2</v>
      </c>
      <c r="BL322" s="497">
        <v>1.0000000000000009E-2</v>
      </c>
      <c r="BM322" s="497">
        <v>1.0000000000000009E-2</v>
      </c>
      <c r="BN322" s="126" t="e">
        <f>VLOOKUP(BJ322,차량가!$A:$L,11,FALSE)</f>
        <v>#N/A</v>
      </c>
      <c r="BO322" s="126" t="e">
        <f>VLOOKUP(BJ322,차량가!$A:$L,12,FALSE)</f>
        <v>#N/A</v>
      </c>
    </row>
    <row r="323" spans="61:67">
      <c r="BI323" s="207" t="s">
        <v>3166</v>
      </c>
      <c r="BJ323" s="492">
        <v>5626</v>
      </c>
      <c r="BK323" s="497">
        <v>1.0000000000000009E-2</v>
      </c>
      <c r="BL323" s="497">
        <v>1.0000000000000009E-2</v>
      </c>
      <c r="BM323" s="497">
        <v>1.0000000000000009E-2</v>
      </c>
      <c r="BN323" s="126" t="e">
        <f>VLOOKUP(BJ323,차량가!$A:$L,11,FALSE)</f>
        <v>#N/A</v>
      </c>
      <c r="BO323" s="126" t="e">
        <f>VLOOKUP(BJ323,차량가!$A:$L,12,FALSE)</f>
        <v>#N/A</v>
      </c>
    </row>
    <row r="324" spans="61:67">
      <c r="BI324" s="207" t="s">
        <v>3166</v>
      </c>
      <c r="BJ324" s="492">
        <v>5627</v>
      </c>
      <c r="BK324" s="497">
        <v>1.0000000000000009E-2</v>
      </c>
      <c r="BL324" s="497">
        <v>1.0000000000000009E-2</v>
      </c>
      <c r="BM324" s="497">
        <v>1.0000000000000009E-2</v>
      </c>
      <c r="BN324" s="126" t="e">
        <f>VLOOKUP(BJ324,차량가!$A:$L,11,FALSE)</f>
        <v>#N/A</v>
      </c>
      <c r="BO324" s="126" t="e">
        <f>VLOOKUP(BJ324,차량가!$A:$L,12,FALSE)</f>
        <v>#N/A</v>
      </c>
    </row>
    <row r="325" spans="61:67">
      <c r="BI325" s="207" t="s">
        <v>3166</v>
      </c>
      <c r="BJ325" s="492">
        <v>5470</v>
      </c>
      <c r="BK325" s="497">
        <v>1.0000000000000009E-2</v>
      </c>
      <c r="BL325" s="497">
        <v>1.0000000000000009E-2</v>
      </c>
      <c r="BM325" s="497">
        <v>1.0000000000000009E-2</v>
      </c>
      <c r="BN325" s="126" t="e">
        <f>VLOOKUP(BJ325,차량가!$A:$L,11,FALSE)</f>
        <v>#N/A</v>
      </c>
      <c r="BO325" s="126" t="e">
        <f>VLOOKUP(BJ325,차량가!$A:$L,12,FALSE)</f>
        <v>#N/A</v>
      </c>
    </row>
    <row r="326" spans="61:67">
      <c r="BI326" s="207" t="s">
        <v>184</v>
      </c>
      <c r="BJ326" s="492">
        <v>4600</v>
      </c>
      <c r="BK326" s="497">
        <v>1.0000000000000009E-2</v>
      </c>
      <c r="BL326" s="497">
        <v>1.0000000000000009E-2</v>
      </c>
      <c r="BM326" s="497">
        <v>1.0000000000000009E-2</v>
      </c>
      <c r="BN326" s="126" t="str">
        <f>VLOOKUP(BJ326,차량가!$A:$L,11,FALSE)</f>
        <v>S90</v>
      </c>
      <c r="BO326" s="126" t="str">
        <f>VLOOKUP(BJ326,차량가!$A:$L,12,FALSE)</f>
        <v>B5 얼티메이트 브라이트</v>
      </c>
    </row>
    <row r="327" spans="61:67">
      <c r="BI327" s="207" t="s">
        <v>184</v>
      </c>
      <c r="BJ327" s="492">
        <v>3062</v>
      </c>
      <c r="BK327" s="497">
        <v>1.0000000000000009E-2</v>
      </c>
      <c r="BL327" s="497">
        <v>1.0000000000000009E-2</v>
      </c>
      <c r="BM327" s="497">
        <v>1.0000000000000009E-2</v>
      </c>
      <c r="BN327" s="126" t="e">
        <f>VLOOKUP(BJ327,차량가!$A:$L,11,FALSE)</f>
        <v>#N/A</v>
      </c>
      <c r="BO327" s="126" t="e">
        <f>VLOOKUP(BJ327,차량가!$A:$L,12,FALSE)</f>
        <v>#N/A</v>
      </c>
    </row>
    <row r="328" spans="61:67">
      <c r="BI328" s="207" t="s">
        <v>184</v>
      </c>
      <c r="BJ328" s="492">
        <v>3934</v>
      </c>
      <c r="BK328" s="497">
        <v>1.0000000000000009E-2</v>
      </c>
      <c r="BL328" s="497">
        <v>1.0000000000000009E-2</v>
      </c>
      <c r="BM328" s="497">
        <v>1.0000000000000009E-2</v>
      </c>
      <c r="BN328" s="126" t="str">
        <f>VLOOKUP(BJ328,차량가!$A:$L,11,FALSE)</f>
        <v>쏠라티</v>
      </c>
      <c r="BO328" s="126" t="str">
        <f>VLOOKUP(BJ328,차량가!$A:$L,12,FALSE)</f>
        <v>디럭스 16인승 (전중문)</v>
      </c>
    </row>
    <row r="329" spans="61:67">
      <c r="BI329" s="207" t="s">
        <v>3167</v>
      </c>
      <c r="BJ329" s="492">
        <v>4809</v>
      </c>
      <c r="BK329" s="497">
        <v>1.0000000000000009E-2</v>
      </c>
      <c r="BL329" s="497">
        <v>1.0000000000000009E-2</v>
      </c>
      <c r="BM329" s="497">
        <v>1.0000000000000009E-2</v>
      </c>
      <c r="BN329" s="126" t="str">
        <f>VLOOKUP(BJ329,차량가!$A:$L,11,FALSE)</f>
        <v>GLC-Class</v>
      </c>
      <c r="BO329" s="126" t="str">
        <f>VLOOKUP(BJ329,차량가!$A:$L,12,FALSE)</f>
        <v>300 4MATIC</v>
      </c>
    </row>
    <row r="330" spans="61:67">
      <c r="BI330" s="207" t="s">
        <v>3167</v>
      </c>
      <c r="BJ330" s="492">
        <v>4808</v>
      </c>
      <c r="BK330" s="497">
        <v>1.0000000000000009E-2</v>
      </c>
      <c r="BL330" s="497">
        <v>1.0000000000000009E-2</v>
      </c>
      <c r="BM330" s="497">
        <v>1.0000000000000009E-2</v>
      </c>
      <c r="BN330" s="126" t="str">
        <f>VLOOKUP(BJ330,차량가!$A:$L,11,FALSE)</f>
        <v>GLC-Class</v>
      </c>
      <c r="BO330" s="126" t="str">
        <f>VLOOKUP(BJ330,차량가!$A:$L,12,FALSE)</f>
        <v>220d 4MATIC</v>
      </c>
    </row>
    <row r="331" spans="61:67">
      <c r="BI331" s="207" t="s">
        <v>3167</v>
      </c>
      <c r="BJ331" s="492">
        <v>4983</v>
      </c>
      <c r="BK331" s="497">
        <v>1.0000000000000009E-2</v>
      </c>
      <c r="BL331" s="497">
        <v>1.0000000000000009E-2</v>
      </c>
      <c r="BM331" s="497">
        <v>1.0000000000000009E-2</v>
      </c>
      <c r="BN331" s="126" t="str">
        <f>VLOOKUP(BJ331,차량가!$A:$L,11,FALSE)</f>
        <v>3 Series</v>
      </c>
      <c r="BO331" s="126" t="str">
        <f>VLOOKUP(BJ331,차량가!$A:$L,12,FALSE)</f>
        <v>320d Touring</v>
      </c>
    </row>
    <row r="332" spans="61:67">
      <c r="BI332" s="207" t="s">
        <v>3167</v>
      </c>
      <c r="BJ332" s="492">
        <v>4934</v>
      </c>
      <c r="BK332" s="497">
        <v>1.0000000000000009E-2</v>
      </c>
      <c r="BL332" s="497">
        <v>9.9999999999999534E-3</v>
      </c>
      <c r="BM332" s="497">
        <v>9.9999999999999534E-3</v>
      </c>
      <c r="BN332" s="126" t="str">
        <f>VLOOKUP(BJ332,차량가!$A:$L,11,FALSE)</f>
        <v>Range Rover VELAR</v>
      </c>
      <c r="BO332" s="126" t="str">
        <f>VLOOKUP(BJ332,차량가!$A:$L,12,FALSE)</f>
        <v>P400e Dynamic SE</v>
      </c>
    </row>
    <row r="333" spans="61:67">
      <c r="BI333" s="207" t="s">
        <v>3167</v>
      </c>
      <c r="BJ333" s="492">
        <v>4935</v>
      </c>
      <c r="BK333" s="497">
        <v>1.0000000000000009E-2</v>
      </c>
      <c r="BL333" s="497">
        <v>9.9999999999999534E-3</v>
      </c>
      <c r="BM333" s="497">
        <v>9.9999999999999534E-3</v>
      </c>
      <c r="BN333" s="126" t="str">
        <f>VLOOKUP(BJ333,차량가!$A:$L,11,FALSE)</f>
        <v>Range Rover VELAR</v>
      </c>
      <c r="BO333" s="126" t="str">
        <f>VLOOKUP(BJ333,차량가!$A:$L,12,FALSE)</f>
        <v>P400 Dynamic HSE</v>
      </c>
    </row>
    <row r="334" spans="61:67">
      <c r="BI334" s="207" t="s">
        <v>3166</v>
      </c>
      <c r="BJ334" s="492">
        <v>4994</v>
      </c>
      <c r="BK334" s="497">
        <v>0.02</v>
      </c>
      <c r="BL334" s="497">
        <v>0.02</v>
      </c>
      <c r="BM334" s="497">
        <v>0.02</v>
      </c>
      <c r="BN334" s="126" t="str">
        <f>VLOOKUP(BJ334,차량가!$A:$L,11,FALSE)</f>
        <v>4 Series</v>
      </c>
      <c r="BO334" s="126" t="str">
        <f>VLOOKUP(BJ334,차량가!$A:$L,12,FALSE)</f>
        <v>M440i xDrive Coupe</v>
      </c>
    </row>
    <row r="335" spans="61:67">
      <c r="BI335" s="207" t="s">
        <v>184</v>
      </c>
      <c r="BJ335" s="492">
        <v>550</v>
      </c>
      <c r="BK335" s="497">
        <v>2.0000000000000018E-2</v>
      </c>
      <c r="BL335" s="497">
        <v>2.0000000000000018E-2</v>
      </c>
      <c r="BM335" s="497">
        <v>1.9999999999999962E-2</v>
      </c>
      <c r="BN335" s="126" t="e">
        <f>VLOOKUP(BJ335,차량가!$A:$L,11,FALSE)</f>
        <v>#N/A</v>
      </c>
      <c r="BO335" s="126" t="e">
        <f>VLOOKUP(BJ335,차량가!$A:$L,12,FALSE)</f>
        <v>#N/A</v>
      </c>
    </row>
    <row r="336" spans="61:67">
      <c r="BI336" s="207" t="s">
        <v>184</v>
      </c>
      <c r="BJ336" s="492">
        <v>549</v>
      </c>
      <c r="BK336" s="497">
        <v>2.0000000000000018E-2</v>
      </c>
      <c r="BL336" s="497">
        <v>2.0000000000000018E-2</v>
      </c>
      <c r="BM336" s="497">
        <v>1.9999999999999962E-2</v>
      </c>
      <c r="BN336" s="126" t="e">
        <f>VLOOKUP(BJ336,차량가!$A:$L,11,FALSE)</f>
        <v>#N/A</v>
      </c>
      <c r="BO336" s="126" t="e">
        <f>VLOOKUP(BJ336,차량가!$A:$L,12,FALSE)</f>
        <v>#N/A</v>
      </c>
    </row>
    <row r="337" spans="61:67">
      <c r="BI337" s="207" t="s">
        <v>184</v>
      </c>
      <c r="BJ337" s="492">
        <v>3654</v>
      </c>
      <c r="BK337" s="497">
        <v>2.0000000000000018E-2</v>
      </c>
      <c r="BL337" s="497">
        <v>2.0000000000000018E-2</v>
      </c>
      <c r="BM337" s="497">
        <v>1.9999999999999962E-2</v>
      </c>
      <c r="BN337" s="126" t="e">
        <f>VLOOKUP(BJ337,차량가!$A:$L,11,FALSE)</f>
        <v>#N/A</v>
      </c>
      <c r="BO337" s="126" t="e">
        <f>VLOOKUP(BJ337,차량가!$A:$L,12,FALSE)</f>
        <v>#N/A</v>
      </c>
    </row>
    <row r="338" spans="61:67">
      <c r="BI338" s="207" t="s">
        <v>184</v>
      </c>
      <c r="BJ338" s="492">
        <v>2360</v>
      </c>
      <c r="BK338" s="497">
        <v>2.0000000000000018E-2</v>
      </c>
      <c r="BL338" s="497">
        <v>2.0000000000000018E-2</v>
      </c>
      <c r="BM338" s="497">
        <v>1.9999999999999962E-2</v>
      </c>
      <c r="BN338" s="126" t="e">
        <f>VLOOKUP(BJ338,차량가!$A:$L,11,FALSE)</f>
        <v>#N/A</v>
      </c>
      <c r="BO338" s="126" t="e">
        <f>VLOOKUP(BJ338,차량가!$A:$L,12,FALSE)</f>
        <v>#N/A</v>
      </c>
    </row>
    <row r="339" spans="61:67">
      <c r="BI339" s="207" t="s">
        <v>184</v>
      </c>
      <c r="BJ339" s="36">
        <v>4267</v>
      </c>
      <c r="BK339" s="497">
        <v>2.0000000000000018E-2</v>
      </c>
      <c r="BL339" s="497">
        <v>2.0000000000000018E-2</v>
      </c>
      <c r="BM339" s="497">
        <v>1.9999999999999962E-2</v>
      </c>
      <c r="BN339" s="126" t="str">
        <f>VLOOKUP(BJ339,차량가!$A:$L,11,FALSE)</f>
        <v>리스펙 티볼리</v>
      </c>
      <c r="BO339" s="126" t="str">
        <f>VLOOKUP(BJ339,차량가!$A:$L,12,FALSE)</f>
        <v>가솔린 V:3 스페셜</v>
      </c>
    </row>
    <row r="340" spans="61:67">
      <c r="BI340" s="207" t="s">
        <v>184</v>
      </c>
      <c r="BJ340" s="492">
        <v>4238</v>
      </c>
      <c r="BK340" s="497">
        <v>2.0000000000000018E-2</v>
      </c>
      <c r="BL340" s="497">
        <v>2.0000000000000018E-2</v>
      </c>
      <c r="BM340" s="497">
        <v>1.9999999999999962E-2</v>
      </c>
      <c r="BN340" s="126" t="str">
        <f>VLOOKUP(BJ340,차량가!$A:$L,11,FALSE)</f>
        <v>렉스턴 스포츠 칸 쿨멘</v>
      </c>
      <c r="BO340" s="126" t="str">
        <f>VLOOKUP(BJ340,차량가!$A:$L,12,FALSE)</f>
        <v>디젤2.2 2WD 와일드 플러스</v>
      </c>
    </row>
    <row r="341" spans="61:67">
      <c r="BI341" s="207" t="s">
        <v>184</v>
      </c>
      <c r="BJ341" s="492">
        <v>4875</v>
      </c>
      <c r="BK341" s="497">
        <v>2.0000000000000018E-2</v>
      </c>
      <c r="BL341" s="497">
        <v>2.0000000000000018E-2</v>
      </c>
      <c r="BM341" s="497">
        <v>1.9999999999999962E-2</v>
      </c>
      <c r="BN341" s="126" t="str">
        <f>VLOOKUP(BJ341,차량가!$A:$L,11,FALSE)</f>
        <v>NX</v>
      </c>
      <c r="BO341" s="126" t="str">
        <f>VLOOKUP(BJ341,차량가!$A:$L,12,FALSE)</f>
        <v>350h Luxury</v>
      </c>
    </row>
    <row r="342" spans="61:67">
      <c r="BI342" s="207" t="s">
        <v>3167</v>
      </c>
      <c r="BJ342" s="36">
        <v>6002</v>
      </c>
      <c r="BK342" s="497">
        <v>2.9999999999999971E-2</v>
      </c>
      <c r="BL342" s="497">
        <v>3.0000000000000027E-2</v>
      </c>
      <c r="BM342" s="497">
        <v>3.0000000000000027E-2</v>
      </c>
      <c r="BN342" s="126" t="e">
        <f>VLOOKUP(BJ342,차량가!$A:$L,11,FALSE)</f>
        <v>#N/A</v>
      </c>
      <c r="BO342" s="126" t="e">
        <f>VLOOKUP(BJ342,차량가!$A:$L,12,FALSE)</f>
        <v>#N/A</v>
      </c>
    </row>
    <row r="343" spans="61:67">
      <c r="BI343" s="493" t="s">
        <v>3166</v>
      </c>
      <c r="BJ343" s="492">
        <v>4553</v>
      </c>
      <c r="BK343" s="497">
        <v>3.0000000000000027E-2</v>
      </c>
      <c r="BL343" s="497">
        <v>3.0000000000000027E-2</v>
      </c>
      <c r="BM343" s="497">
        <v>3.0000000000000027E-2</v>
      </c>
      <c r="BN343" s="126" t="str">
        <f>VLOOKUP(BJ343,차량가!$A:$L,11,FALSE)</f>
        <v>쏘렌토</v>
      </c>
      <c r="BO343" s="126" t="str">
        <f>VLOOKUP(BJ343,차량가!$A:$L,12,FALSE)</f>
        <v>가솔린 터보 2.5 4WD 노블레스(6인승)</v>
      </c>
    </row>
    <row r="344" spans="61:67">
      <c r="BI344" s="207" t="s">
        <v>3166</v>
      </c>
      <c r="BJ344" s="504">
        <v>3575</v>
      </c>
      <c r="BK344" s="497">
        <v>3.0000000000000027E-2</v>
      </c>
      <c r="BL344" s="497">
        <v>3.0000000000000027E-2</v>
      </c>
      <c r="BM344" s="497">
        <v>3.0000000000000027E-2</v>
      </c>
      <c r="BN344" s="126" t="e">
        <f>VLOOKUP(BJ344,차량가!$A:$L,11,FALSE)</f>
        <v>#N/A</v>
      </c>
      <c r="BO344" s="126" t="e">
        <f>VLOOKUP(BJ344,차량가!$A:$L,12,FALSE)</f>
        <v>#N/A</v>
      </c>
    </row>
    <row r="345" spans="61:67">
      <c r="BI345" s="207" t="s">
        <v>3166</v>
      </c>
      <c r="BJ345" s="492">
        <v>4842</v>
      </c>
      <c r="BK345" s="497">
        <v>3.0000000000000027E-2</v>
      </c>
      <c r="BL345" s="497">
        <v>2.9999999999999971E-2</v>
      </c>
      <c r="BM345" s="497">
        <v>2.9999999999999971E-2</v>
      </c>
      <c r="BN345" s="126" t="str">
        <f>VLOOKUP(BJ345,차량가!$A:$L,11,FALSE)</f>
        <v>MC20</v>
      </c>
      <c r="BO345" s="126" t="str">
        <f>VLOOKUP(BJ345,차량가!$A:$L,12,FALSE)</f>
        <v>V6</v>
      </c>
    </row>
    <row r="346" spans="61:67">
      <c r="BI346" s="207" t="s">
        <v>184</v>
      </c>
      <c r="BJ346" s="492">
        <v>4606</v>
      </c>
      <c r="BK346" s="497">
        <v>3.0000000000000027E-2</v>
      </c>
      <c r="BL346" s="497">
        <v>3.0000000000000027E-2</v>
      </c>
      <c r="BM346" s="497">
        <v>3.0000000000000027E-2</v>
      </c>
      <c r="BN346" s="126" t="str">
        <f>VLOOKUP(BJ346,차량가!$A:$L,11,FALSE)</f>
        <v>V90</v>
      </c>
      <c r="BO346" s="126" t="str">
        <f>VLOOKUP(BJ346,차량가!$A:$L,12,FALSE)</f>
        <v>크로스컨트리 B5 AWD 얼티메이트</v>
      </c>
    </row>
    <row r="347" spans="61:67">
      <c r="BI347" s="207" t="s">
        <v>184</v>
      </c>
      <c r="BJ347" s="492">
        <v>3064</v>
      </c>
      <c r="BK347" s="497">
        <v>3.0000000000000027E-2</v>
      </c>
      <c r="BL347" s="497">
        <v>3.0000000000000027E-2</v>
      </c>
      <c r="BM347" s="497">
        <v>3.0000000000000027E-2</v>
      </c>
      <c r="BN347" s="126" t="e">
        <f>VLOOKUP(BJ347,차량가!$A:$L,11,FALSE)</f>
        <v>#N/A</v>
      </c>
      <c r="BO347" s="126" t="e">
        <f>VLOOKUP(BJ347,차량가!$A:$L,12,FALSE)</f>
        <v>#N/A</v>
      </c>
    </row>
    <row r="348" spans="61:67">
      <c r="BI348" s="207" t="s">
        <v>184</v>
      </c>
      <c r="BJ348" s="492">
        <v>573</v>
      </c>
      <c r="BK348" s="497">
        <v>3.0000000000000027E-2</v>
      </c>
      <c r="BL348" s="497">
        <v>3.0000000000000027E-2</v>
      </c>
      <c r="BM348" s="497">
        <v>3.0000000000000027E-2</v>
      </c>
      <c r="BN348" s="126" t="e">
        <f>VLOOKUP(BJ348,차량가!$A:$L,11,FALSE)</f>
        <v>#N/A</v>
      </c>
      <c r="BO348" s="126" t="e">
        <f>VLOOKUP(BJ348,차량가!$A:$L,12,FALSE)</f>
        <v>#N/A</v>
      </c>
    </row>
    <row r="349" spans="61:67">
      <c r="BI349" s="207" t="s">
        <v>184</v>
      </c>
      <c r="BJ349" s="492">
        <v>4888</v>
      </c>
      <c r="BK349" s="497">
        <v>3.0000000000000027E-2</v>
      </c>
      <c r="BL349" s="497">
        <v>3.0000000000000027E-2</v>
      </c>
      <c r="BM349" s="497">
        <v>3.0000000000000027E-2</v>
      </c>
      <c r="BN349" s="126" t="str">
        <f>VLOOKUP(BJ349,차량가!$A:$L,11,FALSE)</f>
        <v>Huracan</v>
      </c>
      <c r="BO349" s="126" t="str">
        <f>VLOOKUP(BJ349,차량가!$A:$L,12,FALSE)</f>
        <v>5.2 가솔린 Huracan evo Spider</v>
      </c>
    </row>
    <row r="350" spans="61:67">
      <c r="BI350" s="207" t="s">
        <v>184</v>
      </c>
      <c r="BJ350" s="492">
        <v>4936</v>
      </c>
      <c r="BK350" s="497">
        <v>3.0000000000000027E-2</v>
      </c>
      <c r="BL350" s="497">
        <v>3.0000000000000027E-2</v>
      </c>
      <c r="BM350" s="497">
        <v>3.0000000000000027E-2</v>
      </c>
      <c r="BN350" s="126" t="str">
        <f>VLOOKUP(BJ350,차량가!$A:$L,11,FALSE)</f>
        <v>ACCORD</v>
      </c>
      <c r="BO350" s="126" t="str">
        <f>VLOOKUP(BJ350,차량가!$A:$L,12,FALSE)</f>
        <v>1.5 터보</v>
      </c>
    </row>
    <row r="351" spans="61:67">
      <c r="BI351" s="207" t="s">
        <v>184</v>
      </c>
      <c r="BJ351" s="492">
        <v>4937</v>
      </c>
      <c r="BK351" s="497">
        <v>3.0000000000000027E-2</v>
      </c>
      <c r="BL351" s="497">
        <v>3.0000000000000027E-2</v>
      </c>
      <c r="BM351" s="497">
        <v>3.0000000000000027E-2</v>
      </c>
      <c r="BN351" s="126" t="str">
        <f>VLOOKUP(BJ351,차량가!$A:$L,11,FALSE)</f>
        <v>ACCORD</v>
      </c>
      <c r="BO351" s="126" t="str">
        <f>VLOOKUP(BJ351,차량가!$A:$L,12,FALSE)</f>
        <v>2.0 하이브리드 투어링</v>
      </c>
    </row>
    <row r="352" spans="61:67">
      <c r="BI352" s="207" t="s">
        <v>184</v>
      </c>
      <c r="BJ352" s="492">
        <v>5580</v>
      </c>
      <c r="BK352" s="497">
        <v>3.0000000000000027E-2</v>
      </c>
      <c r="BL352" s="497">
        <v>3.0000000000000027E-2</v>
      </c>
      <c r="BM352" s="497">
        <v>3.0000000000000027E-2</v>
      </c>
      <c r="BN352" s="126" t="e">
        <f>VLOOKUP(BJ352,차량가!$A:$L,11,FALSE)</f>
        <v>#N/A</v>
      </c>
      <c r="BO352" s="126" t="e">
        <f>VLOOKUP(BJ352,차량가!$A:$L,12,FALSE)</f>
        <v>#N/A</v>
      </c>
    </row>
    <row r="353" spans="61:67">
      <c r="BI353" s="207" t="s">
        <v>184</v>
      </c>
      <c r="BJ353" s="492">
        <v>4892</v>
      </c>
      <c r="BK353" s="497">
        <v>3.0000000000000027E-2</v>
      </c>
      <c r="BL353" s="497">
        <v>3.0000000000000027E-2</v>
      </c>
      <c r="BM353" s="497">
        <v>3.0000000000000027E-2</v>
      </c>
      <c r="BN353" s="126" t="str">
        <f>VLOOKUP(BJ353,차량가!$A:$L,11,FALSE)</f>
        <v>Grand Cherokee</v>
      </c>
      <c r="BO353" s="126" t="str">
        <f>VLOOKUP(BJ353,차량가!$A:$L,12,FALSE)</f>
        <v xml:space="preserve"> L 오버랜드 3.6</v>
      </c>
    </row>
    <row r="354" spans="61:67">
      <c r="BI354" s="207" t="s">
        <v>184</v>
      </c>
      <c r="BJ354" s="492">
        <v>4889</v>
      </c>
      <c r="BK354" s="497">
        <v>3.0000000000000027E-2</v>
      </c>
      <c r="BL354" s="497">
        <v>3.0000000000000027E-2</v>
      </c>
      <c r="BM354" s="497">
        <v>3.0000000000000027E-2</v>
      </c>
      <c r="BN354" s="126" t="str">
        <f>VLOOKUP(BJ354,차량가!$A:$L,11,FALSE)</f>
        <v>Urus</v>
      </c>
      <c r="BO354" s="126" t="str">
        <f>VLOOKUP(BJ354,차량가!$A:$L,12,FALSE)</f>
        <v>4.0 S</v>
      </c>
    </row>
    <row r="355" spans="61:67">
      <c r="BI355" s="207" t="s">
        <v>184</v>
      </c>
      <c r="BJ355" s="202">
        <v>564</v>
      </c>
      <c r="BK355" s="497">
        <v>3.0000000000000027E-2</v>
      </c>
      <c r="BL355" s="497">
        <v>3.0000000000000027E-2</v>
      </c>
      <c r="BM355" s="497">
        <v>2.9999999999999971E-2</v>
      </c>
      <c r="BN355" s="126" t="e">
        <f>VLOOKUP(BJ355,차량가!$A:$L,11,FALSE)</f>
        <v>#N/A</v>
      </c>
      <c r="BO355" s="126" t="e">
        <f>VLOOKUP(BJ355,차량가!$A:$L,12,FALSE)</f>
        <v>#N/A</v>
      </c>
    </row>
    <row r="356" spans="61:67">
      <c r="BI356" s="207" t="s">
        <v>184</v>
      </c>
      <c r="BJ356" s="492">
        <v>4986</v>
      </c>
      <c r="BK356" s="497">
        <v>3.0000000000000027E-2</v>
      </c>
      <c r="BL356" s="497">
        <v>3.0000000000000027E-2</v>
      </c>
      <c r="BM356" s="497">
        <v>3.0000000000000027E-2</v>
      </c>
      <c r="BN356" s="126" t="str">
        <f>VLOOKUP(BJ356,차량가!$A:$L,11,FALSE)</f>
        <v>3 Series</v>
      </c>
      <c r="BO356" s="126" t="str">
        <f>VLOOKUP(BJ356,차량가!$A:$L,12,FALSE)</f>
        <v>320i M Sport Package</v>
      </c>
    </row>
    <row r="357" spans="61:67">
      <c r="BI357" s="207" t="s">
        <v>184</v>
      </c>
      <c r="BJ357" s="492">
        <v>4652</v>
      </c>
      <c r="BK357" s="497">
        <v>3.0000000000000027E-2</v>
      </c>
      <c r="BL357" s="497">
        <v>2.9999999999999971E-2</v>
      </c>
      <c r="BM357" s="497">
        <v>2.9999999999999971E-2</v>
      </c>
      <c r="BN357" s="126" t="str">
        <f>VLOOKUP(BJ357,차량가!$A:$L,11,FALSE)</f>
        <v>SIENNA</v>
      </c>
      <c r="BO357" s="126" t="str">
        <f>VLOOKUP(BJ357,차량가!$A:$L,12,FALSE)</f>
        <v>하이브리드 AWD</v>
      </c>
    </row>
    <row r="358" spans="61:67">
      <c r="BI358" s="207" t="s">
        <v>184</v>
      </c>
      <c r="BJ358" s="492">
        <v>4653</v>
      </c>
      <c r="BK358" s="497">
        <v>3.0000000000000027E-2</v>
      </c>
      <c r="BL358" s="497">
        <v>2.9999999999999971E-2</v>
      </c>
      <c r="BM358" s="497">
        <v>2.9999999999999971E-2</v>
      </c>
      <c r="BN358" s="126" t="str">
        <f>VLOOKUP(BJ358,차량가!$A:$L,11,FALSE)</f>
        <v>HIGHLAND</v>
      </c>
      <c r="BO358" s="126" t="str">
        <f>VLOOKUP(BJ358,차량가!$A:$L,12,FALSE)</f>
        <v>리미티드</v>
      </c>
    </row>
    <row r="359" spans="61:67">
      <c r="BI359" s="207" t="s">
        <v>184</v>
      </c>
      <c r="BJ359" s="492">
        <v>4654</v>
      </c>
      <c r="BK359" s="497">
        <v>3.0000000000000027E-2</v>
      </c>
      <c r="BL359" s="497">
        <v>2.9999999999999971E-2</v>
      </c>
      <c r="BM359" s="497">
        <v>2.9999999999999971E-2</v>
      </c>
      <c r="BN359" s="126" t="str">
        <f>VLOOKUP(BJ359,차량가!$A:$L,11,FALSE)</f>
        <v>HIGHLAND</v>
      </c>
      <c r="BO359" s="126" t="str">
        <f>VLOOKUP(BJ359,차량가!$A:$L,12,FALSE)</f>
        <v>플래티넘</v>
      </c>
    </row>
    <row r="360" spans="61:67">
      <c r="BI360" s="207" t="s">
        <v>184</v>
      </c>
      <c r="BJ360" s="492">
        <v>5208</v>
      </c>
      <c r="BK360" s="497">
        <v>3.0000000000000027E-2</v>
      </c>
      <c r="BL360" s="497">
        <v>3.0000000000000027E-2</v>
      </c>
      <c r="BM360" s="497">
        <v>3.0000000000000027E-2</v>
      </c>
      <c r="BN360" s="126" t="e">
        <f>VLOOKUP(BJ360,차량가!$A:$L,11,FALSE)</f>
        <v>#N/A</v>
      </c>
      <c r="BO360" s="126" t="e">
        <f>VLOOKUP(BJ360,차량가!$A:$L,12,FALSE)</f>
        <v>#N/A</v>
      </c>
    </row>
    <row r="361" spans="61:67">
      <c r="BI361" s="207" t="s">
        <v>3167</v>
      </c>
      <c r="BJ361" s="492">
        <v>5043</v>
      </c>
      <c r="BK361" s="497">
        <v>3.0000000000000027E-2</v>
      </c>
      <c r="BL361" s="497">
        <v>3.0000000000000027E-2</v>
      </c>
      <c r="BM361" s="497">
        <v>3.0000000000000027E-2</v>
      </c>
      <c r="BN361" s="126" t="str">
        <f>VLOOKUP(BJ361,차량가!$A:$L,11,FALSE)</f>
        <v>M Series X5 M</v>
      </c>
      <c r="BO361" s="126" t="str">
        <f>VLOOKUP(BJ361,차량가!$A:$L,12,FALSE)</f>
        <v>X5M</v>
      </c>
    </row>
    <row r="362" spans="61:67">
      <c r="BI362" s="207" t="s">
        <v>3167</v>
      </c>
      <c r="BJ362" s="492">
        <v>5044</v>
      </c>
      <c r="BK362" s="497">
        <v>3.0000000000000027E-2</v>
      </c>
      <c r="BL362" s="497">
        <v>3.0000000000000027E-2</v>
      </c>
      <c r="BM362" s="497">
        <v>3.0000000000000027E-2</v>
      </c>
      <c r="BN362" s="126" t="str">
        <f>VLOOKUP(BJ362,차량가!$A:$L,11,FALSE)</f>
        <v>X Series X1</v>
      </c>
      <c r="BO362" s="126" t="str">
        <f>VLOOKUP(BJ362,차량가!$A:$L,12,FALSE)</f>
        <v>xDrive 18d Advantage</v>
      </c>
    </row>
    <row r="363" spans="61:67">
      <c r="BI363" s="207" t="s">
        <v>3167</v>
      </c>
      <c r="BJ363" s="36">
        <v>5622</v>
      </c>
      <c r="BK363" s="497">
        <v>3.0000000000000027E-2</v>
      </c>
      <c r="BL363" s="497">
        <v>3.0000000000000027E-2</v>
      </c>
      <c r="BM363" s="497">
        <v>3.0000000000000027E-2</v>
      </c>
      <c r="BN363" s="126" t="e">
        <f>VLOOKUP(BJ363,차량가!$A:$L,11,FALSE)</f>
        <v>#N/A</v>
      </c>
      <c r="BO363" s="126" t="e">
        <f>VLOOKUP(BJ363,차량가!$A:$L,12,FALSE)</f>
        <v>#N/A</v>
      </c>
    </row>
    <row r="364" spans="61:67">
      <c r="BI364" s="207" t="s">
        <v>184</v>
      </c>
      <c r="BJ364" s="492">
        <v>5194</v>
      </c>
      <c r="BK364" s="497">
        <v>3.999999999999998E-2</v>
      </c>
      <c r="BL364" s="497">
        <v>3.999999999999998E-2</v>
      </c>
      <c r="BM364" s="497">
        <v>3.999999999999998E-2</v>
      </c>
      <c r="BN364" s="126" t="e">
        <f>VLOOKUP(BJ364,차량가!$A:$L,11,FALSE)</f>
        <v>#N/A</v>
      </c>
      <c r="BO364" s="126" t="e">
        <f>VLOOKUP(BJ364,차량가!$A:$L,12,FALSE)</f>
        <v>#N/A</v>
      </c>
    </row>
    <row r="365" spans="61:67">
      <c r="BI365" s="207" t="s">
        <v>184</v>
      </c>
      <c r="BJ365" s="507">
        <v>5637</v>
      </c>
      <c r="BK365" s="497">
        <v>3.999999999999998E-2</v>
      </c>
      <c r="BL365" s="497">
        <v>3.999999999999998E-2</v>
      </c>
      <c r="BM365" s="497">
        <v>3.999999999999998E-2</v>
      </c>
      <c r="BN365" s="126" t="e">
        <f>VLOOKUP(BJ365,차량가!$A:$L,11,FALSE)</f>
        <v>#N/A</v>
      </c>
      <c r="BO365" s="126" t="e">
        <f>VLOOKUP(BJ365,차량가!$A:$L,12,FALSE)</f>
        <v>#N/A</v>
      </c>
    </row>
    <row r="366" spans="61:67">
      <c r="BI366" s="207" t="s">
        <v>3166</v>
      </c>
      <c r="BJ366" s="492">
        <v>5244</v>
      </c>
      <c r="BK366" s="497">
        <v>4.0000000000000036E-2</v>
      </c>
      <c r="BL366" s="497">
        <v>3.999999999999998E-2</v>
      </c>
      <c r="BM366" s="497">
        <v>3.999999999999998E-2</v>
      </c>
      <c r="BN366" s="126" t="e">
        <f>VLOOKUP(BJ366,차량가!$A:$L,11,FALSE)</f>
        <v>#N/A</v>
      </c>
      <c r="BO366" s="126" t="e">
        <f>VLOOKUP(BJ366,차량가!$A:$L,12,FALSE)</f>
        <v>#N/A</v>
      </c>
    </row>
    <row r="367" spans="61:67">
      <c r="BI367" s="207" t="s">
        <v>3166</v>
      </c>
      <c r="BJ367" s="505">
        <v>4557</v>
      </c>
      <c r="BK367" s="497">
        <v>4.0000000000000036E-2</v>
      </c>
      <c r="BL367" s="497">
        <v>3.999999999999998E-2</v>
      </c>
      <c r="BM367" s="497">
        <v>3.999999999999998E-2</v>
      </c>
      <c r="BN367" s="126" t="str">
        <f>VLOOKUP(BJ367,차량가!$A:$L,11,FALSE)</f>
        <v>쏘렌토</v>
      </c>
      <c r="BO367" s="126" t="str">
        <f>VLOOKUP(BJ367,차량가!$A:$L,12,FALSE)</f>
        <v>가솔린 터보 2.5 4WD 시그니처(5인승)</v>
      </c>
    </row>
    <row r="368" spans="61:67">
      <c r="BI368" s="207" t="s">
        <v>3166</v>
      </c>
      <c r="BJ368" s="504">
        <v>2384</v>
      </c>
      <c r="BK368" s="497">
        <v>4.9999999999999989E-2</v>
      </c>
      <c r="BL368" s="497">
        <v>5.0000000000000044E-2</v>
      </c>
      <c r="BM368" s="497">
        <v>5.0000000000000044E-2</v>
      </c>
      <c r="BN368" s="126" t="e">
        <f>VLOOKUP(BJ368,차량가!$A:$L,11,FALSE)</f>
        <v>#N/A</v>
      </c>
      <c r="BO368" s="126" t="e">
        <f>VLOOKUP(BJ368,차량가!$A:$L,12,FALSE)</f>
        <v>#N/A</v>
      </c>
    </row>
    <row r="369" spans="61:67">
      <c r="BI369" s="207" t="s">
        <v>3166</v>
      </c>
      <c r="BJ369" s="202">
        <v>6007</v>
      </c>
      <c r="BK369" s="497">
        <v>4.9999999999999989E-2</v>
      </c>
      <c r="BL369" s="497">
        <v>4.9999999999999989E-2</v>
      </c>
      <c r="BM369" s="497">
        <v>4.9999999999999989E-2</v>
      </c>
      <c r="BN369" s="126" t="e">
        <f>VLOOKUP(BJ369,차량가!$A:$L,11,FALSE)</f>
        <v>#N/A</v>
      </c>
      <c r="BO369" s="126" t="e">
        <f>VLOOKUP(BJ369,차량가!$A:$L,12,FALSE)</f>
        <v>#N/A</v>
      </c>
    </row>
    <row r="370" spans="61:67">
      <c r="BI370" s="207" t="s">
        <v>184</v>
      </c>
      <c r="BJ370" s="492">
        <v>5124</v>
      </c>
      <c r="BK370" s="497">
        <v>4.9999999999999989E-2</v>
      </c>
      <c r="BL370" s="497">
        <v>4.9999999999999989E-2</v>
      </c>
      <c r="BM370" s="497">
        <v>4.9999999999999989E-2</v>
      </c>
      <c r="BN370" s="126" t="str">
        <f>VLOOKUP(BJ370,차량가!$A:$L,11,FALSE)</f>
        <v>RS3</v>
      </c>
      <c r="BO370" s="126" t="str">
        <f>VLOOKUP(BJ370,차량가!$A:$L,12,FALSE)</f>
        <v>TFSI</v>
      </c>
    </row>
    <row r="371" spans="61:67">
      <c r="BI371" s="207" t="s">
        <v>184</v>
      </c>
      <c r="BJ371" s="492">
        <v>5123</v>
      </c>
      <c r="BK371" s="497">
        <v>4.9999999999999989E-2</v>
      </c>
      <c r="BL371" s="497">
        <v>4.9999999999999989E-2</v>
      </c>
      <c r="BM371" s="497">
        <v>4.9999999999999989E-2</v>
      </c>
      <c r="BN371" s="126" t="str">
        <f>VLOOKUP(BJ371,차량가!$A:$L,11,FALSE)</f>
        <v>S5</v>
      </c>
      <c r="BO371" s="126" t="str">
        <f>VLOOKUP(BJ371,차량가!$A:$L,12,FALSE)</f>
        <v>Coupe S5 3.0 TFSI</v>
      </c>
    </row>
    <row r="372" spans="61:67">
      <c r="BI372" s="207" t="s">
        <v>3166</v>
      </c>
      <c r="BJ372" s="508">
        <v>4985</v>
      </c>
      <c r="BK372" s="497">
        <v>0.06</v>
      </c>
      <c r="BL372" s="497">
        <v>0.06</v>
      </c>
      <c r="BM372" s="497">
        <v>0.06</v>
      </c>
      <c r="BN372" s="126" t="str">
        <f>VLOOKUP(BJ372,차량가!$A:$L,11,FALSE)</f>
        <v>3 Series</v>
      </c>
      <c r="BO372" s="126" t="str">
        <f>VLOOKUP(BJ372,차량가!$A:$L,12,FALSE)</f>
        <v>320i</v>
      </c>
    </row>
    <row r="373" spans="61:67">
      <c r="BJ373" s="492"/>
    </row>
  </sheetData>
  <protectedRanges>
    <protectedRange sqref="BH12:BM12" name="범위2"/>
  </protectedRanges>
  <mergeCells count="232">
    <mergeCell ref="BK4:BM4"/>
    <mergeCell ref="DD189:DD194"/>
    <mergeCell ref="DH194:DI194"/>
    <mergeCell ref="DJ194:DK194"/>
    <mergeCell ref="DH195:DI196"/>
    <mergeCell ref="DH197:DI198"/>
    <mergeCell ref="DH199:DI200"/>
    <mergeCell ref="DJ199:DK200"/>
    <mergeCell ref="DH193:DK193"/>
    <mergeCell ref="DJ195:DK195"/>
    <mergeCell ref="DJ197:DK197"/>
    <mergeCell ref="DJ198:DK198"/>
    <mergeCell ref="DJ196:DK196"/>
    <mergeCell ref="BK30:BL30"/>
    <mergeCell ref="CW188:CY188"/>
    <mergeCell ref="CY174:CY175"/>
    <mergeCell ref="CX180:CX181"/>
    <mergeCell ref="CY180:CY181"/>
    <mergeCell ref="BN30:BO30"/>
    <mergeCell ref="BN29:BO29"/>
    <mergeCell ref="BK253:BK254"/>
    <mergeCell ref="BK255:BK256"/>
    <mergeCell ref="BN169:BN171"/>
    <mergeCell ref="BN173:BN174"/>
    <mergeCell ref="BN168:BO168"/>
    <mergeCell ref="BN175:BN177"/>
    <mergeCell ref="BK243:BK244"/>
    <mergeCell ref="BK245:BK252"/>
    <mergeCell ref="BN125:BN126"/>
    <mergeCell ref="BK217:BK219"/>
    <mergeCell ref="BK184:BK185"/>
    <mergeCell ref="BI178:BI179"/>
    <mergeCell ref="AX26:AX27"/>
    <mergeCell ref="CX174:CX175"/>
    <mergeCell ref="CX176:CX177"/>
    <mergeCell ref="CX178:CX179"/>
    <mergeCell ref="BI163:BL163"/>
    <mergeCell ref="BN38:BO38"/>
    <mergeCell ref="AT24:AU24"/>
    <mergeCell ref="BN26:BO26"/>
    <mergeCell ref="BN27:BO27"/>
    <mergeCell ref="BN28:BO28"/>
    <mergeCell ref="BN36:BO36"/>
    <mergeCell ref="BN34:BO34"/>
    <mergeCell ref="BN35:BO35"/>
    <mergeCell ref="BN33:BO33"/>
    <mergeCell ref="BN32:BO32"/>
    <mergeCell ref="AZ28:BB28"/>
    <mergeCell ref="BK166:BK183"/>
    <mergeCell ref="BK34:BL34"/>
    <mergeCell ref="AY49:AZ49"/>
    <mergeCell ref="AR42:AU42"/>
    <mergeCell ref="BN31:BO31"/>
    <mergeCell ref="AX39:BB41"/>
    <mergeCell ref="CX205:CX210"/>
    <mergeCell ref="BK186:BK196"/>
    <mergeCell ref="BK197:BK198"/>
    <mergeCell ref="BK199:BK200"/>
    <mergeCell ref="BK201:BK202"/>
    <mergeCell ref="CX190:CX191"/>
    <mergeCell ref="CX192:CX193"/>
    <mergeCell ref="CX198:CX199"/>
    <mergeCell ref="CX200:CX201"/>
    <mergeCell ref="CX203:CX204"/>
    <mergeCell ref="CX194:CX197"/>
    <mergeCell ref="BV187:CA187"/>
    <mergeCell ref="CI187:CN187"/>
    <mergeCell ref="BK203:BK205"/>
    <mergeCell ref="BK206:BK207"/>
    <mergeCell ref="BK208:BK209"/>
    <mergeCell ref="AY9:BB9"/>
    <mergeCell ref="AY10:BB10"/>
    <mergeCell ref="CX172:CY172"/>
    <mergeCell ref="BN37:BO37"/>
    <mergeCell ref="BA50:BB50"/>
    <mergeCell ref="BA49:BB49"/>
    <mergeCell ref="AZ45:BB45"/>
    <mergeCell ref="BI167:BI171"/>
    <mergeCell ref="BH37:BH38"/>
    <mergeCell ref="BA59:BB59"/>
    <mergeCell ref="BR152:BT152"/>
    <mergeCell ref="BV163:CA163"/>
    <mergeCell ref="AY37:AZ37"/>
    <mergeCell ref="BA37:BB37"/>
    <mergeCell ref="AY27:BB27"/>
    <mergeCell ref="AY34:BB34"/>
    <mergeCell ref="AY50:AZ50"/>
    <mergeCell ref="BK32:BL32"/>
    <mergeCell ref="BC34:BC36"/>
    <mergeCell ref="BK35:BL35"/>
    <mergeCell ref="BK31:BL31"/>
    <mergeCell ref="AY17:AZ17"/>
    <mergeCell ref="AY29:BB29"/>
    <mergeCell ref="BC15:BC16"/>
    <mergeCell ref="C16:M16"/>
    <mergeCell ref="E15:J15"/>
    <mergeCell ref="N15:Y15"/>
    <mergeCell ref="K12:M12"/>
    <mergeCell ref="N12:Y12"/>
    <mergeCell ref="E13:J14"/>
    <mergeCell ref="Y7:AC7"/>
    <mergeCell ref="AK7:AO7"/>
    <mergeCell ref="AD7:AJ7"/>
    <mergeCell ref="AG12:AU12"/>
    <mergeCell ref="E12:J12"/>
    <mergeCell ref="Z12:AF12"/>
    <mergeCell ref="K11:M11"/>
    <mergeCell ref="AG11:AU11"/>
    <mergeCell ref="C7:G7"/>
    <mergeCell ref="K13:M14"/>
    <mergeCell ref="N13:Y14"/>
    <mergeCell ref="Z15:AF15"/>
    <mergeCell ref="AG15:AU15"/>
    <mergeCell ref="K15:M15"/>
    <mergeCell ref="E11:J11"/>
    <mergeCell ref="E10:J10"/>
    <mergeCell ref="AG10:AU10"/>
    <mergeCell ref="K10:Y10"/>
    <mergeCell ref="BA17:BB17"/>
    <mergeCell ref="N16:Y16"/>
    <mergeCell ref="Z16:AF16"/>
    <mergeCell ref="N17:Y17"/>
    <mergeCell ref="AK17:AU17"/>
    <mergeCell ref="Z24:AH24"/>
    <mergeCell ref="AO25:AQ25"/>
    <mergeCell ref="BA20:BB20"/>
    <mergeCell ref="AY22:BB22"/>
    <mergeCell ref="Z17:AF17"/>
    <mergeCell ref="AG17:AJ17"/>
    <mergeCell ref="AZ24:BB24"/>
    <mergeCell ref="AT23:AU23"/>
    <mergeCell ref="AG18:AJ18"/>
    <mergeCell ref="Z22:AF22"/>
    <mergeCell ref="AG22:AU22"/>
    <mergeCell ref="Z20:AF20"/>
    <mergeCell ref="AG19:AU19"/>
    <mergeCell ref="AJ24:AN24"/>
    <mergeCell ref="AJ25:AN25"/>
    <mergeCell ref="AO24:AQ24"/>
    <mergeCell ref="AG20:AJ20"/>
    <mergeCell ref="AP6:AU6"/>
    <mergeCell ref="C6:G6"/>
    <mergeCell ref="H6:N6"/>
    <mergeCell ref="H7:N7"/>
    <mergeCell ref="H8:N8"/>
    <mergeCell ref="T6:AJ6"/>
    <mergeCell ref="T7:X7"/>
    <mergeCell ref="AR9:AU9"/>
    <mergeCell ref="AP7:AU7"/>
    <mergeCell ref="C8:G8"/>
    <mergeCell ref="Z10:AF10"/>
    <mergeCell ref="C3:I3"/>
    <mergeCell ref="J3:X3"/>
    <mergeCell ref="Y3:AF3"/>
    <mergeCell ref="AG3:AU3"/>
    <mergeCell ref="AY4:BB4"/>
    <mergeCell ref="BJ3:BK3"/>
    <mergeCell ref="AG4:AU4"/>
    <mergeCell ref="AY5:BB5"/>
    <mergeCell ref="AY3:BB3"/>
    <mergeCell ref="AV1:AV40"/>
    <mergeCell ref="AG16:AJ16"/>
    <mergeCell ref="AK16:AU16"/>
    <mergeCell ref="AX15:AX16"/>
    <mergeCell ref="AY15:BA15"/>
    <mergeCell ref="AY18:AZ18"/>
    <mergeCell ref="BA18:BB18"/>
    <mergeCell ref="AY19:AZ19"/>
    <mergeCell ref="BA19:BB19"/>
    <mergeCell ref="AY6:BB6"/>
    <mergeCell ref="AG13:AU14"/>
    <mergeCell ref="C10:D15"/>
    <mergeCell ref="N11:Y11"/>
    <mergeCell ref="AK6:AO6"/>
    <mergeCell ref="Z11:AF11"/>
    <mergeCell ref="AX28:AX29"/>
    <mergeCell ref="T23:AA23"/>
    <mergeCell ref="BJ2:BK2"/>
    <mergeCell ref="AY2:BB2"/>
    <mergeCell ref="Z13:AF14"/>
    <mergeCell ref="BH12:BM12"/>
    <mergeCell ref="AY12:BB12"/>
    <mergeCell ref="AK18:AU18"/>
    <mergeCell ref="AJ23:AQ23"/>
    <mergeCell ref="AC23:AI23"/>
    <mergeCell ref="AY20:AZ20"/>
    <mergeCell ref="AY23:BB23"/>
    <mergeCell ref="Z18:AF18"/>
    <mergeCell ref="AK20:AU20"/>
    <mergeCell ref="Z19:AF19"/>
    <mergeCell ref="Z21:AF21"/>
    <mergeCell ref="AG21:AJ21"/>
    <mergeCell ref="AK21:AU21"/>
    <mergeCell ref="AY13:BB13"/>
    <mergeCell ref="AY16:BB16"/>
    <mergeCell ref="AY14:BB14"/>
    <mergeCell ref="AY11:BB11"/>
    <mergeCell ref="AY7:BB7"/>
    <mergeCell ref="AY8:BB8"/>
    <mergeCell ref="BK260:BK262"/>
    <mergeCell ref="C35:Y35"/>
    <mergeCell ref="C26:D32"/>
    <mergeCell ref="C24:K24"/>
    <mergeCell ref="L24:P24"/>
    <mergeCell ref="T24:X24"/>
    <mergeCell ref="AY38:BB38"/>
    <mergeCell ref="AZ32:BB32"/>
    <mergeCell ref="BK33:BL33"/>
    <mergeCell ref="AY31:BB31"/>
    <mergeCell ref="BI175:BI177"/>
    <mergeCell ref="AY35:BB35"/>
    <mergeCell ref="AZ26:BB26"/>
    <mergeCell ref="AY25:BB25"/>
    <mergeCell ref="Z35:AU35"/>
    <mergeCell ref="BK220:BK228"/>
    <mergeCell ref="BK229:BK235"/>
    <mergeCell ref="BK236:BK240"/>
    <mergeCell ref="BK241:BK242"/>
    <mergeCell ref="BK212:BK216"/>
    <mergeCell ref="Z25:AH25"/>
    <mergeCell ref="BI173:BI174"/>
    <mergeCell ref="AR41:AS41"/>
    <mergeCell ref="C21:M22"/>
    <mergeCell ref="N21:Y22"/>
    <mergeCell ref="C17:D20"/>
    <mergeCell ref="E17:M17"/>
    <mergeCell ref="E20:M20"/>
    <mergeCell ref="N20:Y20"/>
    <mergeCell ref="E19:M19"/>
    <mergeCell ref="N19:Y19"/>
    <mergeCell ref="E18:M18"/>
    <mergeCell ref="N18:Y18"/>
  </mergeCells>
  <phoneticPr fontId="2" type="noConversion"/>
  <dataValidations count="4">
    <dataValidation type="list" allowBlank="1" showInputMessage="1" showErrorMessage="1" sqref="BS10">
      <formula1>수입국산</formula1>
    </dataValidation>
    <dataValidation type="list" allowBlank="1" showInputMessage="1" showErrorMessage="1" sqref="BS12">
      <formula1>특판여부</formula1>
    </dataValidation>
    <dataValidation showInputMessage="1" showErrorMessage="1" sqref="BS4:BS6"/>
    <dataValidation type="custom" allowBlank="1" showInputMessage="1" showErrorMessage="1" errorTitle="등록비용 미달" error="등록부대비용은 포함되지 않습니다" sqref="BE9:BF9">
      <formula1>Z5&gt;=0</formula1>
    </dataValidation>
  </dataValidations>
  <pageMargins left="0.55118110236220474" right="0.47244094488188981" top="0.43307086614173229" bottom="0.35433070866141736" header="0.35433070866141736" footer="0.31496062992125984"/>
  <pageSetup paperSize="9" scale="66" orientation="portrait" horizontalDpi="300" verticalDpi="300" r:id="rId1"/>
  <cellWatches>
    <cellWatch r="AK18"/>
    <cellWatch r="AX30"/>
  </cellWatch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C00000"/>
  </sheetPr>
  <dimension ref="A1:BH1431"/>
  <sheetViews>
    <sheetView zoomScale="85" zoomScaleNormal="85" workbookViewId="0">
      <pane ySplit="1" topLeftCell="A2" activePane="bottomLeft" state="frozen"/>
      <selection activeCell="P3" sqref="P3"/>
      <selection pane="bottomLeft" activeCell="P3" sqref="P3"/>
    </sheetView>
  </sheetViews>
  <sheetFormatPr defaultColWidth="6.375" defaultRowHeight="16.5"/>
  <cols>
    <col min="1" max="1" width="9" style="437" customWidth="1"/>
    <col min="2" max="2" width="8.625" style="315" customWidth="1"/>
    <col min="3" max="3" width="24" style="604" customWidth="1"/>
    <col min="4" max="4" width="24" style="438" customWidth="1"/>
    <col min="5" max="6" width="6.375" style="438" customWidth="1"/>
    <col min="7" max="7" width="11.125" style="438" customWidth="1"/>
    <col min="8" max="8" width="6.375" style="438" customWidth="1"/>
    <col min="9" max="9" width="6.375" style="604" customWidth="1"/>
    <col min="10" max="10" width="27.875" style="249" customWidth="1"/>
    <col min="11" max="11" width="20" style="249" customWidth="1"/>
    <col min="12" max="12" width="62" style="249" customWidth="1"/>
    <col min="13" max="13" width="15.25" style="439" customWidth="1"/>
    <col min="14" max="14" width="6.375" style="249" customWidth="1"/>
    <col min="15" max="15" width="11" style="249" customWidth="1"/>
    <col min="16" max="16" width="7.75" style="249" customWidth="1"/>
    <col min="17" max="18" width="6.375" style="249" customWidth="1"/>
    <col min="19" max="19" width="13.5" style="440" customWidth="1"/>
    <col min="20" max="21" width="6.125" style="249" customWidth="1"/>
    <col min="22" max="22" width="6.375" style="249" customWidth="1"/>
    <col min="23" max="23" width="91.375" style="249" customWidth="1"/>
    <col min="24" max="24" width="9" style="441" customWidth="1"/>
    <col min="25" max="25" width="6.375" style="249" customWidth="1"/>
    <col min="26" max="26" width="6.25" style="249" customWidth="1"/>
    <col min="27" max="27" width="6.375" style="249" customWidth="1"/>
    <col min="28" max="28" width="13.875" style="249" customWidth="1"/>
    <col min="29" max="29" width="6.375" style="249" customWidth="1"/>
    <col min="30" max="30" width="20" style="249" customWidth="1"/>
    <col min="31" max="31" width="13.5" style="249" customWidth="1"/>
    <col min="32" max="36" width="6.375" style="250" customWidth="1"/>
    <col min="37" max="37" width="11.125" style="250" customWidth="1"/>
    <col min="38" max="39" width="7.5" style="250" customWidth="1"/>
    <col min="40" max="41" width="6.375" style="250" customWidth="1"/>
    <col min="42" max="42" width="3.75" style="250" customWidth="1"/>
    <col min="43" max="43" width="5.5" style="392" customWidth="1"/>
    <col min="44" max="44" width="6.375" style="392" customWidth="1"/>
    <col min="45" max="45" width="8.625" style="392" customWidth="1"/>
    <col min="46" max="46" width="16" style="392" customWidth="1"/>
    <col min="47" max="48" width="11.875" style="392" customWidth="1"/>
    <col min="49" max="49" width="11.25" style="392" customWidth="1"/>
    <col min="50" max="50" width="15.625" style="392" customWidth="1"/>
    <col min="51" max="51" width="14.625" style="392" customWidth="1"/>
    <col min="52" max="53" width="6.375" style="202" customWidth="1"/>
    <col min="54" max="54" width="22.75" style="202" bestFit="1" customWidth="1"/>
    <col min="55" max="55" width="18.25" style="202" bestFit="1" customWidth="1"/>
    <col min="56" max="56" width="18.25" style="202" customWidth="1"/>
    <col min="57" max="57" width="11.125" style="438" customWidth="1"/>
    <col min="58" max="58" width="6.375" style="604" customWidth="1"/>
    <col min="59" max="16384" width="6.375" style="202"/>
  </cols>
  <sheetData>
    <row r="1" spans="1:59" ht="16.5" customHeight="1" thickBot="1">
      <c r="A1" s="399" t="s">
        <v>3169</v>
      </c>
      <c r="B1" s="400" t="s">
        <v>3038</v>
      </c>
      <c r="C1" s="898" t="s">
        <v>3037</v>
      </c>
      <c r="D1" s="899"/>
      <c r="E1" s="899"/>
      <c r="F1" s="899"/>
      <c r="G1" s="899"/>
      <c r="H1" s="899"/>
      <c r="I1" s="898"/>
      <c r="J1" s="619" t="s">
        <v>1106</v>
      </c>
      <c r="K1" s="619" t="s">
        <v>1105</v>
      </c>
      <c r="L1" s="619" t="s">
        <v>3088</v>
      </c>
      <c r="M1" s="619" t="s">
        <v>1104</v>
      </c>
      <c r="N1" s="599" t="s">
        <v>1103</v>
      </c>
      <c r="O1" s="599" t="s">
        <v>1171</v>
      </c>
      <c r="P1" s="401" t="s">
        <v>3361</v>
      </c>
      <c r="Q1" s="401" t="s">
        <v>3362</v>
      </c>
      <c r="R1" s="599" t="s">
        <v>1172</v>
      </c>
      <c r="S1" s="402" t="s">
        <v>2905</v>
      </c>
      <c r="T1" s="401" t="s">
        <v>3363</v>
      </c>
      <c r="U1" s="401" t="s">
        <v>3363</v>
      </c>
      <c r="V1" s="401" t="s">
        <v>3486</v>
      </c>
      <c r="W1" s="257" t="s">
        <v>3363</v>
      </c>
      <c r="X1" s="403" t="s">
        <v>3363</v>
      </c>
      <c r="Y1" s="401" t="s">
        <v>3363</v>
      </c>
      <c r="Z1" s="401" t="s">
        <v>3363</v>
      </c>
      <c r="AA1" s="257" t="s">
        <v>3363</v>
      </c>
      <c r="AB1" s="404" t="s">
        <v>3109</v>
      </c>
      <c r="AC1" s="257" t="s">
        <v>3363</v>
      </c>
      <c r="AD1" s="257" t="s">
        <v>2904</v>
      </c>
      <c r="AE1" s="257" t="s">
        <v>1225</v>
      </c>
      <c r="AF1" s="263" t="s">
        <v>3363</v>
      </c>
      <c r="AG1" s="448" t="s">
        <v>3363</v>
      </c>
      <c r="AH1" s="263" t="s">
        <v>3363</v>
      </c>
      <c r="AI1" s="263" t="s">
        <v>3363</v>
      </c>
      <c r="AJ1" s="448">
        <v>1</v>
      </c>
      <c r="AK1" s="619" t="s">
        <v>3718</v>
      </c>
      <c r="AL1" s="263" t="s">
        <v>3684</v>
      </c>
      <c r="AM1" s="620" t="s">
        <v>2903</v>
      </c>
      <c r="AN1" s="263">
        <v>1</v>
      </c>
      <c r="AO1" s="263">
        <v>1</v>
      </c>
      <c r="AP1" s="263">
        <v>1</v>
      </c>
      <c r="AQ1" s="310" t="s">
        <v>3545</v>
      </c>
      <c r="AR1" s="311" t="b">
        <f>AA1=E1</f>
        <v>0</v>
      </c>
      <c r="AS1" s="598" t="s">
        <v>3029</v>
      </c>
      <c r="AT1" s="313" t="s">
        <v>3030</v>
      </c>
      <c r="AU1" s="314" t="s">
        <v>3031</v>
      </c>
      <c r="AV1" s="314" t="s">
        <v>3032</v>
      </c>
      <c r="AW1" s="620" t="s">
        <v>3033</v>
      </c>
      <c r="AX1" s="598" t="s">
        <v>3358</v>
      </c>
      <c r="AY1" s="250" t="s">
        <v>3106</v>
      </c>
      <c r="BB1" s="597" t="s">
        <v>3356</v>
      </c>
      <c r="BC1" s="597" t="s">
        <v>3357</v>
      </c>
      <c r="BD1" s="597" t="s">
        <v>3645</v>
      </c>
      <c r="BE1" s="597" t="s">
        <v>3646</v>
      </c>
      <c r="BF1" s="597"/>
      <c r="BG1" s="597" t="s">
        <v>3647</v>
      </c>
    </row>
    <row r="2" spans="1:59">
      <c r="A2" s="405">
        <v>4443</v>
      </c>
      <c r="B2" s="406">
        <v>4443</v>
      </c>
      <c r="C2" s="261" t="str">
        <f>TEXT(F2,"0000")&amp;"-"&amp;TEXT(G2,"0000")</f>
        <v>0005-0001</v>
      </c>
      <c r="D2" s="261" t="str">
        <f>TEXT(F2,"0000")&amp;"-"&amp;TEXT(G2,"0000")&amp;"-"&amp;TEXT(H2,"0000")</f>
        <v>0005-0001-0001</v>
      </c>
      <c r="E2" s="407" t="s">
        <v>1102</v>
      </c>
      <c r="F2" s="261" t="str">
        <f>TEXT(VLOOKUP(J2,'[3]1'!$B$2:$D$37,2,0),"0000")</f>
        <v>0005</v>
      </c>
      <c r="G2" s="407" t="s">
        <v>3495</v>
      </c>
      <c r="H2" s="408">
        <v>1</v>
      </c>
      <c r="I2" s="407" t="s">
        <v>1102</v>
      </c>
      <c r="J2" s="258" t="s">
        <v>294</v>
      </c>
      <c r="K2" s="258" t="s">
        <v>2749</v>
      </c>
      <c r="L2" s="258" t="s">
        <v>2484</v>
      </c>
      <c r="M2" s="409">
        <v>44470000</v>
      </c>
      <c r="N2" s="258">
        <v>2199</v>
      </c>
      <c r="O2" s="258" t="s">
        <v>78</v>
      </c>
      <c r="P2" s="258" t="s">
        <v>73</v>
      </c>
      <c r="Q2" s="258" t="s">
        <v>72</v>
      </c>
      <c r="R2" s="258">
        <v>5</v>
      </c>
      <c r="S2" s="410">
        <v>10</v>
      </c>
      <c r="T2" s="261">
        <v>6</v>
      </c>
      <c r="U2" s="261">
        <v>6</v>
      </c>
      <c r="V2" s="258" t="s">
        <v>71</v>
      </c>
      <c r="W2" s="261" t="str">
        <f t="shared" ref="W2:W4" si="0">J2&amp;K2&amp;L2&amp;M2</f>
        <v>현대자동차G702.2D Elite44470000</v>
      </c>
      <c r="X2" s="411">
        <f t="shared" ref="X2:X4" si="1">B2</f>
        <v>4443</v>
      </c>
      <c r="Y2" s="261">
        <v>6</v>
      </c>
      <c r="Z2" s="261">
        <v>6</v>
      </c>
      <c r="AA2" s="407" t="s">
        <v>1102</v>
      </c>
      <c r="AB2" s="258" t="s">
        <v>73</v>
      </c>
      <c r="AC2" s="258"/>
      <c r="AD2" s="258" t="s">
        <v>2131</v>
      </c>
      <c r="AE2" s="258" t="s">
        <v>2129</v>
      </c>
      <c r="AF2" s="259"/>
      <c r="AG2" s="260"/>
      <c r="AH2" s="259"/>
      <c r="AI2" s="259"/>
      <c r="AJ2" s="260"/>
      <c r="AK2" s="259">
        <v>26</v>
      </c>
      <c r="AL2" s="259"/>
      <c r="AM2" s="259" t="s">
        <v>3224</v>
      </c>
      <c r="AN2" s="449">
        <v>1</v>
      </c>
      <c r="AO2" s="449" t="s">
        <v>3062</v>
      </c>
      <c r="AP2" s="449"/>
      <c r="AQ2" s="392" t="str">
        <f>IFERROR(VLOOKUP(BG2,#REF!,1,0),"")</f>
        <v/>
      </c>
      <c r="AS2" s="259" t="s">
        <v>3224</v>
      </c>
      <c r="BD2" s="202" t="str">
        <f>K2&amp;L2</f>
        <v>G702.2D Elite</v>
      </c>
      <c r="BE2" s="407" t="s">
        <v>1102</v>
      </c>
      <c r="BF2" s="407" t="s">
        <v>3495</v>
      </c>
      <c r="BG2" s="202" t="str">
        <f>BE2&amp;"-"&amp;BF2</f>
        <v>0001-0001</v>
      </c>
    </row>
    <row r="3" spans="1:59">
      <c r="A3" s="405">
        <v>3777</v>
      </c>
      <c r="B3" s="406">
        <v>3777</v>
      </c>
      <c r="C3" s="261" t="str">
        <f>TEXT(F3,"0000")&amp;"-"&amp;TEXT(G3,"0000")</f>
        <v>0005-0001</v>
      </c>
      <c r="D3" s="261" t="str">
        <f>TEXT(F3,"0000")&amp;"-"&amp;TEXT(G3,"0000")&amp;"-"&amp;TEXT(H3,"0000")</f>
        <v>0005-0001-0002</v>
      </c>
      <c r="E3" s="407" t="s">
        <v>1101</v>
      </c>
      <c r="F3" s="261" t="str">
        <f>TEXT(VLOOKUP(J3,'[3]1'!$B$2:$D$37,2,0),"0000")</f>
        <v>0005</v>
      </c>
      <c r="G3" s="261" t="str">
        <f>IF(K3=K2,TEXT(G2,"0000"),TEXT(G2+1,"0000"))</f>
        <v>0001</v>
      </c>
      <c r="H3" s="408">
        <f>IF(F3&amp;G3=F2&amp;G2,H2+1,1)</f>
        <v>2</v>
      </c>
      <c r="I3" s="407" t="s">
        <v>1101</v>
      </c>
      <c r="J3" s="258" t="s">
        <v>294</v>
      </c>
      <c r="K3" s="258" t="s">
        <v>2749</v>
      </c>
      <c r="L3" s="258" t="s">
        <v>2489</v>
      </c>
      <c r="M3" s="409">
        <v>43980000</v>
      </c>
      <c r="N3" s="258">
        <v>1998</v>
      </c>
      <c r="O3" s="258" t="s">
        <v>77</v>
      </c>
      <c r="P3" s="258" t="s">
        <v>73</v>
      </c>
      <c r="Q3" s="258" t="s">
        <v>72</v>
      </c>
      <c r="R3" s="258">
        <v>5</v>
      </c>
      <c r="S3" s="410">
        <v>5</v>
      </c>
      <c r="T3" s="261">
        <v>6</v>
      </c>
      <c r="U3" s="261">
        <v>6</v>
      </c>
      <c r="V3" s="258" t="s">
        <v>71</v>
      </c>
      <c r="W3" s="261" t="str">
        <f t="shared" si="0"/>
        <v>현대자동차G702.0T Sport Package43980000</v>
      </c>
      <c r="X3" s="411">
        <f t="shared" si="1"/>
        <v>3777</v>
      </c>
      <c r="Y3" s="261">
        <v>6</v>
      </c>
      <c r="Z3" s="261">
        <v>6</v>
      </c>
      <c r="AA3" s="407" t="s">
        <v>1101</v>
      </c>
      <c r="AB3" s="258" t="s">
        <v>73</v>
      </c>
      <c r="AC3" s="258"/>
      <c r="AD3" s="258" t="s">
        <v>2132</v>
      </c>
      <c r="AE3" s="258" t="s">
        <v>2129</v>
      </c>
      <c r="AF3" s="259"/>
      <c r="AG3" s="260"/>
      <c r="AH3" s="259"/>
      <c r="AI3" s="259"/>
      <c r="AJ3" s="260"/>
      <c r="AK3" s="259">
        <v>26</v>
      </c>
      <c r="AL3" s="259"/>
      <c r="AM3" s="259" t="s">
        <v>93</v>
      </c>
      <c r="AN3" s="449">
        <v>2</v>
      </c>
      <c r="AO3" s="449" t="s">
        <v>3063</v>
      </c>
      <c r="AP3" s="449"/>
      <c r="AQ3" s="392" t="str">
        <f>IFERROR(VLOOKUP(BG3,#REF!,1,0),"")</f>
        <v/>
      </c>
      <c r="AS3" s="259" t="s">
        <v>93</v>
      </c>
      <c r="BD3" s="202" t="str">
        <f t="shared" ref="BD3:BD4" si="2">K3&amp;L3</f>
        <v>G702.0T Sport Package</v>
      </c>
      <c r="BE3" s="261" t="str">
        <f>IF(K2=K3,TEXT(G2,"0000"),TEXT(G2+1,"0000"))</f>
        <v>0001</v>
      </c>
      <c r="BF3" s="407" t="s">
        <v>3648</v>
      </c>
      <c r="BG3" s="202" t="str">
        <f t="shared" ref="BG3:BG4" si="3">BE3&amp;"-"&amp;BF3</f>
        <v>0001-0002</v>
      </c>
    </row>
    <row r="4" spans="1:59">
      <c r="A4" s="405">
        <v>3778</v>
      </c>
      <c r="B4" s="406">
        <v>3778</v>
      </c>
      <c r="C4" s="261" t="str">
        <f t="shared" ref="C4:C5" si="4">TEXT(F4,"0000")&amp;"-"&amp;TEXT(G4,"0000")</f>
        <v>0005-0001</v>
      </c>
      <c r="D4" s="261" t="str">
        <f t="shared" ref="D4:D5" si="5">TEXT(F4,"0000")&amp;"-"&amp;TEXT(G4,"0000")&amp;"-"&amp;TEXT(H4,"0000")</f>
        <v>0005-0001-0003</v>
      </c>
      <c r="E4" s="407" t="s">
        <v>1100</v>
      </c>
      <c r="F4" s="261" t="str">
        <f>TEXT(VLOOKUP(J4,'[3]1'!$B$2:$D$37,2,0),"0000")</f>
        <v>0005</v>
      </c>
      <c r="G4" s="261" t="str">
        <f t="shared" ref="G4:G5" si="6">IF(K4=K3,TEXT(G3,"0000"),TEXT(G3+1,"0000"))</f>
        <v>0001</v>
      </c>
      <c r="H4" s="408">
        <f t="shared" ref="H4:H5" si="7">IF(F4&amp;G4=F3&amp;G3,H3+1,1)</f>
        <v>3</v>
      </c>
      <c r="I4" s="407" t="s">
        <v>1100</v>
      </c>
      <c r="J4" s="258" t="s">
        <v>294</v>
      </c>
      <c r="K4" s="258" t="s">
        <v>2749</v>
      </c>
      <c r="L4" s="258" t="s">
        <v>2485</v>
      </c>
      <c r="M4" s="409">
        <v>41720000</v>
      </c>
      <c r="N4" s="258">
        <v>2199</v>
      </c>
      <c r="O4" s="258" t="s">
        <v>78</v>
      </c>
      <c r="P4" s="258" t="s">
        <v>73</v>
      </c>
      <c r="Q4" s="258" t="s">
        <v>72</v>
      </c>
      <c r="R4" s="258">
        <v>5</v>
      </c>
      <c r="S4" s="410">
        <v>10</v>
      </c>
      <c r="T4" s="261">
        <v>6</v>
      </c>
      <c r="U4" s="261">
        <v>6</v>
      </c>
      <c r="V4" s="258" t="s">
        <v>71</v>
      </c>
      <c r="W4" s="261" t="str">
        <f t="shared" si="0"/>
        <v>현대자동차G702.2D Advanced41720000</v>
      </c>
      <c r="X4" s="411">
        <f t="shared" si="1"/>
        <v>3778</v>
      </c>
      <c r="Y4" s="261">
        <v>6</v>
      </c>
      <c r="Z4" s="261">
        <v>6</v>
      </c>
      <c r="AA4" s="407" t="s">
        <v>1100</v>
      </c>
      <c r="AB4" s="258" t="s">
        <v>73</v>
      </c>
      <c r="AC4" s="258"/>
      <c r="AD4" s="258" t="s">
        <v>2131</v>
      </c>
      <c r="AE4" s="258" t="s">
        <v>2129</v>
      </c>
      <c r="AF4" s="259"/>
      <c r="AG4" s="260"/>
      <c r="AH4" s="259"/>
      <c r="AI4" s="259"/>
      <c r="AJ4" s="260"/>
      <c r="AK4" s="259">
        <v>26</v>
      </c>
      <c r="AL4" s="259"/>
      <c r="AM4" s="259" t="s">
        <v>3224</v>
      </c>
      <c r="AN4" s="449">
        <v>3</v>
      </c>
      <c r="AO4" s="449" t="s">
        <v>3064</v>
      </c>
      <c r="AP4" s="449"/>
      <c r="AQ4" s="392" t="str">
        <f>IFERROR(VLOOKUP(BG4,#REF!,1,0),"")</f>
        <v/>
      </c>
      <c r="AS4" s="259" t="s">
        <v>3224</v>
      </c>
      <c r="BD4" s="202" t="str">
        <f t="shared" si="2"/>
        <v>G702.2D Advanced</v>
      </c>
      <c r="BE4" s="261" t="str">
        <f t="shared" ref="BE4:BE5" si="8">IF(K3=K4,TEXT(G3,"0000"),TEXT(G3+1,"0000"))</f>
        <v>0001</v>
      </c>
      <c r="BF4" s="407" t="s">
        <v>1100</v>
      </c>
      <c r="BG4" s="202" t="str">
        <f t="shared" si="3"/>
        <v>0001-0003</v>
      </c>
    </row>
    <row r="5" spans="1:59">
      <c r="A5" s="405">
        <v>3779</v>
      </c>
      <c r="B5" s="406">
        <v>3779</v>
      </c>
      <c r="C5" s="261" t="str">
        <f t="shared" si="4"/>
        <v>0005-0001</v>
      </c>
      <c r="D5" s="261" t="str">
        <f t="shared" si="5"/>
        <v>0005-0001-0004</v>
      </c>
      <c r="E5" s="407" t="s">
        <v>1099</v>
      </c>
      <c r="F5" s="261" t="str">
        <f>TEXT(VLOOKUP(J5,'[3]1'!$B$2:$D$37,2,0),"0000")</f>
        <v>0005</v>
      </c>
      <c r="G5" s="261" t="str">
        <f t="shared" si="6"/>
        <v>0001</v>
      </c>
      <c r="H5" s="408">
        <f t="shared" si="7"/>
        <v>4</v>
      </c>
      <c r="I5" s="407" t="s">
        <v>1099</v>
      </c>
      <c r="J5" s="258" t="s">
        <v>294</v>
      </c>
      <c r="K5" s="258" t="s">
        <v>2749</v>
      </c>
      <c r="L5" s="258" t="s">
        <v>2486</v>
      </c>
      <c r="M5" s="409">
        <v>38480000</v>
      </c>
      <c r="N5" s="258">
        <v>1998</v>
      </c>
      <c r="O5" s="258" t="s">
        <v>77</v>
      </c>
      <c r="P5" s="258" t="s">
        <v>73</v>
      </c>
      <c r="Q5" s="258" t="s">
        <v>72</v>
      </c>
      <c r="R5" s="258">
        <v>5</v>
      </c>
      <c r="S5" s="410">
        <v>5</v>
      </c>
      <c r="T5" s="261">
        <v>6</v>
      </c>
      <c r="U5" s="261">
        <v>6</v>
      </c>
      <c r="V5" s="258" t="s">
        <v>3329</v>
      </c>
      <c r="W5" s="261" t="str">
        <f t="shared" ref="W5:W6" si="9">J5&amp;K5&amp;L5&amp;M5</f>
        <v>현대자동차G702.0T Advanced38480000</v>
      </c>
      <c r="X5" s="411">
        <f t="shared" ref="X5:X6" si="10">B5</f>
        <v>3779</v>
      </c>
      <c r="Y5" s="261">
        <v>6</v>
      </c>
      <c r="Z5" s="261">
        <v>6</v>
      </c>
      <c r="AA5" s="407" t="s">
        <v>1099</v>
      </c>
      <c r="AB5" s="258" t="s">
        <v>3330</v>
      </c>
      <c r="AC5" s="258"/>
      <c r="AD5" s="258" t="s">
        <v>2132</v>
      </c>
      <c r="AE5" s="258" t="s">
        <v>2129</v>
      </c>
      <c r="AF5" s="259"/>
      <c r="AG5" s="260"/>
      <c r="AH5" s="259"/>
      <c r="AI5" s="259"/>
      <c r="AJ5" s="260"/>
      <c r="AK5" s="259">
        <v>26</v>
      </c>
      <c r="AL5" s="259"/>
      <c r="AM5" s="259" t="s">
        <v>93</v>
      </c>
      <c r="AN5" s="449">
        <v>4</v>
      </c>
      <c r="AO5" s="449" t="s">
        <v>3065</v>
      </c>
      <c r="AP5" s="449"/>
      <c r="AQ5" s="392" t="str">
        <f>IFERROR(VLOOKUP(BG5,#REF!,1,0),"")</f>
        <v/>
      </c>
      <c r="AS5" s="259" t="s">
        <v>93</v>
      </c>
      <c r="BD5" s="202" t="str">
        <f t="shared" ref="BD5:BD68" si="11">K5&amp;L5</f>
        <v>G702.0T Advanced</v>
      </c>
      <c r="BE5" s="261" t="str">
        <f t="shared" si="8"/>
        <v>0001</v>
      </c>
      <c r="BF5" s="407" t="s">
        <v>1099</v>
      </c>
      <c r="BG5" s="202" t="str">
        <f t="shared" ref="BG5:BG68" si="12">BE5&amp;"-"&amp;BF5</f>
        <v>0001-0004</v>
      </c>
    </row>
    <row r="6" spans="1:59">
      <c r="A6" s="405">
        <v>3780</v>
      </c>
      <c r="B6" s="406">
        <v>3780</v>
      </c>
      <c r="C6" s="261" t="str">
        <f t="shared" ref="C6:C69" si="13">TEXT(F6,"0000")&amp;"-"&amp;TEXT(G6,"0000")</f>
        <v>0005-0001</v>
      </c>
      <c r="D6" s="261" t="str">
        <f t="shared" ref="D6:D69" si="14">TEXT(F6,"0000")&amp;"-"&amp;TEXT(G6,"0000")&amp;"-"&amp;TEXT(H6,"0000")</f>
        <v>0005-0001-0005</v>
      </c>
      <c r="E6" s="407" t="s">
        <v>1098</v>
      </c>
      <c r="F6" s="261" t="str">
        <f>TEXT(VLOOKUP(J6,'[3]1'!$B$2:$D$37,2,0),"0000")</f>
        <v>0005</v>
      </c>
      <c r="G6" s="261" t="str">
        <f t="shared" ref="G6:G69" si="15">IF(K6=K5,TEXT(G5,"0000"),TEXT(G5+1,"0000"))</f>
        <v>0001</v>
      </c>
      <c r="H6" s="408">
        <f t="shared" ref="H6:H69" si="16">IF(F6&amp;G6=F5&amp;G5,H5+1,1)</f>
        <v>5</v>
      </c>
      <c r="I6" s="407" t="s">
        <v>1098</v>
      </c>
      <c r="J6" s="258" t="s">
        <v>294</v>
      </c>
      <c r="K6" s="258" t="s">
        <v>2749</v>
      </c>
      <c r="L6" s="258" t="s">
        <v>2487</v>
      </c>
      <c r="M6" s="409">
        <v>46580000</v>
      </c>
      <c r="N6" s="258">
        <v>3342</v>
      </c>
      <c r="O6" s="258" t="s">
        <v>77</v>
      </c>
      <c r="P6" s="258" t="s">
        <v>73</v>
      </c>
      <c r="Q6" s="258" t="s">
        <v>72</v>
      </c>
      <c r="R6" s="258">
        <v>5</v>
      </c>
      <c r="S6" s="410">
        <v>7</v>
      </c>
      <c r="T6" s="261">
        <v>6</v>
      </c>
      <c r="U6" s="261">
        <v>6</v>
      </c>
      <c r="V6" s="258" t="s">
        <v>3329</v>
      </c>
      <c r="W6" s="261" t="str">
        <f t="shared" si="9"/>
        <v>현대자동차G703.3T 스포츠 엘리트46580000</v>
      </c>
      <c r="X6" s="411">
        <f t="shared" si="10"/>
        <v>3780</v>
      </c>
      <c r="Y6" s="261">
        <v>6</v>
      </c>
      <c r="Z6" s="261">
        <v>6</v>
      </c>
      <c r="AA6" s="407" t="s">
        <v>1098</v>
      </c>
      <c r="AB6" s="258" t="s">
        <v>3330</v>
      </c>
      <c r="AC6" s="258"/>
      <c r="AD6" s="258" t="s">
        <v>2135</v>
      </c>
      <c r="AE6" s="258" t="s">
        <v>2129</v>
      </c>
      <c r="AF6" s="259"/>
      <c r="AG6" s="260"/>
      <c r="AH6" s="259"/>
      <c r="AI6" s="259"/>
      <c r="AJ6" s="260"/>
      <c r="AK6" s="259">
        <v>26</v>
      </c>
      <c r="AL6" s="259"/>
      <c r="AM6" s="259" t="s">
        <v>3229</v>
      </c>
      <c r="AN6" s="449">
        <v>5</v>
      </c>
      <c r="AO6" s="449" t="s">
        <v>3066</v>
      </c>
      <c r="AP6" s="449"/>
      <c r="AQ6" s="392" t="str">
        <f>IFERROR(VLOOKUP(BG6,#REF!,1,0),"")</f>
        <v/>
      </c>
      <c r="AS6" s="259" t="s">
        <v>3229</v>
      </c>
      <c r="BD6" s="202" t="str">
        <f t="shared" si="11"/>
        <v>G703.3T 스포츠 엘리트</v>
      </c>
      <c r="BE6" s="261" t="str">
        <f t="shared" ref="BE6:BE69" si="17">IF(K5=K6,TEXT(G5,"0000"),TEXT(G5+1,"0000"))</f>
        <v>0001</v>
      </c>
      <c r="BF6" s="407" t="s">
        <v>1098</v>
      </c>
      <c r="BG6" s="202" t="str">
        <f t="shared" si="12"/>
        <v>0001-0005</v>
      </c>
    </row>
    <row r="7" spans="1:59">
      <c r="A7" s="405">
        <v>3781</v>
      </c>
      <c r="B7" s="406">
        <v>3781</v>
      </c>
      <c r="C7" s="261" t="str">
        <f t="shared" si="13"/>
        <v>0005-0001</v>
      </c>
      <c r="D7" s="261" t="str">
        <f t="shared" si="14"/>
        <v>0005-0001-0006</v>
      </c>
      <c r="E7" s="407" t="s">
        <v>1097</v>
      </c>
      <c r="F7" s="261" t="str">
        <f>TEXT(VLOOKUP(J7,'[3]1'!$B$2:$D$37,2,0),"0000")</f>
        <v>0005</v>
      </c>
      <c r="G7" s="261" t="str">
        <f t="shared" si="15"/>
        <v>0001</v>
      </c>
      <c r="H7" s="408">
        <f t="shared" si="16"/>
        <v>6</v>
      </c>
      <c r="I7" s="407" t="s">
        <v>1097</v>
      </c>
      <c r="J7" s="258" t="s">
        <v>294</v>
      </c>
      <c r="K7" s="258" t="s">
        <v>2749</v>
      </c>
      <c r="L7" s="258" t="s">
        <v>2488</v>
      </c>
      <c r="M7" s="409">
        <v>53750000</v>
      </c>
      <c r="N7" s="258">
        <v>3342</v>
      </c>
      <c r="O7" s="258" t="s">
        <v>77</v>
      </c>
      <c r="P7" s="258" t="s">
        <v>73</v>
      </c>
      <c r="Q7" s="258" t="s">
        <v>72</v>
      </c>
      <c r="R7" s="258">
        <v>5</v>
      </c>
      <c r="S7" s="410">
        <v>7</v>
      </c>
      <c r="T7" s="261">
        <v>6</v>
      </c>
      <c r="U7" s="261">
        <v>6</v>
      </c>
      <c r="V7" s="258" t="s">
        <v>71</v>
      </c>
      <c r="W7" s="261" t="str">
        <f t="shared" ref="W7:W70" si="18">J7&amp;K7&amp;L7&amp;M7</f>
        <v>현대자동차G703.3T 스포츠 프레스티지53750000</v>
      </c>
      <c r="X7" s="411">
        <f t="shared" ref="X7:X70" si="19">B7</f>
        <v>3781</v>
      </c>
      <c r="Y7" s="261">
        <v>6</v>
      </c>
      <c r="Z7" s="261">
        <v>6</v>
      </c>
      <c r="AA7" s="407" t="s">
        <v>1097</v>
      </c>
      <c r="AB7" s="258" t="s">
        <v>73</v>
      </c>
      <c r="AC7" s="258"/>
      <c r="AD7" s="258" t="s">
        <v>2135</v>
      </c>
      <c r="AE7" s="258" t="s">
        <v>2129</v>
      </c>
      <c r="AF7" s="259"/>
      <c r="AG7" s="260"/>
      <c r="AH7" s="259"/>
      <c r="AI7" s="259"/>
      <c r="AJ7" s="260"/>
      <c r="AK7" s="259">
        <v>26</v>
      </c>
      <c r="AL7" s="259"/>
      <c r="AM7" s="259" t="s">
        <v>3229</v>
      </c>
      <c r="AN7" s="449">
        <v>6</v>
      </c>
      <c r="AO7" s="449" t="s">
        <v>3067</v>
      </c>
      <c r="AP7" s="449"/>
      <c r="AQ7" s="392" t="str">
        <f>IFERROR(VLOOKUP(BG7,#REF!,1,0),"")</f>
        <v/>
      </c>
      <c r="AS7" s="259" t="s">
        <v>3229</v>
      </c>
      <c r="BD7" s="202" t="str">
        <f t="shared" si="11"/>
        <v>G703.3T 스포츠 프레스티지</v>
      </c>
      <c r="BE7" s="261" t="str">
        <f t="shared" si="17"/>
        <v>0001</v>
      </c>
      <c r="BF7" s="407" t="s">
        <v>1097</v>
      </c>
      <c r="BG7" s="202" t="str">
        <f t="shared" si="12"/>
        <v>0001-0006</v>
      </c>
    </row>
    <row r="8" spans="1:59">
      <c r="A8" s="405">
        <v>3782</v>
      </c>
      <c r="B8" s="406">
        <v>3782</v>
      </c>
      <c r="C8" s="261" t="str">
        <f t="shared" si="13"/>
        <v>0005-0002</v>
      </c>
      <c r="D8" s="261" t="str">
        <f t="shared" si="14"/>
        <v>0005-0002-0001</v>
      </c>
      <c r="E8" s="407" t="s">
        <v>1096</v>
      </c>
      <c r="F8" s="261" t="str">
        <f>TEXT(VLOOKUP(J8,'[3]1'!$B$2:$D$37,2,0),"0000")</f>
        <v>0005</v>
      </c>
      <c r="G8" s="261" t="str">
        <f t="shared" si="15"/>
        <v>0002</v>
      </c>
      <c r="H8" s="408">
        <f t="shared" si="16"/>
        <v>1</v>
      </c>
      <c r="I8" s="407" t="s">
        <v>1096</v>
      </c>
      <c r="J8" s="258" t="s">
        <v>294</v>
      </c>
      <c r="K8" s="258" t="s">
        <v>2750</v>
      </c>
      <c r="L8" s="258" t="s">
        <v>3513</v>
      </c>
      <c r="M8" s="409">
        <v>58110000</v>
      </c>
      <c r="N8" s="258">
        <v>2151</v>
      </c>
      <c r="O8" s="258" t="s">
        <v>78</v>
      </c>
      <c r="P8" s="258" t="s">
        <v>73</v>
      </c>
      <c r="Q8" s="258" t="s">
        <v>72</v>
      </c>
      <c r="R8" s="258">
        <v>5</v>
      </c>
      <c r="S8" s="410">
        <v>9</v>
      </c>
      <c r="T8" s="261">
        <v>6</v>
      </c>
      <c r="U8" s="261">
        <v>6</v>
      </c>
      <c r="V8" s="258" t="s">
        <v>71</v>
      </c>
      <c r="W8" s="261" t="str">
        <f t="shared" si="18"/>
        <v>현대자동차G802.2 디젤 AWD58110000</v>
      </c>
      <c r="X8" s="411">
        <f t="shared" si="19"/>
        <v>3782</v>
      </c>
      <c r="Y8" s="261">
        <v>6</v>
      </c>
      <c r="Z8" s="261">
        <v>6</v>
      </c>
      <c r="AA8" s="407" t="s">
        <v>1096</v>
      </c>
      <c r="AB8" s="258" t="s">
        <v>73</v>
      </c>
      <c r="AC8" s="258"/>
      <c r="AD8" s="258" t="s">
        <v>2130</v>
      </c>
      <c r="AE8" s="258" t="s">
        <v>2129</v>
      </c>
      <c r="AF8" s="259"/>
      <c r="AG8" s="260"/>
      <c r="AH8" s="259"/>
      <c r="AI8" s="259"/>
      <c r="AJ8" s="260"/>
      <c r="AK8" s="259">
        <v>26</v>
      </c>
      <c r="AL8" s="259"/>
      <c r="AM8" s="259" t="s">
        <v>3232</v>
      </c>
      <c r="AN8" s="449">
        <v>7</v>
      </c>
      <c r="AO8" s="449" t="s">
        <v>1985</v>
      </c>
      <c r="AP8" s="449"/>
      <c r="AQ8" s="392" t="str">
        <f>IFERROR(VLOOKUP(BG8,#REF!,1,0),"")</f>
        <v/>
      </c>
      <c r="AS8" s="259" t="s">
        <v>3222</v>
      </c>
      <c r="BD8" s="202" t="str">
        <f t="shared" si="11"/>
        <v>G802.2 디젤 AWD</v>
      </c>
      <c r="BE8" s="261" t="str">
        <f t="shared" si="17"/>
        <v>0002</v>
      </c>
      <c r="BF8" s="407" t="s">
        <v>1096</v>
      </c>
      <c r="BG8" s="202" t="str">
        <f t="shared" si="12"/>
        <v>0002-0007</v>
      </c>
    </row>
    <row r="9" spans="1:59">
      <c r="A9" s="405">
        <v>3783</v>
      </c>
      <c r="B9" s="406">
        <v>3783</v>
      </c>
      <c r="C9" s="261" t="str">
        <f t="shared" si="13"/>
        <v>0005-0002</v>
      </c>
      <c r="D9" s="261" t="str">
        <f t="shared" si="14"/>
        <v>0005-0002-0002</v>
      </c>
      <c r="E9" s="407" t="s">
        <v>1095</v>
      </c>
      <c r="F9" s="261" t="str">
        <f>TEXT(VLOOKUP(J9,'[3]1'!$B$2:$D$37,2,0),"0000")</f>
        <v>0005</v>
      </c>
      <c r="G9" s="261" t="str">
        <f t="shared" si="15"/>
        <v>0002</v>
      </c>
      <c r="H9" s="408">
        <f t="shared" si="16"/>
        <v>2</v>
      </c>
      <c r="I9" s="407" t="s">
        <v>1095</v>
      </c>
      <c r="J9" s="258" t="s">
        <v>294</v>
      </c>
      <c r="K9" s="258" t="s">
        <v>2750</v>
      </c>
      <c r="L9" s="258" t="s">
        <v>3514</v>
      </c>
      <c r="M9" s="409">
        <v>55360000</v>
      </c>
      <c r="N9" s="258">
        <v>2151</v>
      </c>
      <c r="O9" s="258" t="s">
        <v>78</v>
      </c>
      <c r="P9" s="258" t="s">
        <v>73</v>
      </c>
      <c r="Q9" s="258" t="s">
        <v>72</v>
      </c>
      <c r="R9" s="258">
        <v>4</v>
      </c>
      <c r="S9" s="410">
        <v>9</v>
      </c>
      <c r="T9" s="261">
        <v>6</v>
      </c>
      <c r="U9" s="261">
        <v>6</v>
      </c>
      <c r="V9" s="258" t="s">
        <v>71</v>
      </c>
      <c r="W9" s="261" t="str">
        <f t="shared" si="18"/>
        <v>현대자동차G802.2 디젤 2WD 55360000</v>
      </c>
      <c r="X9" s="411">
        <f t="shared" si="19"/>
        <v>3783</v>
      </c>
      <c r="Y9" s="261">
        <v>6</v>
      </c>
      <c r="Z9" s="261">
        <v>6</v>
      </c>
      <c r="AA9" s="407" t="s">
        <v>1095</v>
      </c>
      <c r="AB9" s="258" t="s">
        <v>73</v>
      </c>
      <c r="AC9" s="258"/>
      <c r="AD9" s="258" t="s">
        <v>2130</v>
      </c>
      <c r="AE9" s="258" t="s">
        <v>2129</v>
      </c>
      <c r="AF9" s="259"/>
      <c r="AG9" s="260"/>
      <c r="AH9" s="259"/>
      <c r="AI9" s="259"/>
      <c r="AJ9" s="260"/>
      <c r="AK9" s="259">
        <v>26</v>
      </c>
      <c r="AL9" s="259"/>
      <c r="AM9" s="259" t="s">
        <v>3232</v>
      </c>
      <c r="AN9" s="449">
        <v>8</v>
      </c>
      <c r="AO9" s="449" t="s">
        <v>1986</v>
      </c>
      <c r="AP9" s="449"/>
      <c r="AQ9" s="392" t="str">
        <f>IFERROR(VLOOKUP(BG9,#REF!,1,0),"")</f>
        <v/>
      </c>
      <c r="AS9" s="259" t="s">
        <v>3222</v>
      </c>
      <c r="BD9" s="202" t="str">
        <f t="shared" si="11"/>
        <v xml:space="preserve">G802.2 디젤 2WD </v>
      </c>
      <c r="BE9" s="261" t="str">
        <f t="shared" si="17"/>
        <v>0002</v>
      </c>
      <c r="BF9" s="407" t="s">
        <v>1095</v>
      </c>
      <c r="BG9" s="202" t="str">
        <f t="shared" si="12"/>
        <v>0002-0008</v>
      </c>
    </row>
    <row r="10" spans="1:59">
      <c r="A10" s="405">
        <v>3784</v>
      </c>
      <c r="B10" s="406">
        <v>3784</v>
      </c>
      <c r="C10" s="261" t="str">
        <f t="shared" si="13"/>
        <v>0005-0002</v>
      </c>
      <c r="D10" s="261" t="str">
        <f t="shared" si="14"/>
        <v>0005-0002-0003</v>
      </c>
      <c r="E10" s="407" t="s">
        <v>1094</v>
      </c>
      <c r="F10" s="261" t="str">
        <f>TEXT(VLOOKUP(J10,'[3]1'!$B$2:$D$37,2,0),"0000")</f>
        <v>0005</v>
      </c>
      <c r="G10" s="261" t="str">
        <f t="shared" si="15"/>
        <v>0002</v>
      </c>
      <c r="H10" s="408">
        <f t="shared" si="16"/>
        <v>3</v>
      </c>
      <c r="I10" s="407" t="s">
        <v>1094</v>
      </c>
      <c r="J10" s="258" t="s">
        <v>294</v>
      </c>
      <c r="K10" s="258" t="s">
        <v>2750</v>
      </c>
      <c r="L10" s="258" t="s">
        <v>3515</v>
      </c>
      <c r="M10" s="409">
        <v>55660000</v>
      </c>
      <c r="N10" s="258">
        <v>2497</v>
      </c>
      <c r="O10" s="258" t="s">
        <v>77</v>
      </c>
      <c r="P10" s="258" t="s">
        <v>73</v>
      </c>
      <c r="Q10" s="258" t="s">
        <v>72</v>
      </c>
      <c r="R10" s="258">
        <v>5</v>
      </c>
      <c r="S10" s="410">
        <v>2</v>
      </c>
      <c r="T10" s="261">
        <v>6</v>
      </c>
      <c r="U10" s="261">
        <v>6</v>
      </c>
      <c r="V10" s="258" t="s">
        <v>1969</v>
      </c>
      <c r="W10" s="261" t="str">
        <f t="shared" si="18"/>
        <v>현대자동차G80가솔린 터보 2.5 AWD55660000</v>
      </c>
      <c r="X10" s="411">
        <f t="shared" si="19"/>
        <v>3784</v>
      </c>
      <c r="Y10" s="261">
        <v>6</v>
      </c>
      <c r="Z10" s="261">
        <v>6</v>
      </c>
      <c r="AA10" s="407" t="s">
        <v>1094</v>
      </c>
      <c r="AB10" s="258" t="s">
        <v>1431</v>
      </c>
      <c r="AC10" s="258"/>
      <c r="AD10" s="258" t="s">
        <v>2131</v>
      </c>
      <c r="AE10" s="258" t="s">
        <v>2129</v>
      </c>
      <c r="AF10" s="259"/>
      <c r="AG10" s="260"/>
      <c r="AH10" s="259"/>
      <c r="AI10" s="259"/>
      <c r="AJ10" s="260"/>
      <c r="AK10" s="259">
        <v>26</v>
      </c>
      <c r="AL10" s="259"/>
      <c r="AM10" s="259" t="s">
        <v>3223</v>
      </c>
      <c r="AN10" s="449">
        <v>9</v>
      </c>
      <c r="AO10" s="449" t="s">
        <v>1987</v>
      </c>
      <c r="AP10" s="449"/>
      <c r="AQ10" s="392" t="str">
        <f>IFERROR(VLOOKUP(BG10,#REF!,1,0),"")</f>
        <v/>
      </c>
      <c r="AS10" s="259" t="s">
        <v>3223</v>
      </c>
      <c r="BD10" s="202" t="str">
        <f t="shared" si="11"/>
        <v>G80가솔린 터보 2.5 AWD</v>
      </c>
      <c r="BE10" s="261" t="str">
        <f t="shared" si="17"/>
        <v>0002</v>
      </c>
      <c r="BF10" s="407" t="s">
        <v>1094</v>
      </c>
      <c r="BG10" s="202" t="str">
        <f t="shared" si="12"/>
        <v>0002-0009</v>
      </c>
    </row>
    <row r="11" spans="1:59">
      <c r="A11" s="405">
        <v>3785</v>
      </c>
      <c r="B11" s="406">
        <v>3785</v>
      </c>
      <c r="C11" s="261" t="str">
        <f t="shared" si="13"/>
        <v>0005-0002</v>
      </c>
      <c r="D11" s="261" t="str">
        <f t="shared" si="14"/>
        <v>0005-0002-0004</v>
      </c>
      <c r="E11" s="407" t="s">
        <v>1093</v>
      </c>
      <c r="F11" s="261" t="str">
        <f>TEXT(VLOOKUP(J11,'[3]1'!$B$2:$D$37,2,0),"0000")</f>
        <v>0005</v>
      </c>
      <c r="G11" s="261" t="str">
        <f t="shared" si="15"/>
        <v>0002</v>
      </c>
      <c r="H11" s="408">
        <f t="shared" si="16"/>
        <v>4</v>
      </c>
      <c r="I11" s="407" t="s">
        <v>1093</v>
      </c>
      <c r="J11" s="258" t="s">
        <v>294</v>
      </c>
      <c r="K11" s="258" t="s">
        <v>2750</v>
      </c>
      <c r="L11" s="258" t="s">
        <v>3516</v>
      </c>
      <c r="M11" s="409">
        <v>59390000</v>
      </c>
      <c r="N11" s="258">
        <v>3470</v>
      </c>
      <c r="O11" s="258" t="s">
        <v>77</v>
      </c>
      <c r="P11" s="258" t="s">
        <v>73</v>
      </c>
      <c r="Q11" s="258" t="s">
        <v>72</v>
      </c>
      <c r="R11" s="258">
        <v>5</v>
      </c>
      <c r="S11" s="410">
        <v>9</v>
      </c>
      <c r="T11" s="261">
        <v>6</v>
      </c>
      <c r="U11" s="261">
        <v>6</v>
      </c>
      <c r="V11" s="258" t="s">
        <v>1969</v>
      </c>
      <c r="W11" s="261" t="str">
        <f t="shared" si="18"/>
        <v>현대자동차G80가솔린 터보 3.5 2WD59390000</v>
      </c>
      <c r="X11" s="411">
        <f t="shared" si="19"/>
        <v>3785</v>
      </c>
      <c r="Y11" s="261">
        <v>6</v>
      </c>
      <c r="Z11" s="261">
        <v>6</v>
      </c>
      <c r="AA11" s="407" t="s">
        <v>1093</v>
      </c>
      <c r="AB11" s="258" t="s">
        <v>1431</v>
      </c>
      <c r="AC11" s="258"/>
      <c r="AD11" s="258" t="s">
        <v>2132</v>
      </c>
      <c r="AE11" s="258" t="s">
        <v>2129</v>
      </c>
      <c r="AF11" s="259"/>
      <c r="AG11" s="260"/>
      <c r="AH11" s="259"/>
      <c r="AI11" s="259"/>
      <c r="AJ11" s="260"/>
      <c r="AK11" s="259">
        <v>26</v>
      </c>
      <c r="AL11" s="259"/>
      <c r="AM11" s="259" t="s">
        <v>3222</v>
      </c>
      <c r="AN11" s="449">
        <v>10</v>
      </c>
      <c r="AO11" s="449" t="s">
        <v>1988</v>
      </c>
      <c r="AP11" s="449"/>
      <c r="AQ11" s="392" t="str">
        <f>IFERROR(VLOOKUP(BG11,#REF!,1,0),"")</f>
        <v/>
      </c>
      <c r="AS11" s="259" t="s">
        <v>3222</v>
      </c>
      <c r="BD11" s="202" t="str">
        <f t="shared" si="11"/>
        <v>G80가솔린 터보 3.5 2WD</v>
      </c>
      <c r="BE11" s="261" t="str">
        <f t="shared" si="17"/>
        <v>0002</v>
      </c>
      <c r="BF11" s="407" t="s">
        <v>1093</v>
      </c>
      <c r="BG11" s="202" t="str">
        <f t="shared" si="12"/>
        <v>0002-0010</v>
      </c>
    </row>
    <row r="12" spans="1:59">
      <c r="A12" s="405">
        <v>3786</v>
      </c>
      <c r="B12" s="406">
        <v>3786</v>
      </c>
      <c r="C12" s="261" t="str">
        <f t="shared" si="13"/>
        <v>0005-0002</v>
      </c>
      <c r="D12" s="261" t="str">
        <f t="shared" si="14"/>
        <v>0005-0002-0005</v>
      </c>
      <c r="E12" s="407" t="s">
        <v>1092</v>
      </c>
      <c r="F12" s="261" t="str">
        <f>TEXT(VLOOKUP(J12,'[3]1'!$B$2:$D$37,2,0),"0000")</f>
        <v>0005</v>
      </c>
      <c r="G12" s="261" t="str">
        <f t="shared" si="15"/>
        <v>0002</v>
      </c>
      <c r="H12" s="408">
        <f t="shared" si="16"/>
        <v>5</v>
      </c>
      <c r="I12" s="407" t="s">
        <v>1092</v>
      </c>
      <c r="J12" s="258" t="s">
        <v>294</v>
      </c>
      <c r="K12" s="258" t="s">
        <v>2750</v>
      </c>
      <c r="L12" s="258" t="s">
        <v>3517</v>
      </c>
      <c r="M12" s="409">
        <v>52910000</v>
      </c>
      <c r="N12" s="258">
        <v>2497</v>
      </c>
      <c r="O12" s="258" t="s">
        <v>77</v>
      </c>
      <c r="P12" s="258" t="s">
        <v>73</v>
      </c>
      <c r="Q12" s="258" t="s">
        <v>72</v>
      </c>
      <c r="R12" s="258">
        <v>5</v>
      </c>
      <c r="S12" s="410">
        <v>2</v>
      </c>
      <c r="T12" s="261">
        <v>6</v>
      </c>
      <c r="U12" s="261">
        <v>6</v>
      </c>
      <c r="V12" s="258" t="s">
        <v>1969</v>
      </c>
      <c r="W12" s="261" t="str">
        <f t="shared" si="18"/>
        <v>현대자동차G80가솔린 터보 2.5 2WD52910000</v>
      </c>
      <c r="X12" s="411">
        <f t="shared" si="19"/>
        <v>3786</v>
      </c>
      <c r="Y12" s="261">
        <v>6</v>
      </c>
      <c r="Z12" s="261">
        <v>6</v>
      </c>
      <c r="AA12" s="407" t="s">
        <v>1092</v>
      </c>
      <c r="AB12" s="258" t="s">
        <v>1431</v>
      </c>
      <c r="AC12" s="258"/>
      <c r="AD12" s="258" t="s">
        <v>2131</v>
      </c>
      <c r="AE12" s="258" t="s">
        <v>2129</v>
      </c>
      <c r="AF12" s="259"/>
      <c r="AG12" s="260"/>
      <c r="AH12" s="259"/>
      <c r="AI12" s="259"/>
      <c r="AJ12" s="260"/>
      <c r="AK12" s="259">
        <v>26</v>
      </c>
      <c r="AL12" s="259"/>
      <c r="AM12" s="259" t="s">
        <v>3223</v>
      </c>
      <c r="AN12" s="449">
        <v>11</v>
      </c>
      <c r="AO12" s="449" t="s">
        <v>1989</v>
      </c>
      <c r="AP12" s="449"/>
      <c r="AQ12" s="392" t="str">
        <f>IFERROR(VLOOKUP(BG12,#REF!,1,0),"")</f>
        <v/>
      </c>
      <c r="AS12" s="259" t="s">
        <v>3223</v>
      </c>
      <c r="BD12" s="202" t="str">
        <f t="shared" si="11"/>
        <v>G80가솔린 터보 2.5 2WD</v>
      </c>
      <c r="BE12" s="261" t="str">
        <f t="shared" si="17"/>
        <v>0002</v>
      </c>
      <c r="BF12" s="407" t="s">
        <v>1092</v>
      </c>
      <c r="BG12" s="202" t="str">
        <f t="shared" si="12"/>
        <v>0002-0011</v>
      </c>
    </row>
    <row r="13" spans="1:59">
      <c r="A13" s="405">
        <v>3787</v>
      </c>
      <c r="B13" s="406">
        <v>3787</v>
      </c>
      <c r="C13" s="261" t="str">
        <f t="shared" si="13"/>
        <v>0005-0002</v>
      </c>
      <c r="D13" s="261" t="str">
        <f t="shared" si="14"/>
        <v>0005-0002-0006</v>
      </c>
      <c r="E13" s="407" t="s">
        <v>1091</v>
      </c>
      <c r="F13" s="261" t="str">
        <f>TEXT(VLOOKUP(J13,'[3]1'!$B$2:$D$37,2,0),"0000")</f>
        <v>0005</v>
      </c>
      <c r="G13" s="261" t="str">
        <f t="shared" si="15"/>
        <v>0002</v>
      </c>
      <c r="H13" s="408">
        <f t="shared" si="16"/>
        <v>6</v>
      </c>
      <c r="I13" s="407" t="s">
        <v>1091</v>
      </c>
      <c r="J13" s="258" t="s">
        <v>294</v>
      </c>
      <c r="K13" s="258" t="s">
        <v>2750</v>
      </c>
      <c r="L13" s="258" t="s">
        <v>3518</v>
      </c>
      <c r="M13" s="409">
        <v>62140000</v>
      </c>
      <c r="N13" s="258">
        <v>3470</v>
      </c>
      <c r="O13" s="258" t="s">
        <v>77</v>
      </c>
      <c r="P13" s="258" t="s">
        <v>73</v>
      </c>
      <c r="Q13" s="258" t="s">
        <v>72</v>
      </c>
      <c r="R13" s="258">
        <v>5</v>
      </c>
      <c r="S13" s="410">
        <v>9</v>
      </c>
      <c r="T13" s="261">
        <v>6</v>
      </c>
      <c r="U13" s="261">
        <v>6</v>
      </c>
      <c r="V13" s="258" t="s">
        <v>1969</v>
      </c>
      <c r="W13" s="261" t="str">
        <f t="shared" si="18"/>
        <v>현대자동차G80가솔린 터보 3.5 AWD62140000</v>
      </c>
      <c r="X13" s="411">
        <f t="shared" si="19"/>
        <v>3787</v>
      </c>
      <c r="Y13" s="261">
        <v>6</v>
      </c>
      <c r="Z13" s="261">
        <v>6</v>
      </c>
      <c r="AA13" s="407" t="s">
        <v>1091</v>
      </c>
      <c r="AB13" s="258" t="s">
        <v>1431</v>
      </c>
      <c r="AC13" s="258"/>
      <c r="AD13" s="258" t="s">
        <v>2132</v>
      </c>
      <c r="AE13" s="258" t="s">
        <v>2129</v>
      </c>
      <c r="AF13" s="259"/>
      <c r="AG13" s="260"/>
      <c r="AH13" s="259"/>
      <c r="AI13" s="259"/>
      <c r="AJ13" s="260"/>
      <c r="AK13" s="259">
        <v>26</v>
      </c>
      <c r="AL13" s="259"/>
      <c r="AM13" s="259" t="s">
        <v>3222</v>
      </c>
      <c r="AN13" s="449">
        <v>12</v>
      </c>
      <c r="AO13" s="449" t="s">
        <v>1990</v>
      </c>
      <c r="AP13" s="449"/>
      <c r="AQ13" s="392" t="str">
        <f>IFERROR(VLOOKUP(BG13,#REF!,1,0),"")</f>
        <v/>
      </c>
      <c r="AS13" s="259" t="s">
        <v>3222</v>
      </c>
      <c r="BD13" s="202" t="str">
        <f t="shared" si="11"/>
        <v>G80가솔린 터보 3.5 AWD</v>
      </c>
      <c r="BE13" s="261" t="str">
        <f t="shared" si="17"/>
        <v>0002</v>
      </c>
      <c r="BF13" s="407" t="s">
        <v>1091</v>
      </c>
      <c r="BG13" s="202" t="str">
        <f t="shared" si="12"/>
        <v>0002-0012</v>
      </c>
    </row>
    <row r="14" spans="1:59">
      <c r="A14" s="405">
        <v>3788</v>
      </c>
      <c r="B14" s="406">
        <v>3788</v>
      </c>
      <c r="C14" s="261" t="str">
        <f t="shared" si="13"/>
        <v>0005-0003</v>
      </c>
      <c r="D14" s="261" t="str">
        <f t="shared" si="14"/>
        <v>0005-0003-0001</v>
      </c>
      <c r="E14" s="407" t="s">
        <v>1090</v>
      </c>
      <c r="F14" s="261" t="str">
        <f>TEXT(VLOOKUP(J14,'[3]1'!$B$2:$D$37,2,0),"0000")</f>
        <v>0005</v>
      </c>
      <c r="G14" s="261" t="str">
        <f t="shared" si="15"/>
        <v>0003</v>
      </c>
      <c r="H14" s="408">
        <f t="shared" si="16"/>
        <v>1</v>
      </c>
      <c r="I14" s="407" t="s">
        <v>1090</v>
      </c>
      <c r="J14" s="258" t="s">
        <v>294</v>
      </c>
      <c r="K14" s="258" t="s">
        <v>2751</v>
      </c>
      <c r="L14" s="258" t="s">
        <v>3467</v>
      </c>
      <c r="M14" s="409">
        <v>101500000</v>
      </c>
      <c r="N14" s="258">
        <v>3470</v>
      </c>
      <c r="O14" s="258" t="s">
        <v>77</v>
      </c>
      <c r="P14" s="258" t="s">
        <v>73</v>
      </c>
      <c r="Q14" s="258" t="s">
        <v>72</v>
      </c>
      <c r="R14" s="258">
        <v>5</v>
      </c>
      <c r="S14" s="410">
        <v>11</v>
      </c>
      <c r="T14" s="261">
        <v>6</v>
      </c>
      <c r="U14" s="261">
        <v>6</v>
      </c>
      <c r="V14" s="258" t="s">
        <v>1969</v>
      </c>
      <c r="W14" s="261" t="str">
        <f t="shared" si="18"/>
        <v>현대자동차G90G90 3.5T 48V 2WD101500000</v>
      </c>
      <c r="X14" s="411">
        <f t="shared" si="19"/>
        <v>3788</v>
      </c>
      <c r="Y14" s="261">
        <v>6</v>
      </c>
      <c r="Z14" s="261">
        <v>6</v>
      </c>
      <c r="AA14" s="407" t="s">
        <v>1090</v>
      </c>
      <c r="AB14" s="258" t="s">
        <v>1431</v>
      </c>
      <c r="AC14" s="258"/>
      <c r="AD14" s="258"/>
      <c r="AE14" s="258"/>
      <c r="AF14" s="259"/>
      <c r="AG14" s="260"/>
      <c r="AH14" s="259"/>
      <c r="AI14" s="259"/>
      <c r="AJ14" s="260"/>
      <c r="AK14" s="259">
        <v>26</v>
      </c>
      <c r="AL14" s="259"/>
      <c r="AM14" s="259" t="s">
        <v>3469</v>
      </c>
      <c r="AN14" s="449"/>
      <c r="AO14" s="449"/>
      <c r="AP14" s="449"/>
      <c r="AQ14" s="392" t="str">
        <f>IFERROR(VLOOKUP(BG14,#REF!,1,0),"")</f>
        <v/>
      </c>
      <c r="AS14" s="259" t="s">
        <v>3470</v>
      </c>
      <c r="AT14" s="392">
        <v>2024.03</v>
      </c>
      <c r="BD14" s="202" t="str">
        <f t="shared" si="11"/>
        <v>G90G90 3.5T 48V 2WD</v>
      </c>
      <c r="BE14" s="261" t="str">
        <f t="shared" si="17"/>
        <v>0003</v>
      </c>
      <c r="BF14" s="407" t="s">
        <v>1090</v>
      </c>
      <c r="BG14" s="202" t="str">
        <f t="shared" si="12"/>
        <v>0003-0013</v>
      </c>
    </row>
    <row r="15" spans="1:59">
      <c r="A15" s="405">
        <v>3789</v>
      </c>
      <c r="B15" s="406">
        <v>3789</v>
      </c>
      <c r="C15" s="261" t="str">
        <f t="shared" si="13"/>
        <v>0005-0003</v>
      </c>
      <c r="D15" s="261" t="str">
        <f t="shared" si="14"/>
        <v>0005-0003-0002</v>
      </c>
      <c r="E15" s="407" t="s">
        <v>1089</v>
      </c>
      <c r="F15" s="261" t="str">
        <f>TEXT(VLOOKUP(J15,'[3]1'!$B$2:$D$37,2,0),"0000")</f>
        <v>0005</v>
      </c>
      <c r="G15" s="261" t="str">
        <f t="shared" si="15"/>
        <v>0003</v>
      </c>
      <c r="H15" s="408">
        <f t="shared" si="16"/>
        <v>2</v>
      </c>
      <c r="I15" s="407" t="s">
        <v>1089</v>
      </c>
      <c r="J15" s="258" t="s">
        <v>294</v>
      </c>
      <c r="K15" s="258" t="s">
        <v>2751</v>
      </c>
      <c r="L15" s="258" t="s">
        <v>3468</v>
      </c>
      <c r="M15" s="409">
        <v>126500000</v>
      </c>
      <c r="N15" s="258">
        <v>3470</v>
      </c>
      <c r="O15" s="258" t="s">
        <v>77</v>
      </c>
      <c r="P15" s="258" t="s">
        <v>73</v>
      </c>
      <c r="Q15" s="258" t="s">
        <v>72</v>
      </c>
      <c r="R15" s="258">
        <v>5</v>
      </c>
      <c r="S15" s="410">
        <v>16</v>
      </c>
      <c r="T15" s="261">
        <v>6</v>
      </c>
      <c r="U15" s="261">
        <v>6</v>
      </c>
      <c r="V15" s="258" t="s">
        <v>1969</v>
      </c>
      <c r="W15" s="261" t="str">
        <f t="shared" si="18"/>
        <v>현대자동차G90G90 3.5T 48V 2WD+프레스티지 컬렉션126500000</v>
      </c>
      <c r="X15" s="411">
        <f t="shared" si="19"/>
        <v>3789</v>
      </c>
      <c r="Y15" s="261">
        <v>6</v>
      </c>
      <c r="Z15" s="261">
        <v>6</v>
      </c>
      <c r="AA15" s="407" t="s">
        <v>1089</v>
      </c>
      <c r="AB15" s="258" t="s">
        <v>1431</v>
      </c>
      <c r="AC15" s="258"/>
      <c r="AD15" s="258"/>
      <c r="AE15" s="258"/>
      <c r="AF15" s="259"/>
      <c r="AG15" s="260"/>
      <c r="AH15" s="259"/>
      <c r="AI15" s="259"/>
      <c r="AJ15" s="260"/>
      <c r="AK15" s="259">
        <v>26</v>
      </c>
      <c r="AL15" s="259"/>
      <c r="AM15" s="259" t="s">
        <v>3469</v>
      </c>
      <c r="AN15" s="449"/>
      <c r="AO15" s="449"/>
      <c r="AP15" s="449"/>
      <c r="AQ15" s="392" t="str">
        <f>IFERROR(VLOOKUP(BG15,#REF!,1,0),"")</f>
        <v/>
      </c>
      <c r="AS15" s="259" t="s">
        <v>3473</v>
      </c>
      <c r="AT15" s="392">
        <v>2024.03</v>
      </c>
      <c r="BD15" s="202" t="str">
        <f t="shared" si="11"/>
        <v>G90G90 3.5T 48V 2WD+프레스티지 컬렉션</v>
      </c>
      <c r="BE15" s="261" t="str">
        <f t="shared" si="17"/>
        <v>0003</v>
      </c>
      <c r="BF15" s="407" t="s">
        <v>1089</v>
      </c>
      <c r="BG15" s="202" t="str">
        <f t="shared" si="12"/>
        <v>0003-0014</v>
      </c>
    </row>
    <row r="16" spans="1:59">
      <c r="A16" s="405">
        <v>3790</v>
      </c>
      <c r="B16" s="406">
        <v>3790</v>
      </c>
      <c r="C16" s="261" t="str">
        <f t="shared" si="13"/>
        <v>0005-0003</v>
      </c>
      <c r="D16" s="261" t="str">
        <f t="shared" si="14"/>
        <v>0005-0003-0003</v>
      </c>
      <c r="E16" s="407" t="s">
        <v>1088</v>
      </c>
      <c r="F16" s="261" t="str">
        <f>TEXT(VLOOKUP(J16,'[3]1'!$B$2:$D$37,2,0),"0000")</f>
        <v>0005</v>
      </c>
      <c r="G16" s="261" t="str">
        <f t="shared" si="15"/>
        <v>0003</v>
      </c>
      <c r="H16" s="408">
        <f t="shared" si="16"/>
        <v>3</v>
      </c>
      <c r="I16" s="407" t="s">
        <v>1088</v>
      </c>
      <c r="J16" s="258" t="s">
        <v>294</v>
      </c>
      <c r="K16" s="258" t="s">
        <v>2751</v>
      </c>
      <c r="L16" s="258" t="s">
        <v>3471</v>
      </c>
      <c r="M16" s="409">
        <v>101500000</v>
      </c>
      <c r="N16" s="258">
        <v>3470</v>
      </c>
      <c r="O16" s="258" t="s">
        <v>77</v>
      </c>
      <c r="P16" s="258" t="s">
        <v>73</v>
      </c>
      <c r="Q16" s="258" t="s">
        <v>72</v>
      </c>
      <c r="R16" s="258">
        <v>5</v>
      </c>
      <c r="S16" s="410">
        <v>11</v>
      </c>
      <c r="T16" s="261">
        <v>6</v>
      </c>
      <c r="U16" s="261">
        <v>6</v>
      </c>
      <c r="V16" s="258" t="s">
        <v>1969</v>
      </c>
      <c r="W16" s="261" t="str">
        <f t="shared" si="18"/>
        <v>현대자동차G90G90 3.5T 48V  AWD101500000</v>
      </c>
      <c r="X16" s="411">
        <f t="shared" si="19"/>
        <v>3790</v>
      </c>
      <c r="Y16" s="261">
        <v>6</v>
      </c>
      <c r="Z16" s="261">
        <v>6</v>
      </c>
      <c r="AA16" s="407" t="s">
        <v>1088</v>
      </c>
      <c r="AB16" s="258" t="s">
        <v>1431</v>
      </c>
      <c r="AC16" s="258"/>
      <c r="AD16" s="258"/>
      <c r="AE16" s="258"/>
      <c r="AF16" s="259"/>
      <c r="AG16" s="260"/>
      <c r="AH16" s="259"/>
      <c r="AI16" s="259"/>
      <c r="AJ16" s="260"/>
      <c r="AK16" s="259">
        <v>26</v>
      </c>
      <c r="AL16" s="259"/>
      <c r="AM16" s="259" t="s">
        <v>3469</v>
      </c>
      <c r="AN16" s="449"/>
      <c r="AO16" s="449"/>
      <c r="AP16" s="449"/>
      <c r="AQ16" s="392" t="str">
        <f>IFERROR(VLOOKUP(BG16,#REF!,1,0),"")</f>
        <v/>
      </c>
      <c r="AS16" s="259" t="s">
        <v>3470</v>
      </c>
      <c r="BD16" s="202" t="str">
        <f t="shared" si="11"/>
        <v>G90G90 3.5T 48V  AWD</v>
      </c>
      <c r="BE16" s="261" t="str">
        <f t="shared" si="17"/>
        <v>0003</v>
      </c>
      <c r="BF16" s="407" t="s">
        <v>1088</v>
      </c>
      <c r="BG16" s="202" t="str">
        <f t="shared" si="12"/>
        <v>0003-0015</v>
      </c>
    </row>
    <row r="17" spans="1:59">
      <c r="A17" s="405">
        <v>3791</v>
      </c>
      <c r="B17" s="406">
        <v>3791</v>
      </c>
      <c r="C17" s="261" t="str">
        <f t="shared" si="13"/>
        <v>0005-0003</v>
      </c>
      <c r="D17" s="261" t="str">
        <f t="shared" si="14"/>
        <v>0005-0003-0004</v>
      </c>
      <c r="E17" s="407" t="s">
        <v>1087</v>
      </c>
      <c r="F17" s="261" t="str">
        <f>TEXT(VLOOKUP(J17,'[3]1'!$B$2:$D$37,2,0),"0000")</f>
        <v>0005</v>
      </c>
      <c r="G17" s="261" t="str">
        <f t="shared" si="15"/>
        <v>0003</v>
      </c>
      <c r="H17" s="408">
        <f t="shared" si="16"/>
        <v>4</v>
      </c>
      <c r="I17" s="407" t="s">
        <v>1087</v>
      </c>
      <c r="J17" s="258" t="s">
        <v>294</v>
      </c>
      <c r="K17" s="258" t="s">
        <v>2751</v>
      </c>
      <c r="L17" s="258" t="s">
        <v>3472</v>
      </c>
      <c r="M17" s="409">
        <v>126500000</v>
      </c>
      <c r="N17" s="258">
        <v>3470</v>
      </c>
      <c r="O17" s="258" t="s">
        <v>77</v>
      </c>
      <c r="P17" s="258" t="s">
        <v>73</v>
      </c>
      <c r="Q17" s="258" t="s">
        <v>72</v>
      </c>
      <c r="R17" s="258">
        <v>5</v>
      </c>
      <c r="S17" s="410">
        <v>16</v>
      </c>
      <c r="T17" s="261">
        <v>6</v>
      </c>
      <c r="U17" s="261">
        <v>6</v>
      </c>
      <c r="V17" s="258" t="s">
        <v>1969</v>
      </c>
      <c r="W17" s="261" t="str">
        <f t="shared" si="18"/>
        <v>현대자동차G90G90 3.5T 48V AWD+프레스티지 컬렉션126500000</v>
      </c>
      <c r="X17" s="411">
        <f t="shared" si="19"/>
        <v>3791</v>
      </c>
      <c r="Y17" s="261">
        <v>6</v>
      </c>
      <c r="Z17" s="261">
        <v>6</v>
      </c>
      <c r="AA17" s="407" t="s">
        <v>1087</v>
      </c>
      <c r="AB17" s="258" t="s">
        <v>1431</v>
      </c>
      <c r="AC17" s="258"/>
      <c r="AD17" s="258"/>
      <c r="AE17" s="258"/>
      <c r="AF17" s="259"/>
      <c r="AG17" s="260"/>
      <c r="AH17" s="259"/>
      <c r="AI17" s="259"/>
      <c r="AJ17" s="260"/>
      <c r="AK17" s="259">
        <v>26</v>
      </c>
      <c r="AL17" s="259"/>
      <c r="AM17" s="259" t="s">
        <v>3469</v>
      </c>
      <c r="AN17" s="449"/>
      <c r="AO17" s="449"/>
      <c r="AP17" s="449"/>
      <c r="AQ17" s="392" t="str">
        <f>IFERROR(VLOOKUP(BG17,#REF!,1,0),"")</f>
        <v/>
      </c>
      <c r="AS17" s="259" t="s">
        <v>3473</v>
      </c>
      <c r="BD17" s="202" t="str">
        <f t="shared" si="11"/>
        <v>G90G90 3.5T 48V AWD+프레스티지 컬렉션</v>
      </c>
      <c r="BE17" s="261" t="str">
        <f t="shared" si="17"/>
        <v>0003</v>
      </c>
      <c r="BF17" s="407" t="s">
        <v>1087</v>
      </c>
      <c r="BG17" s="202" t="str">
        <f t="shared" si="12"/>
        <v>0003-0016</v>
      </c>
    </row>
    <row r="18" spans="1:59">
      <c r="A18" s="405">
        <v>3792</v>
      </c>
      <c r="B18" s="406">
        <v>3792</v>
      </c>
      <c r="C18" s="261" t="str">
        <f t="shared" si="13"/>
        <v>0005-0004</v>
      </c>
      <c r="D18" s="261" t="str">
        <f t="shared" si="14"/>
        <v>0005-0004-0001</v>
      </c>
      <c r="E18" s="407" t="s">
        <v>1086</v>
      </c>
      <c r="F18" s="261" t="str">
        <f>TEXT(VLOOKUP(J18,'[3]1'!$B$2:$D$37,2,0),"0000")</f>
        <v>0005</v>
      </c>
      <c r="G18" s="261" t="str">
        <f t="shared" si="15"/>
        <v>0004</v>
      </c>
      <c r="H18" s="408">
        <f t="shared" si="16"/>
        <v>1</v>
      </c>
      <c r="I18" s="407" t="s">
        <v>1086</v>
      </c>
      <c r="J18" s="258" t="s">
        <v>294</v>
      </c>
      <c r="K18" s="258" t="s">
        <v>2876</v>
      </c>
      <c r="L18" s="258" t="s">
        <v>2877</v>
      </c>
      <c r="M18" s="409">
        <v>48800000</v>
      </c>
      <c r="N18" s="258">
        <v>2497</v>
      </c>
      <c r="O18" s="258" t="s">
        <v>77</v>
      </c>
      <c r="P18" s="258" t="s">
        <v>73</v>
      </c>
      <c r="Q18" s="258" t="s">
        <v>72</v>
      </c>
      <c r="R18" s="258">
        <v>5</v>
      </c>
      <c r="S18" s="410">
        <v>4</v>
      </c>
      <c r="T18" s="261">
        <v>6</v>
      </c>
      <c r="U18" s="261">
        <v>6</v>
      </c>
      <c r="V18" s="258" t="s">
        <v>71</v>
      </c>
      <c r="W18" s="261" t="str">
        <f t="shared" si="18"/>
        <v>현대자동차GV70가솔린 2.5 터보 2WD48800000</v>
      </c>
      <c r="X18" s="411">
        <f t="shared" si="19"/>
        <v>3792</v>
      </c>
      <c r="Y18" s="261">
        <v>6</v>
      </c>
      <c r="Z18" s="261">
        <v>6</v>
      </c>
      <c r="AA18" s="407" t="s">
        <v>1086</v>
      </c>
      <c r="AB18" s="258" t="s">
        <v>1965</v>
      </c>
      <c r="AC18" s="258"/>
      <c r="AD18" s="258">
        <v>6</v>
      </c>
      <c r="AE18" s="258">
        <v>0</v>
      </c>
      <c r="AF18" s="259"/>
      <c r="AG18" s="260"/>
      <c r="AH18" s="259"/>
      <c r="AI18" s="259"/>
      <c r="AJ18" s="260"/>
      <c r="AK18" s="259">
        <v>26</v>
      </c>
      <c r="AL18" s="259"/>
      <c r="AM18" s="516" t="s">
        <v>3226</v>
      </c>
      <c r="AN18" s="449">
        <v>23</v>
      </c>
      <c r="AO18" s="449" t="s">
        <v>3070</v>
      </c>
      <c r="AP18" s="449"/>
      <c r="AQ18" s="392" t="str">
        <f>IFERROR(VLOOKUP(BG18,#REF!,1,0),"")</f>
        <v/>
      </c>
      <c r="AS18" s="259" t="s">
        <v>3226</v>
      </c>
      <c r="BD18" s="202" t="str">
        <f t="shared" si="11"/>
        <v>GV70가솔린 2.5 터보 2WD</v>
      </c>
      <c r="BE18" s="261" t="str">
        <f t="shared" si="17"/>
        <v>0004</v>
      </c>
      <c r="BF18" s="407" t="s">
        <v>1086</v>
      </c>
      <c r="BG18" s="202" t="str">
        <f t="shared" si="12"/>
        <v>0004-0017</v>
      </c>
    </row>
    <row r="19" spans="1:59">
      <c r="A19" s="405">
        <v>3793</v>
      </c>
      <c r="B19" s="406">
        <v>3793</v>
      </c>
      <c r="C19" s="261" t="str">
        <f t="shared" si="13"/>
        <v>0005-0004</v>
      </c>
      <c r="D19" s="261" t="str">
        <f t="shared" si="14"/>
        <v>0005-0004-0002</v>
      </c>
      <c r="E19" s="407" t="s">
        <v>1085</v>
      </c>
      <c r="F19" s="261" t="str">
        <f>TEXT(VLOOKUP(J19,'[3]1'!$B$2:$D$37,2,0),"0000")</f>
        <v>0005</v>
      </c>
      <c r="G19" s="261" t="str">
        <f t="shared" si="15"/>
        <v>0004</v>
      </c>
      <c r="H19" s="408">
        <f t="shared" si="16"/>
        <v>2</v>
      </c>
      <c r="I19" s="407" t="s">
        <v>1085</v>
      </c>
      <c r="J19" s="258" t="s">
        <v>294</v>
      </c>
      <c r="K19" s="258" t="s">
        <v>2876</v>
      </c>
      <c r="L19" s="258" t="s">
        <v>2878</v>
      </c>
      <c r="M19" s="409">
        <v>51800000</v>
      </c>
      <c r="N19" s="258">
        <v>2497</v>
      </c>
      <c r="O19" s="258" t="s">
        <v>77</v>
      </c>
      <c r="P19" s="258" t="s">
        <v>73</v>
      </c>
      <c r="Q19" s="258" t="s">
        <v>72</v>
      </c>
      <c r="R19" s="258">
        <v>5</v>
      </c>
      <c r="S19" s="410">
        <v>4</v>
      </c>
      <c r="T19" s="261">
        <v>6</v>
      </c>
      <c r="U19" s="261">
        <v>6</v>
      </c>
      <c r="V19" s="258" t="s">
        <v>71</v>
      </c>
      <c r="W19" s="261" t="str">
        <f t="shared" si="18"/>
        <v>현대자동차GV70가솔린 2.5 터보 AWD51800000</v>
      </c>
      <c r="X19" s="411">
        <f t="shared" si="19"/>
        <v>3793</v>
      </c>
      <c r="Y19" s="261">
        <v>6</v>
      </c>
      <c r="Z19" s="261">
        <v>6</v>
      </c>
      <c r="AA19" s="407" t="s">
        <v>1085</v>
      </c>
      <c r="AB19" s="258" t="s">
        <v>1965</v>
      </c>
      <c r="AC19" s="258"/>
      <c r="AD19" s="258">
        <v>6</v>
      </c>
      <c r="AE19" s="258">
        <v>0</v>
      </c>
      <c r="AF19" s="259"/>
      <c r="AG19" s="260"/>
      <c r="AH19" s="259"/>
      <c r="AI19" s="259"/>
      <c r="AJ19" s="260"/>
      <c r="AK19" s="259">
        <v>26</v>
      </c>
      <c r="AL19" s="259"/>
      <c r="AM19" s="516" t="s">
        <v>3226</v>
      </c>
      <c r="AN19" s="449">
        <v>24</v>
      </c>
      <c r="AO19" s="449" t="s">
        <v>3071</v>
      </c>
      <c r="AP19" s="449"/>
      <c r="AQ19" s="392" t="str">
        <f>IFERROR(VLOOKUP(BG19,#REF!,1,0),"")</f>
        <v/>
      </c>
      <c r="AS19" s="259" t="s">
        <v>3226</v>
      </c>
      <c r="BD19" s="202" t="str">
        <f t="shared" si="11"/>
        <v>GV70가솔린 2.5 터보 AWD</v>
      </c>
      <c r="BE19" s="261" t="str">
        <f t="shared" si="17"/>
        <v>0004</v>
      </c>
      <c r="BF19" s="407" t="s">
        <v>1085</v>
      </c>
      <c r="BG19" s="202" t="str">
        <f t="shared" si="12"/>
        <v>0004-0018</v>
      </c>
    </row>
    <row r="20" spans="1:59">
      <c r="A20" s="405">
        <v>3794</v>
      </c>
      <c r="B20" s="406">
        <v>3794</v>
      </c>
      <c r="C20" s="261" t="str">
        <f t="shared" si="13"/>
        <v>0005-0004</v>
      </c>
      <c r="D20" s="261" t="str">
        <f t="shared" si="14"/>
        <v>0005-0004-0003</v>
      </c>
      <c r="E20" s="407" t="s">
        <v>1084</v>
      </c>
      <c r="F20" s="261" t="str">
        <f>TEXT(VLOOKUP(J20,'[3]1'!$B$2:$D$37,2,0),"0000")</f>
        <v>0005</v>
      </c>
      <c r="G20" s="261" t="str">
        <f t="shared" si="15"/>
        <v>0004</v>
      </c>
      <c r="H20" s="408">
        <f t="shared" si="16"/>
        <v>3</v>
      </c>
      <c r="I20" s="407" t="s">
        <v>1084</v>
      </c>
      <c r="J20" s="258" t="s">
        <v>294</v>
      </c>
      <c r="K20" s="258" t="s">
        <v>2876</v>
      </c>
      <c r="L20" s="258" t="s">
        <v>2879</v>
      </c>
      <c r="M20" s="409">
        <v>52800000</v>
      </c>
      <c r="N20" s="258">
        <v>2497</v>
      </c>
      <c r="O20" s="258" t="s">
        <v>77</v>
      </c>
      <c r="P20" s="258" t="s">
        <v>73</v>
      </c>
      <c r="Q20" s="258" t="s">
        <v>72</v>
      </c>
      <c r="R20" s="258">
        <v>5</v>
      </c>
      <c r="S20" s="410">
        <v>4</v>
      </c>
      <c r="T20" s="261">
        <v>6</v>
      </c>
      <c r="U20" s="261">
        <v>6</v>
      </c>
      <c r="V20" s="258" t="s">
        <v>71</v>
      </c>
      <c r="W20" s="261" t="str">
        <f t="shared" si="18"/>
        <v>현대자동차GV70가솔린 2.5 터보 스포츠 2WD52800000</v>
      </c>
      <c r="X20" s="411">
        <f t="shared" si="19"/>
        <v>3794</v>
      </c>
      <c r="Y20" s="261">
        <v>6</v>
      </c>
      <c r="Z20" s="261">
        <v>6</v>
      </c>
      <c r="AA20" s="407" t="s">
        <v>1084</v>
      </c>
      <c r="AB20" s="258" t="s">
        <v>1965</v>
      </c>
      <c r="AC20" s="258"/>
      <c r="AD20" s="258">
        <v>6</v>
      </c>
      <c r="AE20" s="258">
        <v>0</v>
      </c>
      <c r="AF20" s="259"/>
      <c r="AG20" s="260"/>
      <c r="AH20" s="259"/>
      <c r="AI20" s="259"/>
      <c r="AJ20" s="260"/>
      <c r="AK20" s="259">
        <v>26</v>
      </c>
      <c r="AL20" s="259"/>
      <c r="AM20" s="516" t="s">
        <v>3226</v>
      </c>
      <c r="AN20" s="449">
        <v>25</v>
      </c>
      <c r="AO20" s="449" t="s">
        <v>1914</v>
      </c>
      <c r="AP20" s="449"/>
      <c r="AQ20" s="392" t="str">
        <f>IFERROR(VLOOKUP(BG20,#REF!,1,0),"")</f>
        <v/>
      </c>
      <c r="AS20" s="259" t="s">
        <v>3226</v>
      </c>
      <c r="BD20" s="202" t="str">
        <f t="shared" si="11"/>
        <v>GV70가솔린 2.5 터보 스포츠 2WD</v>
      </c>
      <c r="BE20" s="261" t="str">
        <f t="shared" si="17"/>
        <v>0004</v>
      </c>
      <c r="BF20" s="407" t="s">
        <v>1084</v>
      </c>
      <c r="BG20" s="202" t="str">
        <f t="shared" si="12"/>
        <v>0004-0019</v>
      </c>
    </row>
    <row r="21" spans="1:59">
      <c r="A21" s="405">
        <v>3795</v>
      </c>
      <c r="B21" s="406">
        <v>3795</v>
      </c>
      <c r="C21" s="261" t="str">
        <f t="shared" si="13"/>
        <v>0005-0004</v>
      </c>
      <c r="D21" s="261" t="str">
        <f t="shared" si="14"/>
        <v>0005-0004-0004</v>
      </c>
      <c r="E21" s="407" t="s">
        <v>1083</v>
      </c>
      <c r="F21" s="261" t="str">
        <f>TEXT(VLOOKUP(J21,'[3]1'!$B$2:$D$37,2,0),"0000")</f>
        <v>0005</v>
      </c>
      <c r="G21" s="261" t="str">
        <f t="shared" si="15"/>
        <v>0004</v>
      </c>
      <c r="H21" s="408">
        <f t="shared" si="16"/>
        <v>4</v>
      </c>
      <c r="I21" s="407" t="s">
        <v>1083</v>
      </c>
      <c r="J21" s="258" t="s">
        <v>294</v>
      </c>
      <c r="K21" s="258" t="s">
        <v>2875</v>
      </c>
      <c r="L21" s="258" t="s">
        <v>2880</v>
      </c>
      <c r="M21" s="409">
        <v>55800000</v>
      </c>
      <c r="N21" s="258">
        <v>2497</v>
      </c>
      <c r="O21" s="258" t="s">
        <v>77</v>
      </c>
      <c r="P21" s="258" t="s">
        <v>73</v>
      </c>
      <c r="Q21" s="258" t="s">
        <v>72</v>
      </c>
      <c r="R21" s="258">
        <v>5</v>
      </c>
      <c r="S21" s="410">
        <v>4</v>
      </c>
      <c r="T21" s="261">
        <v>6</v>
      </c>
      <c r="U21" s="261">
        <v>6</v>
      </c>
      <c r="V21" s="258" t="s">
        <v>71</v>
      </c>
      <c r="W21" s="261" t="str">
        <f t="shared" si="18"/>
        <v>현대자동차GV70가솔린 2.5 터보스포츠 AWD55800000</v>
      </c>
      <c r="X21" s="411">
        <f t="shared" si="19"/>
        <v>3795</v>
      </c>
      <c r="Y21" s="261">
        <v>6</v>
      </c>
      <c r="Z21" s="261">
        <v>6</v>
      </c>
      <c r="AA21" s="407" t="s">
        <v>1083</v>
      </c>
      <c r="AB21" s="258" t="s">
        <v>1965</v>
      </c>
      <c r="AC21" s="258"/>
      <c r="AD21" s="258">
        <v>6</v>
      </c>
      <c r="AE21" s="258">
        <v>0</v>
      </c>
      <c r="AF21" s="259"/>
      <c r="AG21" s="260"/>
      <c r="AH21" s="259"/>
      <c r="AI21" s="259"/>
      <c r="AJ21" s="260"/>
      <c r="AK21" s="259">
        <v>26</v>
      </c>
      <c r="AL21" s="259"/>
      <c r="AM21" s="516" t="s">
        <v>3226</v>
      </c>
      <c r="AN21" s="449">
        <v>26</v>
      </c>
      <c r="AO21" s="449" t="s">
        <v>3072</v>
      </c>
      <c r="AP21" s="449"/>
      <c r="AQ21" s="392" t="str">
        <f>IFERROR(VLOOKUP(BG21,#REF!,1,0),"")</f>
        <v/>
      </c>
      <c r="AS21" s="259" t="s">
        <v>3226</v>
      </c>
      <c r="BD21" s="202" t="str">
        <f t="shared" si="11"/>
        <v>GV70가솔린 2.5 터보스포츠 AWD</v>
      </c>
      <c r="BE21" s="261" t="str">
        <f t="shared" si="17"/>
        <v>0004</v>
      </c>
      <c r="BF21" s="407" t="s">
        <v>1083</v>
      </c>
      <c r="BG21" s="202" t="str">
        <f t="shared" si="12"/>
        <v>0004-0020</v>
      </c>
    </row>
    <row r="22" spans="1:59">
      <c r="A22" s="405">
        <v>3796</v>
      </c>
      <c r="B22" s="406">
        <v>3796</v>
      </c>
      <c r="C22" s="261" t="str">
        <f t="shared" si="13"/>
        <v>0005-0004</v>
      </c>
      <c r="D22" s="261" t="str">
        <f t="shared" si="14"/>
        <v>0005-0004-0005</v>
      </c>
      <c r="E22" s="407" t="s">
        <v>1082</v>
      </c>
      <c r="F22" s="261" t="str">
        <f>TEXT(VLOOKUP(J22,'[3]1'!$B$2:$D$37,2,0),"0000")</f>
        <v>0005</v>
      </c>
      <c r="G22" s="261" t="str">
        <f t="shared" si="15"/>
        <v>0004</v>
      </c>
      <c r="H22" s="408">
        <f t="shared" si="16"/>
        <v>5</v>
      </c>
      <c r="I22" s="407" t="s">
        <v>1082</v>
      </c>
      <c r="J22" s="258" t="s">
        <v>294</v>
      </c>
      <c r="K22" s="258" t="s">
        <v>2875</v>
      </c>
      <c r="L22" s="258" t="s">
        <v>2881</v>
      </c>
      <c r="M22" s="409">
        <v>58300000</v>
      </c>
      <c r="N22" s="258">
        <v>3470</v>
      </c>
      <c r="O22" s="258" t="s">
        <v>77</v>
      </c>
      <c r="P22" s="258" t="s">
        <v>73</v>
      </c>
      <c r="Q22" s="258" t="s">
        <v>72</v>
      </c>
      <c r="R22" s="258">
        <v>5</v>
      </c>
      <c r="S22" s="410">
        <v>8</v>
      </c>
      <c r="T22" s="261">
        <v>6</v>
      </c>
      <c r="U22" s="261">
        <v>6</v>
      </c>
      <c r="V22" s="258" t="s">
        <v>71</v>
      </c>
      <c r="W22" s="261" t="str">
        <f t="shared" si="18"/>
        <v>현대자동차GV70가솔린 3.5 터보 AWD58300000</v>
      </c>
      <c r="X22" s="411">
        <f t="shared" si="19"/>
        <v>3796</v>
      </c>
      <c r="Y22" s="261">
        <v>6</v>
      </c>
      <c r="Z22" s="261">
        <v>6</v>
      </c>
      <c r="AA22" s="407" t="s">
        <v>1082</v>
      </c>
      <c r="AB22" s="258" t="s">
        <v>1965</v>
      </c>
      <c r="AC22" s="258"/>
      <c r="AD22" s="258">
        <v>6</v>
      </c>
      <c r="AE22" s="258">
        <v>0</v>
      </c>
      <c r="AF22" s="259"/>
      <c r="AG22" s="260"/>
      <c r="AH22" s="259"/>
      <c r="AI22" s="259"/>
      <c r="AJ22" s="260"/>
      <c r="AK22" s="259">
        <v>26</v>
      </c>
      <c r="AL22" s="259"/>
      <c r="AM22" s="516" t="s">
        <v>3226</v>
      </c>
      <c r="AN22" s="449"/>
      <c r="AO22" s="449"/>
      <c r="AP22" s="449"/>
      <c r="AQ22" s="392" t="str">
        <f>IFERROR(VLOOKUP(BG22,#REF!,1,0),"")</f>
        <v/>
      </c>
      <c r="AS22" s="259" t="s">
        <v>3231</v>
      </c>
      <c r="BD22" s="202" t="str">
        <f t="shared" si="11"/>
        <v>GV70가솔린 3.5 터보 AWD</v>
      </c>
      <c r="BE22" s="261" t="str">
        <f t="shared" si="17"/>
        <v>0004</v>
      </c>
      <c r="BF22" s="407" t="s">
        <v>1082</v>
      </c>
      <c r="BG22" s="202" t="str">
        <f t="shared" si="12"/>
        <v>0004-0021</v>
      </c>
    </row>
    <row r="23" spans="1:59">
      <c r="A23" s="405">
        <v>3797</v>
      </c>
      <c r="B23" s="406">
        <v>3797</v>
      </c>
      <c r="C23" s="261" t="str">
        <f t="shared" si="13"/>
        <v>0005-0004</v>
      </c>
      <c r="D23" s="261" t="str">
        <f t="shared" si="14"/>
        <v>0005-0004-0006</v>
      </c>
      <c r="E23" s="407" t="s">
        <v>1081</v>
      </c>
      <c r="F23" s="261" t="str">
        <f>TEXT(VLOOKUP(J23,'[3]1'!$B$2:$D$37,2,0),"0000")</f>
        <v>0005</v>
      </c>
      <c r="G23" s="261" t="str">
        <f t="shared" si="15"/>
        <v>0004</v>
      </c>
      <c r="H23" s="408">
        <f t="shared" si="16"/>
        <v>6</v>
      </c>
      <c r="I23" s="407" t="s">
        <v>1081</v>
      </c>
      <c r="J23" s="258" t="s">
        <v>294</v>
      </c>
      <c r="K23" s="258" t="s">
        <v>2875</v>
      </c>
      <c r="L23" s="258" t="s">
        <v>2882</v>
      </c>
      <c r="M23" s="409">
        <v>61500000</v>
      </c>
      <c r="N23" s="258">
        <v>3470</v>
      </c>
      <c r="O23" s="258" t="s">
        <v>77</v>
      </c>
      <c r="P23" s="258" t="s">
        <v>73</v>
      </c>
      <c r="Q23" s="258" t="s">
        <v>72</v>
      </c>
      <c r="R23" s="258">
        <v>5</v>
      </c>
      <c r="S23" s="410">
        <v>8</v>
      </c>
      <c r="T23" s="261">
        <v>6</v>
      </c>
      <c r="U23" s="261">
        <v>6</v>
      </c>
      <c r="V23" s="258" t="s">
        <v>71</v>
      </c>
      <c r="W23" s="261" t="str">
        <f t="shared" si="18"/>
        <v>현대자동차GV70가솔린 3.5 터보 스포츠 AWD61500000</v>
      </c>
      <c r="X23" s="411">
        <f t="shared" si="19"/>
        <v>3797</v>
      </c>
      <c r="Y23" s="261">
        <v>6</v>
      </c>
      <c r="Z23" s="261">
        <v>6</v>
      </c>
      <c r="AA23" s="407" t="s">
        <v>1081</v>
      </c>
      <c r="AB23" s="258" t="s">
        <v>1965</v>
      </c>
      <c r="AC23" s="258"/>
      <c r="AD23" s="258">
        <v>6</v>
      </c>
      <c r="AE23" s="258">
        <v>0</v>
      </c>
      <c r="AF23" s="259"/>
      <c r="AG23" s="260"/>
      <c r="AH23" s="259"/>
      <c r="AI23" s="259"/>
      <c r="AJ23" s="260"/>
      <c r="AK23" s="259">
        <v>26</v>
      </c>
      <c r="AL23" s="259"/>
      <c r="AM23" s="516" t="s">
        <v>3226</v>
      </c>
      <c r="AN23" s="449"/>
      <c r="AO23" s="449"/>
      <c r="AP23" s="449"/>
      <c r="AQ23" s="392" t="str">
        <f>IFERROR(VLOOKUP(BG23,#REF!,1,0),"")</f>
        <v/>
      </c>
      <c r="AS23" s="259" t="s">
        <v>3231</v>
      </c>
      <c r="BD23" s="202" t="str">
        <f t="shared" si="11"/>
        <v>GV70가솔린 3.5 터보 스포츠 AWD</v>
      </c>
      <c r="BE23" s="261" t="str">
        <f t="shared" si="17"/>
        <v>0004</v>
      </c>
      <c r="BF23" s="407" t="s">
        <v>1081</v>
      </c>
      <c r="BG23" s="202" t="str">
        <f t="shared" si="12"/>
        <v>0004-0022</v>
      </c>
    </row>
    <row r="24" spans="1:59">
      <c r="A24" s="405">
        <v>3798</v>
      </c>
      <c r="B24" s="406">
        <v>3798</v>
      </c>
      <c r="C24" s="261" t="str">
        <f t="shared" si="13"/>
        <v>0005-0004</v>
      </c>
      <c r="D24" s="261" t="str">
        <f t="shared" si="14"/>
        <v>0005-0004-0007</v>
      </c>
      <c r="E24" s="407" t="s">
        <v>1080</v>
      </c>
      <c r="F24" s="261" t="str">
        <f>TEXT(VLOOKUP(J24,'[3]1'!$B$2:$D$37,2,0),"0000")</f>
        <v>0005</v>
      </c>
      <c r="G24" s="261" t="str">
        <f t="shared" si="15"/>
        <v>0004</v>
      </c>
      <c r="H24" s="408">
        <f t="shared" si="16"/>
        <v>7</v>
      </c>
      <c r="I24" s="407" t="s">
        <v>1080</v>
      </c>
      <c r="J24" s="258" t="s">
        <v>294</v>
      </c>
      <c r="K24" s="258" t="s">
        <v>2875</v>
      </c>
      <c r="L24" s="258" t="s">
        <v>2883</v>
      </c>
      <c r="M24" s="409">
        <v>51300000</v>
      </c>
      <c r="N24" s="258">
        <v>2151</v>
      </c>
      <c r="O24" s="258" t="s">
        <v>78</v>
      </c>
      <c r="P24" s="258" t="s">
        <v>73</v>
      </c>
      <c r="Q24" s="258" t="s">
        <v>72</v>
      </c>
      <c r="R24" s="258">
        <v>5</v>
      </c>
      <c r="S24" s="410">
        <v>9</v>
      </c>
      <c r="T24" s="261">
        <v>6</v>
      </c>
      <c r="U24" s="261">
        <v>6</v>
      </c>
      <c r="V24" s="258" t="s">
        <v>71</v>
      </c>
      <c r="W24" s="261" t="str">
        <f t="shared" si="18"/>
        <v>현대자동차GV70디젤 2.2 2WD51300000</v>
      </c>
      <c r="X24" s="411">
        <f t="shared" si="19"/>
        <v>3798</v>
      </c>
      <c r="Y24" s="261">
        <v>6</v>
      </c>
      <c r="Z24" s="261">
        <v>6</v>
      </c>
      <c r="AA24" s="407" t="s">
        <v>1080</v>
      </c>
      <c r="AB24" s="258" t="s">
        <v>1965</v>
      </c>
      <c r="AC24" s="258"/>
      <c r="AD24" s="258">
        <v>6</v>
      </c>
      <c r="AE24" s="258">
        <v>0</v>
      </c>
      <c r="AF24" s="259"/>
      <c r="AG24" s="260"/>
      <c r="AH24" s="259"/>
      <c r="AI24" s="259"/>
      <c r="AJ24" s="260"/>
      <c r="AK24" s="259">
        <v>26</v>
      </c>
      <c r="AL24" s="259"/>
      <c r="AM24" s="516" t="s">
        <v>3226</v>
      </c>
      <c r="AN24" s="449"/>
      <c r="AO24" s="449"/>
      <c r="AP24" s="449"/>
      <c r="AQ24" s="392" t="str">
        <f>IFERROR(VLOOKUP(BG24,#REF!,1,0),"")</f>
        <v/>
      </c>
      <c r="AS24" s="259" t="s">
        <v>3222</v>
      </c>
      <c r="BD24" s="202" t="str">
        <f t="shared" si="11"/>
        <v>GV70디젤 2.2 2WD</v>
      </c>
      <c r="BE24" s="261" t="str">
        <f t="shared" si="17"/>
        <v>0004</v>
      </c>
      <c r="BF24" s="407" t="s">
        <v>1080</v>
      </c>
      <c r="BG24" s="202" t="str">
        <f t="shared" si="12"/>
        <v>0004-0023</v>
      </c>
    </row>
    <row r="25" spans="1:59">
      <c r="A25" s="405">
        <v>3799</v>
      </c>
      <c r="B25" s="406">
        <v>3799</v>
      </c>
      <c r="C25" s="261" t="str">
        <f t="shared" si="13"/>
        <v>0005-0004</v>
      </c>
      <c r="D25" s="261" t="str">
        <f t="shared" si="14"/>
        <v>0005-0004-0008</v>
      </c>
      <c r="E25" s="407" t="s">
        <v>1079</v>
      </c>
      <c r="F25" s="261" t="str">
        <f>TEXT(VLOOKUP(J25,'[3]1'!$B$2:$D$37,2,0),"0000")</f>
        <v>0005</v>
      </c>
      <c r="G25" s="261" t="str">
        <f t="shared" si="15"/>
        <v>0004</v>
      </c>
      <c r="H25" s="408">
        <f t="shared" si="16"/>
        <v>8</v>
      </c>
      <c r="I25" s="407" t="s">
        <v>1079</v>
      </c>
      <c r="J25" s="258" t="s">
        <v>294</v>
      </c>
      <c r="K25" s="258" t="s">
        <v>2875</v>
      </c>
      <c r="L25" s="258" t="s">
        <v>2884</v>
      </c>
      <c r="M25" s="409">
        <v>54300000</v>
      </c>
      <c r="N25" s="258">
        <v>2151</v>
      </c>
      <c r="O25" s="258" t="s">
        <v>78</v>
      </c>
      <c r="P25" s="258" t="s">
        <v>73</v>
      </c>
      <c r="Q25" s="258" t="s">
        <v>72</v>
      </c>
      <c r="R25" s="258">
        <v>5</v>
      </c>
      <c r="S25" s="410">
        <v>9</v>
      </c>
      <c r="T25" s="261">
        <v>6</v>
      </c>
      <c r="U25" s="261">
        <v>6</v>
      </c>
      <c r="V25" s="258" t="s">
        <v>71</v>
      </c>
      <c r="W25" s="261" t="str">
        <f t="shared" si="18"/>
        <v>현대자동차GV70디젤 2.2 AWD54300000</v>
      </c>
      <c r="X25" s="411">
        <f t="shared" si="19"/>
        <v>3799</v>
      </c>
      <c r="Y25" s="261">
        <v>6</v>
      </c>
      <c r="Z25" s="261">
        <v>6</v>
      </c>
      <c r="AA25" s="407" t="s">
        <v>1079</v>
      </c>
      <c r="AB25" s="258" t="s">
        <v>1965</v>
      </c>
      <c r="AC25" s="258"/>
      <c r="AD25" s="258">
        <v>6</v>
      </c>
      <c r="AE25" s="258">
        <v>0</v>
      </c>
      <c r="AF25" s="259"/>
      <c r="AG25" s="260"/>
      <c r="AH25" s="259"/>
      <c r="AI25" s="259"/>
      <c r="AJ25" s="260"/>
      <c r="AK25" s="259">
        <v>26</v>
      </c>
      <c r="AL25" s="259"/>
      <c r="AM25" s="516" t="s">
        <v>3226</v>
      </c>
      <c r="AN25" s="449"/>
      <c r="AO25" s="449"/>
      <c r="AP25" s="449"/>
      <c r="AQ25" s="392" t="str">
        <f>IFERROR(VLOOKUP(BG25,#REF!,1,0),"")</f>
        <v/>
      </c>
      <c r="AS25" s="259" t="s">
        <v>3222</v>
      </c>
      <c r="BD25" s="202" t="str">
        <f t="shared" si="11"/>
        <v>GV70디젤 2.2 AWD</v>
      </c>
      <c r="BE25" s="261" t="str">
        <f t="shared" si="17"/>
        <v>0004</v>
      </c>
      <c r="BF25" s="407" t="s">
        <v>1079</v>
      </c>
      <c r="BG25" s="202" t="str">
        <f t="shared" si="12"/>
        <v>0004-0024</v>
      </c>
    </row>
    <row r="26" spans="1:59">
      <c r="A26" s="405">
        <v>3800</v>
      </c>
      <c r="B26" s="406">
        <v>3800</v>
      </c>
      <c r="C26" s="261" t="str">
        <f t="shared" si="13"/>
        <v>0005-0004</v>
      </c>
      <c r="D26" s="261" t="str">
        <f t="shared" si="14"/>
        <v>0005-0004-0009</v>
      </c>
      <c r="E26" s="407" t="s">
        <v>1078</v>
      </c>
      <c r="F26" s="261" t="str">
        <f>TEXT(VLOOKUP(J26,'[3]1'!$B$2:$D$37,2,0),"0000")</f>
        <v>0005</v>
      </c>
      <c r="G26" s="261" t="str">
        <f t="shared" si="15"/>
        <v>0004</v>
      </c>
      <c r="H26" s="408">
        <f t="shared" si="16"/>
        <v>9</v>
      </c>
      <c r="I26" s="407" t="s">
        <v>1078</v>
      </c>
      <c r="J26" s="258" t="s">
        <v>294</v>
      </c>
      <c r="K26" s="258" t="s">
        <v>2875</v>
      </c>
      <c r="L26" s="258" t="s">
        <v>2885</v>
      </c>
      <c r="M26" s="409">
        <v>55300000</v>
      </c>
      <c r="N26" s="258">
        <v>2151</v>
      </c>
      <c r="O26" s="258" t="s">
        <v>78</v>
      </c>
      <c r="P26" s="258" t="s">
        <v>73</v>
      </c>
      <c r="Q26" s="258" t="s">
        <v>72</v>
      </c>
      <c r="R26" s="258">
        <v>5</v>
      </c>
      <c r="S26" s="410">
        <v>9</v>
      </c>
      <c r="T26" s="261">
        <v>6</v>
      </c>
      <c r="U26" s="261">
        <v>6</v>
      </c>
      <c r="V26" s="258" t="s">
        <v>71</v>
      </c>
      <c r="W26" s="261" t="str">
        <f t="shared" si="18"/>
        <v>현대자동차GV70디젤 2.2 스포츠 2WD55300000</v>
      </c>
      <c r="X26" s="411">
        <f t="shared" si="19"/>
        <v>3800</v>
      </c>
      <c r="Y26" s="261">
        <v>6</v>
      </c>
      <c r="Z26" s="261">
        <v>6</v>
      </c>
      <c r="AA26" s="407" t="s">
        <v>1078</v>
      </c>
      <c r="AB26" s="258" t="s">
        <v>1965</v>
      </c>
      <c r="AC26" s="258"/>
      <c r="AD26" s="258">
        <v>6</v>
      </c>
      <c r="AE26" s="258">
        <v>0</v>
      </c>
      <c r="AF26" s="259"/>
      <c r="AG26" s="260"/>
      <c r="AH26" s="259"/>
      <c r="AI26" s="259"/>
      <c r="AJ26" s="260"/>
      <c r="AK26" s="259">
        <v>26</v>
      </c>
      <c r="AL26" s="259"/>
      <c r="AM26" s="516" t="s">
        <v>3226</v>
      </c>
      <c r="AN26" s="449"/>
      <c r="AO26" s="449"/>
      <c r="AP26" s="449"/>
      <c r="AQ26" s="392" t="str">
        <f>IFERROR(VLOOKUP(BG26,#REF!,1,0),"")</f>
        <v/>
      </c>
      <c r="AS26" s="259" t="s">
        <v>3222</v>
      </c>
      <c r="BD26" s="202" t="str">
        <f t="shared" si="11"/>
        <v>GV70디젤 2.2 스포츠 2WD</v>
      </c>
      <c r="BE26" s="261" t="str">
        <f t="shared" si="17"/>
        <v>0004</v>
      </c>
      <c r="BF26" s="407" t="s">
        <v>1078</v>
      </c>
      <c r="BG26" s="202" t="str">
        <f t="shared" si="12"/>
        <v>0004-0025</v>
      </c>
    </row>
    <row r="27" spans="1:59">
      <c r="A27" s="405">
        <v>3801</v>
      </c>
      <c r="B27" s="406">
        <v>3801</v>
      </c>
      <c r="C27" s="261" t="str">
        <f t="shared" si="13"/>
        <v>0005-0004</v>
      </c>
      <c r="D27" s="261" t="str">
        <f t="shared" si="14"/>
        <v>0005-0004-0010</v>
      </c>
      <c r="E27" s="407" t="s">
        <v>1077</v>
      </c>
      <c r="F27" s="261" t="str">
        <f>TEXT(VLOOKUP(J27,'[3]1'!$B$2:$D$37,2,0),"0000")</f>
        <v>0005</v>
      </c>
      <c r="G27" s="261" t="str">
        <f t="shared" si="15"/>
        <v>0004</v>
      </c>
      <c r="H27" s="408">
        <f t="shared" si="16"/>
        <v>10</v>
      </c>
      <c r="I27" s="407" t="s">
        <v>1077</v>
      </c>
      <c r="J27" s="258" t="s">
        <v>294</v>
      </c>
      <c r="K27" s="258" t="s">
        <v>2875</v>
      </c>
      <c r="L27" s="258" t="s">
        <v>2886</v>
      </c>
      <c r="M27" s="409">
        <v>58300000</v>
      </c>
      <c r="N27" s="258">
        <v>2151</v>
      </c>
      <c r="O27" s="258" t="s">
        <v>78</v>
      </c>
      <c r="P27" s="258" t="s">
        <v>73</v>
      </c>
      <c r="Q27" s="258" t="s">
        <v>72</v>
      </c>
      <c r="R27" s="258">
        <v>5</v>
      </c>
      <c r="S27" s="410">
        <v>9</v>
      </c>
      <c r="T27" s="261">
        <v>6</v>
      </c>
      <c r="U27" s="261">
        <v>6</v>
      </c>
      <c r="V27" s="258" t="s">
        <v>71</v>
      </c>
      <c r="W27" s="261" t="str">
        <f t="shared" si="18"/>
        <v>현대자동차GV70디젤 2.2 스포츠 AWD58300000</v>
      </c>
      <c r="X27" s="411">
        <f t="shared" si="19"/>
        <v>3801</v>
      </c>
      <c r="Y27" s="261">
        <v>6</v>
      </c>
      <c r="Z27" s="261">
        <v>6</v>
      </c>
      <c r="AA27" s="407" t="s">
        <v>1077</v>
      </c>
      <c r="AB27" s="258" t="s">
        <v>1965</v>
      </c>
      <c r="AC27" s="258"/>
      <c r="AD27" s="258">
        <v>6</v>
      </c>
      <c r="AE27" s="258">
        <v>0</v>
      </c>
      <c r="AF27" s="259"/>
      <c r="AG27" s="260"/>
      <c r="AH27" s="259"/>
      <c r="AI27" s="259"/>
      <c r="AJ27" s="260"/>
      <c r="AK27" s="259">
        <v>26</v>
      </c>
      <c r="AL27" s="259"/>
      <c r="AM27" s="516" t="s">
        <v>3226</v>
      </c>
      <c r="AN27" s="449"/>
      <c r="AO27" s="449"/>
      <c r="AP27" s="449"/>
      <c r="AQ27" s="392" t="str">
        <f>IFERROR(VLOOKUP(BG27,#REF!,1,0),"")</f>
        <v/>
      </c>
      <c r="AS27" s="259" t="s">
        <v>3222</v>
      </c>
      <c r="BD27" s="202" t="str">
        <f t="shared" si="11"/>
        <v>GV70디젤 2.2 스포츠 AWD</v>
      </c>
      <c r="BE27" s="261" t="str">
        <f t="shared" si="17"/>
        <v>0004</v>
      </c>
      <c r="BF27" s="407" t="s">
        <v>1077</v>
      </c>
      <c r="BG27" s="202" t="str">
        <f t="shared" si="12"/>
        <v>0004-0026</v>
      </c>
    </row>
    <row r="28" spans="1:59">
      <c r="A28" s="405">
        <v>3802</v>
      </c>
      <c r="B28" s="406">
        <v>3802</v>
      </c>
      <c r="C28" s="261" t="str">
        <f t="shared" si="13"/>
        <v>0005-0005</v>
      </c>
      <c r="D28" s="261" t="str">
        <f t="shared" si="14"/>
        <v>0005-0005-0001</v>
      </c>
      <c r="E28" s="407" t="s">
        <v>1076</v>
      </c>
      <c r="F28" s="261" t="str">
        <f>TEXT(VLOOKUP(J28,'[3]1'!$B$2:$D$37,2,0),"0000")</f>
        <v>0005</v>
      </c>
      <c r="G28" s="261" t="str">
        <f t="shared" si="15"/>
        <v>0005</v>
      </c>
      <c r="H28" s="408">
        <f t="shared" si="16"/>
        <v>1</v>
      </c>
      <c r="I28" s="407" t="s">
        <v>1076</v>
      </c>
      <c r="J28" s="258" t="s">
        <v>294</v>
      </c>
      <c r="K28" s="258" t="s">
        <v>2752</v>
      </c>
      <c r="L28" s="258" t="s">
        <v>2490</v>
      </c>
      <c r="M28" s="409">
        <v>68040000</v>
      </c>
      <c r="N28" s="258">
        <v>2996</v>
      </c>
      <c r="O28" s="258" t="s">
        <v>78</v>
      </c>
      <c r="P28" s="258" t="s">
        <v>73</v>
      </c>
      <c r="Q28" s="258" t="s">
        <v>72</v>
      </c>
      <c r="R28" s="258">
        <v>5</v>
      </c>
      <c r="S28" s="410">
        <v>2</v>
      </c>
      <c r="T28" s="261">
        <v>6</v>
      </c>
      <c r="U28" s="261">
        <v>6</v>
      </c>
      <c r="V28" s="258" t="s">
        <v>71</v>
      </c>
      <c r="W28" s="261" t="str">
        <f t="shared" si="18"/>
        <v>현대자동차GV80GV80 3.0 AWD(5인승)68040000</v>
      </c>
      <c r="X28" s="411">
        <f t="shared" si="19"/>
        <v>3802</v>
      </c>
      <c r="Y28" s="261">
        <v>6</v>
      </c>
      <c r="Z28" s="261">
        <v>6</v>
      </c>
      <c r="AA28" s="407" t="s">
        <v>1076</v>
      </c>
      <c r="AB28" s="258" t="s">
        <v>1965</v>
      </c>
      <c r="AC28" s="258"/>
      <c r="AD28" s="258" t="s">
        <v>2132</v>
      </c>
      <c r="AE28" s="258" t="s">
        <v>2129</v>
      </c>
      <c r="AF28" s="259"/>
      <c r="AG28" s="260"/>
      <c r="AH28" s="259"/>
      <c r="AI28" s="259"/>
      <c r="AJ28" s="260"/>
      <c r="AK28" s="259">
        <v>26</v>
      </c>
      <c r="AL28" s="259"/>
      <c r="AM28" s="259" t="s">
        <v>150</v>
      </c>
      <c r="AN28" s="449"/>
      <c r="AO28" s="449"/>
      <c r="AP28" s="449"/>
      <c r="AQ28" s="392" t="str">
        <f>IFERROR(VLOOKUP(BG28,#REF!,1,0),"")</f>
        <v/>
      </c>
      <c r="AS28" s="259" t="s">
        <v>3223</v>
      </c>
      <c r="BD28" s="202" t="str">
        <f t="shared" si="11"/>
        <v>GV80GV80 3.0 AWD(5인승)</v>
      </c>
      <c r="BE28" s="261" t="str">
        <f t="shared" si="17"/>
        <v>0005</v>
      </c>
      <c r="BF28" s="407" t="s">
        <v>1076</v>
      </c>
      <c r="BG28" s="202" t="str">
        <f t="shared" si="12"/>
        <v>0005-0027</v>
      </c>
    </row>
    <row r="29" spans="1:59">
      <c r="A29" s="405">
        <v>3803</v>
      </c>
      <c r="B29" s="406">
        <v>3803</v>
      </c>
      <c r="C29" s="261" t="str">
        <f t="shared" si="13"/>
        <v>0005-0005</v>
      </c>
      <c r="D29" s="261" t="str">
        <f t="shared" si="14"/>
        <v>0005-0005-0002</v>
      </c>
      <c r="E29" s="407" t="s">
        <v>1075</v>
      </c>
      <c r="F29" s="261" t="str">
        <f>TEXT(VLOOKUP(J29,'[3]1'!$B$2:$D$37,2,0),"0000")</f>
        <v>0005</v>
      </c>
      <c r="G29" s="261" t="str">
        <f t="shared" si="15"/>
        <v>0005</v>
      </c>
      <c r="H29" s="408">
        <f t="shared" si="16"/>
        <v>2</v>
      </c>
      <c r="I29" s="407" t="s">
        <v>1075</v>
      </c>
      <c r="J29" s="258" t="s">
        <v>294</v>
      </c>
      <c r="K29" s="258" t="s">
        <v>2752</v>
      </c>
      <c r="L29" s="258" t="s">
        <v>2491</v>
      </c>
      <c r="M29" s="409">
        <v>69020000</v>
      </c>
      <c r="N29" s="258">
        <v>2996</v>
      </c>
      <c r="O29" s="258" t="s">
        <v>78</v>
      </c>
      <c r="P29" s="258" t="s">
        <v>73</v>
      </c>
      <c r="Q29" s="258" t="s">
        <v>72</v>
      </c>
      <c r="R29" s="258">
        <v>5</v>
      </c>
      <c r="S29" s="410">
        <v>2</v>
      </c>
      <c r="T29" s="261">
        <v>6</v>
      </c>
      <c r="U29" s="261">
        <v>6</v>
      </c>
      <c r="V29" s="258" t="s">
        <v>71</v>
      </c>
      <c r="W29" s="261" t="str">
        <f t="shared" si="18"/>
        <v>현대자동차GV80GV80 3.0 AWD(7인승)69020000</v>
      </c>
      <c r="X29" s="411">
        <f t="shared" si="19"/>
        <v>3803</v>
      </c>
      <c r="Y29" s="261">
        <v>6</v>
      </c>
      <c r="Z29" s="261">
        <v>6</v>
      </c>
      <c r="AA29" s="407" t="s">
        <v>1075</v>
      </c>
      <c r="AB29" s="258" t="s">
        <v>1965</v>
      </c>
      <c r="AC29" s="258"/>
      <c r="AD29" s="258" t="s">
        <v>2132</v>
      </c>
      <c r="AE29" s="258" t="s">
        <v>2129</v>
      </c>
      <c r="AF29" s="259"/>
      <c r="AG29" s="260"/>
      <c r="AH29" s="259"/>
      <c r="AI29" s="259"/>
      <c r="AJ29" s="260"/>
      <c r="AK29" s="259">
        <v>26</v>
      </c>
      <c r="AL29" s="259"/>
      <c r="AM29" s="259" t="s">
        <v>150</v>
      </c>
      <c r="AN29" s="449"/>
      <c r="AO29" s="449"/>
      <c r="AP29" s="449"/>
      <c r="AQ29" s="392" t="str">
        <f>IFERROR(VLOOKUP(BG29,#REF!,1,0),"")</f>
        <v/>
      </c>
      <c r="AS29" s="259" t="s">
        <v>3223</v>
      </c>
      <c r="BD29" s="202" t="str">
        <f t="shared" si="11"/>
        <v>GV80GV80 3.0 AWD(7인승)</v>
      </c>
      <c r="BE29" s="261" t="str">
        <f t="shared" si="17"/>
        <v>0005</v>
      </c>
      <c r="BF29" s="407" t="s">
        <v>1075</v>
      </c>
      <c r="BG29" s="202" t="str">
        <f t="shared" si="12"/>
        <v>0005-0028</v>
      </c>
    </row>
    <row r="30" spans="1:59">
      <c r="A30" s="405">
        <v>3804</v>
      </c>
      <c r="B30" s="406">
        <v>3804</v>
      </c>
      <c r="C30" s="261" t="str">
        <f t="shared" si="13"/>
        <v>0005-0005</v>
      </c>
      <c r="D30" s="261" t="str">
        <f t="shared" si="14"/>
        <v>0005-0005-0003</v>
      </c>
      <c r="E30" s="407" t="s">
        <v>1074</v>
      </c>
      <c r="F30" s="261" t="str">
        <f>TEXT(VLOOKUP(J30,'[3]1'!$B$2:$D$37,2,0),"0000")</f>
        <v>0005</v>
      </c>
      <c r="G30" s="261" t="str">
        <f t="shared" si="15"/>
        <v>0005</v>
      </c>
      <c r="H30" s="408">
        <f t="shared" si="16"/>
        <v>3</v>
      </c>
      <c r="I30" s="407" t="s">
        <v>1074</v>
      </c>
      <c r="J30" s="258" t="s">
        <v>294</v>
      </c>
      <c r="K30" s="258" t="s">
        <v>2752</v>
      </c>
      <c r="L30" s="258" t="s">
        <v>2492</v>
      </c>
      <c r="M30" s="409">
        <v>64600000</v>
      </c>
      <c r="N30" s="258">
        <v>2996</v>
      </c>
      <c r="O30" s="258" t="s">
        <v>78</v>
      </c>
      <c r="P30" s="258" t="s">
        <v>73</v>
      </c>
      <c r="Q30" s="258" t="s">
        <v>72</v>
      </c>
      <c r="R30" s="258">
        <v>5</v>
      </c>
      <c r="S30" s="410">
        <v>2</v>
      </c>
      <c r="T30" s="261">
        <v>6</v>
      </c>
      <c r="U30" s="261">
        <v>6</v>
      </c>
      <c r="V30" s="258" t="s">
        <v>3329</v>
      </c>
      <c r="W30" s="261" t="str">
        <f t="shared" si="18"/>
        <v>현대자동차GV80GV80 3.0 2WD(5인승)64600000</v>
      </c>
      <c r="X30" s="411">
        <f t="shared" si="19"/>
        <v>3804</v>
      </c>
      <c r="Y30" s="261">
        <v>6</v>
      </c>
      <c r="Z30" s="261">
        <v>6</v>
      </c>
      <c r="AA30" s="407" t="s">
        <v>1074</v>
      </c>
      <c r="AB30" s="258" t="s">
        <v>1965</v>
      </c>
      <c r="AC30" s="258"/>
      <c r="AD30" s="258" t="s">
        <v>2132</v>
      </c>
      <c r="AE30" s="258" t="s">
        <v>2129</v>
      </c>
      <c r="AF30" s="259"/>
      <c r="AG30" s="260"/>
      <c r="AH30" s="259"/>
      <c r="AI30" s="259"/>
      <c r="AJ30" s="260"/>
      <c r="AK30" s="259">
        <v>26</v>
      </c>
      <c r="AL30" s="259"/>
      <c r="AM30" s="259" t="s">
        <v>150</v>
      </c>
      <c r="AN30" s="449"/>
      <c r="AO30" s="449"/>
      <c r="AP30" s="449"/>
      <c r="AQ30" s="392" t="str">
        <f>IFERROR(VLOOKUP(BG30,#REF!,1,0),"")</f>
        <v/>
      </c>
      <c r="AS30" s="259" t="s">
        <v>3223</v>
      </c>
      <c r="BD30" s="202" t="str">
        <f t="shared" si="11"/>
        <v>GV80GV80 3.0 2WD(5인승)</v>
      </c>
      <c r="BE30" s="261" t="str">
        <f t="shared" si="17"/>
        <v>0005</v>
      </c>
      <c r="BF30" s="407" t="s">
        <v>1074</v>
      </c>
      <c r="BG30" s="202" t="str">
        <f t="shared" si="12"/>
        <v>0005-0029</v>
      </c>
    </row>
    <row r="31" spans="1:59">
      <c r="A31" s="405">
        <v>3805</v>
      </c>
      <c r="B31" s="406">
        <v>3805</v>
      </c>
      <c r="C31" s="261" t="str">
        <f t="shared" si="13"/>
        <v>0005-0005</v>
      </c>
      <c r="D31" s="261" t="str">
        <f t="shared" si="14"/>
        <v>0005-0005-0004</v>
      </c>
      <c r="E31" s="407" t="s">
        <v>1073</v>
      </c>
      <c r="F31" s="261" t="str">
        <f>TEXT(VLOOKUP(J31,'[3]1'!$B$2:$D$37,2,0),"0000")</f>
        <v>0005</v>
      </c>
      <c r="G31" s="261" t="str">
        <f t="shared" si="15"/>
        <v>0005</v>
      </c>
      <c r="H31" s="408">
        <f t="shared" si="16"/>
        <v>4</v>
      </c>
      <c r="I31" s="407" t="s">
        <v>1073</v>
      </c>
      <c r="J31" s="258" t="s">
        <v>294</v>
      </c>
      <c r="K31" s="258" t="s">
        <v>2752</v>
      </c>
      <c r="L31" s="258" t="s">
        <v>2493</v>
      </c>
      <c r="M31" s="409">
        <v>65580000</v>
      </c>
      <c r="N31" s="258">
        <v>2996</v>
      </c>
      <c r="O31" s="258" t="s">
        <v>78</v>
      </c>
      <c r="P31" s="258" t="s">
        <v>73</v>
      </c>
      <c r="Q31" s="258" t="s">
        <v>72</v>
      </c>
      <c r="R31" s="258">
        <v>5</v>
      </c>
      <c r="S31" s="410">
        <v>2</v>
      </c>
      <c r="T31" s="261">
        <v>6</v>
      </c>
      <c r="U31" s="261">
        <v>6</v>
      </c>
      <c r="V31" s="258" t="s">
        <v>71</v>
      </c>
      <c r="W31" s="261" t="str">
        <f t="shared" si="18"/>
        <v>현대자동차GV80GV80 3.0 2WD(7인승)65580000</v>
      </c>
      <c r="X31" s="411">
        <f t="shared" si="19"/>
        <v>3805</v>
      </c>
      <c r="Y31" s="261">
        <v>6</v>
      </c>
      <c r="Z31" s="261">
        <v>6</v>
      </c>
      <c r="AA31" s="407" t="s">
        <v>1073</v>
      </c>
      <c r="AB31" s="258" t="s">
        <v>1965</v>
      </c>
      <c r="AC31" s="258"/>
      <c r="AD31" s="258" t="s">
        <v>2132</v>
      </c>
      <c r="AE31" s="258" t="s">
        <v>2129</v>
      </c>
      <c r="AF31" s="259"/>
      <c r="AG31" s="260"/>
      <c r="AH31" s="259"/>
      <c r="AI31" s="259"/>
      <c r="AJ31" s="260"/>
      <c r="AK31" s="259">
        <v>26</v>
      </c>
      <c r="AL31" s="259"/>
      <c r="AM31" s="259" t="s">
        <v>150</v>
      </c>
      <c r="AN31" s="449"/>
      <c r="AO31" s="449"/>
      <c r="AP31" s="449"/>
      <c r="AQ31" s="392" t="str">
        <f>IFERROR(VLOOKUP(BG31,#REF!,1,0),"")</f>
        <v/>
      </c>
      <c r="AS31" s="259" t="s">
        <v>3223</v>
      </c>
      <c r="BD31" s="202" t="str">
        <f t="shared" si="11"/>
        <v>GV80GV80 3.0 2WD(7인승)</v>
      </c>
      <c r="BE31" s="261" t="str">
        <f t="shared" si="17"/>
        <v>0005</v>
      </c>
      <c r="BF31" s="407" t="s">
        <v>1073</v>
      </c>
      <c r="BG31" s="202" t="str">
        <f t="shared" si="12"/>
        <v>0005-0030</v>
      </c>
    </row>
    <row r="32" spans="1:59">
      <c r="A32" s="405">
        <v>3806</v>
      </c>
      <c r="B32" s="406">
        <v>3806</v>
      </c>
      <c r="C32" s="261" t="str">
        <f t="shared" si="13"/>
        <v>0005-0005</v>
      </c>
      <c r="D32" s="261" t="str">
        <f t="shared" si="14"/>
        <v>0005-0005-0005</v>
      </c>
      <c r="E32" s="407" t="s">
        <v>1072</v>
      </c>
      <c r="F32" s="261" t="str">
        <f>TEXT(VLOOKUP(J32,'[3]1'!$B$2:$D$37,2,0),"0000")</f>
        <v>0005</v>
      </c>
      <c r="G32" s="261" t="str">
        <f t="shared" si="15"/>
        <v>0005</v>
      </c>
      <c r="H32" s="408">
        <f t="shared" si="16"/>
        <v>5</v>
      </c>
      <c r="I32" s="407" t="s">
        <v>1072</v>
      </c>
      <c r="J32" s="258" t="s">
        <v>294</v>
      </c>
      <c r="K32" s="258" t="s">
        <v>2752</v>
      </c>
      <c r="L32" s="258" t="s">
        <v>2494</v>
      </c>
      <c r="M32" s="409">
        <v>60670000</v>
      </c>
      <c r="N32" s="258">
        <v>2497</v>
      </c>
      <c r="O32" s="258" t="s">
        <v>77</v>
      </c>
      <c r="P32" s="258" t="s">
        <v>73</v>
      </c>
      <c r="Q32" s="258" t="s">
        <v>72</v>
      </c>
      <c r="R32" s="258">
        <v>5</v>
      </c>
      <c r="S32" s="410">
        <v>2</v>
      </c>
      <c r="T32" s="261">
        <v>6</v>
      </c>
      <c r="U32" s="261">
        <v>6</v>
      </c>
      <c r="V32" s="258" t="s">
        <v>3329</v>
      </c>
      <c r="W32" s="261" t="str">
        <f t="shared" si="18"/>
        <v>현대자동차GV80GV80 2.5 2WD (5인승)60670000</v>
      </c>
      <c r="X32" s="411">
        <f t="shared" si="19"/>
        <v>3806</v>
      </c>
      <c r="Y32" s="261">
        <v>6</v>
      </c>
      <c r="Z32" s="261">
        <v>6</v>
      </c>
      <c r="AA32" s="407" t="s">
        <v>1072</v>
      </c>
      <c r="AB32" s="258" t="s">
        <v>1965</v>
      </c>
      <c r="AC32" s="258"/>
      <c r="AD32" s="258" t="s">
        <v>2132</v>
      </c>
      <c r="AE32" s="258" t="s">
        <v>2129</v>
      </c>
      <c r="AF32" s="259"/>
      <c r="AG32" s="260"/>
      <c r="AH32" s="259"/>
      <c r="AI32" s="259"/>
      <c r="AJ32" s="260"/>
      <c r="AK32" s="259">
        <v>26</v>
      </c>
      <c r="AL32" s="259"/>
      <c r="AM32" s="259" t="s">
        <v>150</v>
      </c>
      <c r="AN32" s="449"/>
      <c r="AO32" s="449"/>
      <c r="AP32" s="449"/>
      <c r="AQ32" s="392" t="str">
        <f>IFERROR(VLOOKUP(BG32,#REF!,1,0),"")</f>
        <v/>
      </c>
      <c r="AS32" s="259" t="s">
        <v>3223</v>
      </c>
      <c r="BD32" s="202" t="str">
        <f t="shared" si="11"/>
        <v>GV80GV80 2.5 2WD (5인승)</v>
      </c>
      <c r="BE32" s="261" t="str">
        <f t="shared" si="17"/>
        <v>0005</v>
      </c>
      <c r="BF32" s="407" t="s">
        <v>1072</v>
      </c>
      <c r="BG32" s="202" t="str">
        <f t="shared" si="12"/>
        <v>0005-0031</v>
      </c>
    </row>
    <row r="33" spans="1:59">
      <c r="A33" s="405">
        <v>3807</v>
      </c>
      <c r="B33" s="406">
        <v>3807</v>
      </c>
      <c r="C33" s="261" t="str">
        <f t="shared" si="13"/>
        <v>0005-0005</v>
      </c>
      <c r="D33" s="261" t="str">
        <f t="shared" si="14"/>
        <v>0005-0005-0006</v>
      </c>
      <c r="E33" s="407" t="s">
        <v>1071</v>
      </c>
      <c r="F33" s="261" t="str">
        <f>TEXT(VLOOKUP(J33,'[3]1'!$B$2:$D$37,2,0),"0000")</f>
        <v>0005</v>
      </c>
      <c r="G33" s="261" t="str">
        <f t="shared" si="15"/>
        <v>0005</v>
      </c>
      <c r="H33" s="408">
        <f t="shared" si="16"/>
        <v>6</v>
      </c>
      <c r="I33" s="407" t="s">
        <v>1071</v>
      </c>
      <c r="J33" s="258" t="s">
        <v>294</v>
      </c>
      <c r="K33" s="258" t="s">
        <v>2752</v>
      </c>
      <c r="L33" s="258" t="s">
        <v>2497</v>
      </c>
      <c r="M33" s="409">
        <v>64110000</v>
      </c>
      <c r="N33" s="258">
        <v>2497</v>
      </c>
      <c r="O33" s="258" t="s">
        <v>77</v>
      </c>
      <c r="P33" s="258" t="s">
        <v>73</v>
      </c>
      <c r="Q33" s="258" t="s">
        <v>72</v>
      </c>
      <c r="R33" s="258">
        <v>5</v>
      </c>
      <c r="S33" s="410">
        <v>2</v>
      </c>
      <c r="T33" s="261">
        <v>6</v>
      </c>
      <c r="U33" s="261">
        <v>6</v>
      </c>
      <c r="V33" s="258" t="s">
        <v>71</v>
      </c>
      <c r="W33" s="261" t="str">
        <f t="shared" si="18"/>
        <v>현대자동차GV80GV80 2.5 AWD (5인승)64110000</v>
      </c>
      <c r="X33" s="411">
        <f t="shared" si="19"/>
        <v>3807</v>
      </c>
      <c r="Y33" s="261">
        <v>6</v>
      </c>
      <c r="Z33" s="261">
        <v>6</v>
      </c>
      <c r="AA33" s="407" t="s">
        <v>1071</v>
      </c>
      <c r="AB33" s="258" t="s">
        <v>1965</v>
      </c>
      <c r="AC33" s="258"/>
      <c r="AD33" s="258" t="s">
        <v>2132</v>
      </c>
      <c r="AE33" s="258" t="s">
        <v>2129</v>
      </c>
      <c r="AF33" s="259"/>
      <c r="AG33" s="260"/>
      <c r="AH33" s="259"/>
      <c r="AI33" s="259"/>
      <c r="AJ33" s="260"/>
      <c r="AK33" s="259">
        <v>26</v>
      </c>
      <c r="AL33" s="259"/>
      <c r="AM33" s="259" t="s">
        <v>150</v>
      </c>
      <c r="AN33" s="449"/>
      <c r="AO33" s="449"/>
      <c r="AP33" s="449"/>
      <c r="AQ33" s="392" t="str">
        <f>IFERROR(VLOOKUP(BG33,#REF!,1,0),"")</f>
        <v/>
      </c>
      <c r="AS33" s="259" t="s">
        <v>3223</v>
      </c>
      <c r="BD33" s="202" t="str">
        <f t="shared" si="11"/>
        <v>GV80GV80 2.5 AWD (5인승)</v>
      </c>
      <c r="BE33" s="261" t="str">
        <f t="shared" si="17"/>
        <v>0005</v>
      </c>
      <c r="BF33" s="407" t="s">
        <v>1071</v>
      </c>
      <c r="BG33" s="202" t="str">
        <f t="shared" si="12"/>
        <v>0005-0032</v>
      </c>
    </row>
    <row r="34" spans="1:59">
      <c r="A34" s="405">
        <v>3808</v>
      </c>
      <c r="B34" s="406">
        <v>3808</v>
      </c>
      <c r="C34" s="261" t="str">
        <f t="shared" si="13"/>
        <v>0005-0005</v>
      </c>
      <c r="D34" s="261" t="str">
        <f t="shared" si="14"/>
        <v>0005-0005-0007</v>
      </c>
      <c r="E34" s="407" t="s">
        <v>1070</v>
      </c>
      <c r="F34" s="261" t="str">
        <f>TEXT(VLOOKUP(J34,'[3]1'!$B$2:$D$37,2,0),"0000")</f>
        <v>0005</v>
      </c>
      <c r="G34" s="261" t="str">
        <f t="shared" si="15"/>
        <v>0005</v>
      </c>
      <c r="H34" s="408">
        <f t="shared" si="16"/>
        <v>7</v>
      </c>
      <c r="I34" s="407" t="s">
        <v>1070</v>
      </c>
      <c r="J34" s="258" t="s">
        <v>294</v>
      </c>
      <c r="K34" s="258" t="s">
        <v>2752</v>
      </c>
      <c r="L34" s="258" t="s">
        <v>2498</v>
      </c>
      <c r="M34" s="409">
        <v>65090000</v>
      </c>
      <c r="N34" s="258">
        <v>2497</v>
      </c>
      <c r="O34" s="258" t="s">
        <v>77</v>
      </c>
      <c r="P34" s="258" t="s">
        <v>73</v>
      </c>
      <c r="Q34" s="258" t="s">
        <v>72</v>
      </c>
      <c r="R34" s="258">
        <v>5</v>
      </c>
      <c r="S34" s="410">
        <v>2</v>
      </c>
      <c r="T34" s="261">
        <v>6</v>
      </c>
      <c r="U34" s="261">
        <v>6</v>
      </c>
      <c r="V34" s="258" t="s">
        <v>71</v>
      </c>
      <c r="W34" s="261" t="str">
        <f t="shared" si="18"/>
        <v>현대자동차GV80GV80 2.5 AWD (7인승)65090000</v>
      </c>
      <c r="X34" s="411">
        <f t="shared" si="19"/>
        <v>3808</v>
      </c>
      <c r="Y34" s="261">
        <v>6</v>
      </c>
      <c r="Z34" s="261">
        <v>6</v>
      </c>
      <c r="AA34" s="407" t="s">
        <v>1070</v>
      </c>
      <c r="AB34" s="258" t="s">
        <v>1965</v>
      </c>
      <c r="AC34" s="258"/>
      <c r="AD34" s="258" t="s">
        <v>2132</v>
      </c>
      <c r="AE34" s="258" t="s">
        <v>2129</v>
      </c>
      <c r="AF34" s="259"/>
      <c r="AG34" s="260"/>
      <c r="AH34" s="259"/>
      <c r="AI34" s="259"/>
      <c r="AJ34" s="260"/>
      <c r="AK34" s="259">
        <v>26</v>
      </c>
      <c r="AL34" s="259"/>
      <c r="AM34" s="259" t="s">
        <v>150</v>
      </c>
      <c r="AN34" s="449"/>
      <c r="AO34" s="449"/>
      <c r="AP34" s="449"/>
      <c r="AQ34" s="392" t="str">
        <f>IFERROR(VLOOKUP(BG34,#REF!,1,0),"")</f>
        <v/>
      </c>
      <c r="AS34" s="259" t="s">
        <v>3223</v>
      </c>
      <c r="BD34" s="202" t="str">
        <f t="shared" si="11"/>
        <v>GV80GV80 2.5 AWD (7인승)</v>
      </c>
      <c r="BE34" s="261" t="str">
        <f t="shared" si="17"/>
        <v>0005</v>
      </c>
      <c r="BF34" s="407" t="s">
        <v>1070</v>
      </c>
      <c r="BG34" s="202" t="str">
        <f t="shared" si="12"/>
        <v>0005-0033</v>
      </c>
    </row>
    <row r="35" spans="1:59">
      <c r="A35" s="405">
        <v>3809</v>
      </c>
      <c r="B35" s="406">
        <v>3809</v>
      </c>
      <c r="C35" s="261" t="str">
        <f t="shared" si="13"/>
        <v>0005-0005</v>
      </c>
      <c r="D35" s="261" t="str">
        <f t="shared" si="14"/>
        <v>0005-0005-0008</v>
      </c>
      <c r="E35" s="407" t="s">
        <v>1069</v>
      </c>
      <c r="F35" s="261" t="str">
        <f>TEXT(VLOOKUP(J35,'[3]1'!$B$2:$D$37,2,0),"0000")</f>
        <v>0005</v>
      </c>
      <c r="G35" s="261" t="str">
        <f t="shared" si="15"/>
        <v>0005</v>
      </c>
      <c r="H35" s="408">
        <f t="shared" si="16"/>
        <v>8</v>
      </c>
      <c r="I35" s="407" t="s">
        <v>1069</v>
      </c>
      <c r="J35" s="258" t="s">
        <v>294</v>
      </c>
      <c r="K35" s="258" t="s">
        <v>2752</v>
      </c>
      <c r="L35" s="258" t="s">
        <v>2501</v>
      </c>
      <c r="M35" s="409">
        <v>61650000</v>
      </c>
      <c r="N35" s="258">
        <v>2497</v>
      </c>
      <c r="O35" s="258" t="s">
        <v>77</v>
      </c>
      <c r="P35" s="258" t="s">
        <v>73</v>
      </c>
      <c r="Q35" s="258" t="s">
        <v>72</v>
      </c>
      <c r="R35" s="258">
        <v>5</v>
      </c>
      <c r="S35" s="410">
        <v>2</v>
      </c>
      <c r="T35" s="261">
        <v>6</v>
      </c>
      <c r="U35" s="261">
        <v>6</v>
      </c>
      <c r="V35" s="258" t="s">
        <v>71</v>
      </c>
      <c r="W35" s="261" t="str">
        <f t="shared" si="18"/>
        <v>현대자동차GV80GV80 2.5 2WD (7인승)61650000</v>
      </c>
      <c r="X35" s="411">
        <f t="shared" si="19"/>
        <v>3809</v>
      </c>
      <c r="Y35" s="261">
        <v>6</v>
      </c>
      <c r="Z35" s="261">
        <v>6</v>
      </c>
      <c r="AA35" s="407" t="s">
        <v>1069</v>
      </c>
      <c r="AB35" s="258" t="s">
        <v>1965</v>
      </c>
      <c r="AC35" s="258"/>
      <c r="AD35" s="258" t="s">
        <v>2132</v>
      </c>
      <c r="AE35" s="258" t="s">
        <v>2129</v>
      </c>
      <c r="AF35" s="259"/>
      <c r="AG35" s="260"/>
      <c r="AH35" s="259"/>
      <c r="AI35" s="259"/>
      <c r="AJ35" s="260"/>
      <c r="AK35" s="259">
        <v>26</v>
      </c>
      <c r="AL35" s="259"/>
      <c r="AM35" s="259" t="s">
        <v>150</v>
      </c>
      <c r="AN35" s="449"/>
      <c r="AO35" s="449"/>
      <c r="AP35" s="449"/>
      <c r="AQ35" s="392" t="str">
        <f>IFERROR(VLOOKUP(BG35,#REF!,1,0),"")</f>
        <v/>
      </c>
      <c r="AS35" s="259" t="s">
        <v>3223</v>
      </c>
      <c r="BD35" s="202" t="str">
        <f t="shared" si="11"/>
        <v>GV80GV80 2.5 2WD (7인승)</v>
      </c>
      <c r="BE35" s="261" t="str">
        <f t="shared" si="17"/>
        <v>0005</v>
      </c>
      <c r="BF35" s="407" t="s">
        <v>1069</v>
      </c>
      <c r="BG35" s="202" t="str">
        <f t="shared" si="12"/>
        <v>0005-0034</v>
      </c>
    </row>
    <row r="36" spans="1:59">
      <c r="A36" s="405">
        <v>3810</v>
      </c>
      <c r="B36" s="406">
        <v>3810</v>
      </c>
      <c r="C36" s="261" t="str">
        <f t="shared" si="13"/>
        <v>0005-0005</v>
      </c>
      <c r="D36" s="261" t="str">
        <f t="shared" si="14"/>
        <v>0005-0005-0009</v>
      </c>
      <c r="E36" s="407" t="s">
        <v>1068</v>
      </c>
      <c r="F36" s="261" t="str">
        <f>TEXT(VLOOKUP(J36,'[3]1'!$B$2:$D$37,2,0),"0000")</f>
        <v>0005</v>
      </c>
      <c r="G36" s="261" t="str">
        <f t="shared" si="15"/>
        <v>0005</v>
      </c>
      <c r="H36" s="408">
        <f t="shared" si="16"/>
        <v>9</v>
      </c>
      <c r="I36" s="407" t="s">
        <v>1068</v>
      </c>
      <c r="J36" s="258" t="s">
        <v>294</v>
      </c>
      <c r="K36" s="258" t="s">
        <v>2752</v>
      </c>
      <c r="L36" s="258" t="s">
        <v>2495</v>
      </c>
      <c r="M36" s="409">
        <v>66070000</v>
      </c>
      <c r="N36" s="258">
        <v>3470</v>
      </c>
      <c r="O36" s="258" t="s">
        <v>77</v>
      </c>
      <c r="P36" s="258" t="s">
        <v>73</v>
      </c>
      <c r="Q36" s="258" t="s">
        <v>72</v>
      </c>
      <c r="R36" s="258">
        <v>5</v>
      </c>
      <c r="S36" s="410">
        <v>8</v>
      </c>
      <c r="T36" s="261">
        <v>6</v>
      </c>
      <c r="U36" s="261">
        <v>6</v>
      </c>
      <c r="V36" s="258" t="s">
        <v>71</v>
      </c>
      <c r="W36" s="261" t="str">
        <f t="shared" si="18"/>
        <v>현대자동차GV80GV80 3.5 2WD (5인승)66070000</v>
      </c>
      <c r="X36" s="411">
        <f t="shared" si="19"/>
        <v>3810</v>
      </c>
      <c r="Y36" s="261">
        <v>6</v>
      </c>
      <c r="Z36" s="261">
        <v>6</v>
      </c>
      <c r="AA36" s="407" t="s">
        <v>1068</v>
      </c>
      <c r="AB36" s="258" t="s">
        <v>1965</v>
      </c>
      <c r="AC36" s="258"/>
      <c r="AD36" s="258" t="s">
        <v>2132</v>
      </c>
      <c r="AE36" s="258" t="s">
        <v>2129</v>
      </c>
      <c r="AF36" s="259"/>
      <c r="AG36" s="260"/>
      <c r="AH36" s="259"/>
      <c r="AI36" s="259"/>
      <c r="AJ36" s="260"/>
      <c r="AK36" s="259">
        <v>26</v>
      </c>
      <c r="AL36" s="259"/>
      <c r="AM36" s="259" t="s">
        <v>3231</v>
      </c>
      <c r="AN36" s="449"/>
      <c r="AO36" s="449"/>
      <c r="AP36" s="449"/>
      <c r="AQ36" s="392" t="str">
        <f>IFERROR(VLOOKUP(BG36,#REF!,1,0),"")</f>
        <v/>
      </c>
      <c r="AS36" s="259" t="s">
        <v>3231</v>
      </c>
      <c r="BD36" s="202" t="str">
        <f t="shared" si="11"/>
        <v>GV80GV80 3.5 2WD (5인승)</v>
      </c>
      <c r="BE36" s="261" t="str">
        <f t="shared" si="17"/>
        <v>0005</v>
      </c>
      <c r="BF36" s="407" t="s">
        <v>1068</v>
      </c>
      <c r="BG36" s="202" t="str">
        <f t="shared" si="12"/>
        <v>0005-0035</v>
      </c>
    </row>
    <row r="37" spans="1:59">
      <c r="A37" s="405">
        <v>3811</v>
      </c>
      <c r="B37" s="406">
        <v>3811</v>
      </c>
      <c r="C37" s="261" t="str">
        <f t="shared" si="13"/>
        <v>0005-0005</v>
      </c>
      <c r="D37" s="261" t="str">
        <f t="shared" si="14"/>
        <v>0005-0005-0010</v>
      </c>
      <c r="E37" s="407" t="s">
        <v>1067</v>
      </c>
      <c r="F37" s="261" t="str">
        <f>TEXT(VLOOKUP(J37,'[3]1'!$B$2:$D$37,2,0),"0000")</f>
        <v>0005</v>
      </c>
      <c r="G37" s="261" t="str">
        <f t="shared" si="15"/>
        <v>0005</v>
      </c>
      <c r="H37" s="408">
        <f t="shared" si="16"/>
        <v>10</v>
      </c>
      <c r="I37" s="407" t="s">
        <v>1067</v>
      </c>
      <c r="J37" s="258" t="s">
        <v>294</v>
      </c>
      <c r="K37" s="258" t="s">
        <v>2752</v>
      </c>
      <c r="L37" s="258" t="s">
        <v>2496</v>
      </c>
      <c r="M37" s="409">
        <v>70490000</v>
      </c>
      <c r="N37" s="258">
        <v>3470</v>
      </c>
      <c r="O37" s="258" t="s">
        <v>77</v>
      </c>
      <c r="P37" s="258" t="s">
        <v>73</v>
      </c>
      <c r="Q37" s="258" t="s">
        <v>72</v>
      </c>
      <c r="R37" s="258">
        <v>7</v>
      </c>
      <c r="S37" s="410">
        <v>8</v>
      </c>
      <c r="T37" s="261">
        <v>6</v>
      </c>
      <c r="U37" s="261">
        <v>6</v>
      </c>
      <c r="V37" s="258" t="s">
        <v>3329</v>
      </c>
      <c r="W37" s="261" t="str">
        <f t="shared" si="18"/>
        <v>현대자동차GV80GV80 3.5 AWD (7인승)70490000</v>
      </c>
      <c r="X37" s="411">
        <f t="shared" si="19"/>
        <v>3811</v>
      </c>
      <c r="Y37" s="261">
        <v>6</v>
      </c>
      <c r="Z37" s="261">
        <v>6</v>
      </c>
      <c r="AA37" s="407" t="s">
        <v>1067</v>
      </c>
      <c r="AB37" s="258" t="s">
        <v>1965</v>
      </c>
      <c r="AC37" s="258"/>
      <c r="AD37" s="258" t="s">
        <v>2132</v>
      </c>
      <c r="AE37" s="258" t="s">
        <v>2129</v>
      </c>
      <c r="AF37" s="259"/>
      <c r="AG37" s="260"/>
      <c r="AH37" s="259"/>
      <c r="AI37" s="259"/>
      <c r="AJ37" s="260"/>
      <c r="AK37" s="259">
        <v>26</v>
      </c>
      <c r="AL37" s="259"/>
      <c r="AM37" s="259" t="s">
        <v>3231</v>
      </c>
      <c r="AN37" s="449"/>
      <c r="AO37" s="449"/>
      <c r="AP37" s="449"/>
      <c r="AQ37" s="392" t="str">
        <f>IFERROR(VLOOKUP(BG37,#REF!,1,0),"")</f>
        <v/>
      </c>
      <c r="AS37" s="259" t="s">
        <v>3231</v>
      </c>
      <c r="BD37" s="202" t="str">
        <f t="shared" si="11"/>
        <v>GV80GV80 3.5 AWD (7인승)</v>
      </c>
      <c r="BE37" s="261" t="str">
        <f t="shared" si="17"/>
        <v>0005</v>
      </c>
      <c r="BF37" s="407" t="s">
        <v>1067</v>
      </c>
      <c r="BG37" s="202" t="str">
        <f t="shared" si="12"/>
        <v>0005-0036</v>
      </c>
    </row>
    <row r="38" spans="1:59">
      <c r="A38" s="405">
        <v>3812</v>
      </c>
      <c r="B38" s="406">
        <v>3812</v>
      </c>
      <c r="C38" s="261" t="str">
        <f t="shared" si="13"/>
        <v>0005-0005</v>
      </c>
      <c r="D38" s="261" t="str">
        <f t="shared" si="14"/>
        <v>0005-0005-0011</v>
      </c>
      <c r="E38" s="407" t="s">
        <v>1066</v>
      </c>
      <c r="F38" s="261" t="str">
        <f>TEXT(VLOOKUP(J38,'[3]1'!$B$2:$D$37,2,0),"0000")</f>
        <v>0005</v>
      </c>
      <c r="G38" s="261" t="str">
        <f t="shared" si="15"/>
        <v>0005</v>
      </c>
      <c r="H38" s="408">
        <f t="shared" si="16"/>
        <v>11</v>
      </c>
      <c r="I38" s="407" t="s">
        <v>1066</v>
      </c>
      <c r="J38" s="258" t="s">
        <v>294</v>
      </c>
      <c r="K38" s="258" t="s">
        <v>2752</v>
      </c>
      <c r="L38" s="258" t="s">
        <v>2499</v>
      </c>
      <c r="M38" s="409">
        <v>67050000</v>
      </c>
      <c r="N38" s="258">
        <v>3470</v>
      </c>
      <c r="O38" s="258" t="s">
        <v>77</v>
      </c>
      <c r="P38" s="258" t="s">
        <v>73</v>
      </c>
      <c r="Q38" s="258" t="s">
        <v>72</v>
      </c>
      <c r="R38" s="258">
        <v>7</v>
      </c>
      <c r="S38" s="410">
        <v>8</v>
      </c>
      <c r="T38" s="261">
        <v>6</v>
      </c>
      <c r="U38" s="261">
        <v>6</v>
      </c>
      <c r="V38" s="258" t="s">
        <v>3329</v>
      </c>
      <c r="W38" s="261" t="str">
        <f t="shared" si="18"/>
        <v>현대자동차GV80GV80 3.5 2WD (7인승)67050000</v>
      </c>
      <c r="X38" s="411">
        <f t="shared" si="19"/>
        <v>3812</v>
      </c>
      <c r="Y38" s="261">
        <v>6</v>
      </c>
      <c r="Z38" s="261">
        <v>6</v>
      </c>
      <c r="AA38" s="407" t="s">
        <v>1066</v>
      </c>
      <c r="AB38" s="258" t="s">
        <v>1965</v>
      </c>
      <c r="AC38" s="258"/>
      <c r="AD38" s="258" t="s">
        <v>2132</v>
      </c>
      <c r="AE38" s="258" t="s">
        <v>2129</v>
      </c>
      <c r="AF38" s="259"/>
      <c r="AG38" s="260"/>
      <c r="AH38" s="259"/>
      <c r="AI38" s="259"/>
      <c r="AJ38" s="260"/>
      <c r="AK38" s="259">
        <v>26</v>
      </c>
      <c r="AL38" s="259"/>
      <c r="AM38" s="259" t="s">
        <v>3231</v>
      </c>
      <c r="AN38" s="449"/>
      <c r="AO38" s="449"/>
      <c r="AP38" s="449"/>
      <c r="AQ38" s="392" t="str">
        <f>IFERROR(VLOOKUP(BG38,#REF!,1,0),"")</f>
        <v/>
      </c>
      <c r="AS38" s="259" t="s">
        <v>3231</v>
      </c>
      <c r="BD38" s="202" t="str">
        <f t="shared" si="11"/>
        <v>GV80GV80 3.5 2WD (7인승)</v>
      </c>
      <c r="BE38" s="261" t="str">
        <f t="shared" si="17"/>
        <v>0005</v>
      </c>
      <c r="BF38" s="407" t="s">
        <v>1066</v>
      </c>
      <c r="BG38" s="202" t="str">
        <f t="shared" si="12"/>
        <v>0005-0037</v>
      </c>
    </row>
    <row r="39" spans="1:59">
      <c r="A39" s="405">
        <v>3813</v>
      </c>
      <c r="B39" s="406">
        <v>3813</v>
      </c>
      <c r="C39" s="261" t="str">
        <f t="shared" si="13"/>
        <v>0005-0005</v>
      </c>
      <c r="D39" s="261" t="str">
        <f t="shared" si="14"/>
        <v>0005-0005-0012</v>
      </c>
      <c r="E39" s="407" t="s">
        <v>1065</v>
      </c>
      <c r="F39" s="261" t="str">
        <f>TEXT(VLOOKUP(J39,'[3]1'!$B$2:$D$37,2,0),"0000")</f>
        <v>0005</v>
      </c>
      <c r="G39" s="261" t="str">
        <f t="shared" si="15"/>
        <v>0005</v>
      </c>
      <c r="H39" s="408">
        <f t="shared" si="16"/>
        <v>12</v>
      </c>
      <c r="I39" s="407" t="s">
        <v>1065</v>
      </c>
      <c r="J39" s="258" t="s">
        <v>294</v>
      </c>
      <c r="K39" s="258" t="s">
        <v>2752</v>
      </c>
      <c r="L39" s="258" t="s">
        <v>2500</v>
      </c>
      <c r="M39" s="409">
        <v>69510000</v>
      </c>
      <c r="N39" s="258">
        <v>3470</v>
      </c>
      <c r="O39" s="258" t="s">
        <v>77</v>
      </c>
      <c r="P39" s="258" t="s">
        <v>73</v>
      </c>
      <c r="Q39" s="258" t="s">
        <v>72</v>
      </c>
      <c r="R39" s="258">
        <v>5</v>
      </c>
      <c r="S39" s="410">
        <v>8</v>
      </c>
      <c r="T39" s="261">
        <v>6</v>
      </c>
      <c r="U39" s="261">
        <v>6</v>
      </c>
      <c r="V39" s="258" t="s">
        <v>71</v>
      </c>
      <c r="W39" s="261" t="str">
        <f t="shared" si="18"/>
        <v>현대자동차GV80GV80 3.5 AWD (5인승)69510000</v>
      </c>
      <c r="X39" s="411">
        <f t="shared" si="19"/>
        <v>3813</v>
      </c>
      <c r="Y39" s="261">
        <v>6</v>
      </c>
      <c r="Z39" s="261">
        <v>6</v>
      </c>
      <c r="AA39" s="407" t="s">
        <v>1065</v>
      </c>
      <c r="AB39" s="258" t="s">
        <v>1965</v>
      </c>
      <c r="AC39" s="258"/>
      <c r="AD39" s="258" t="s">
        <v>2132</v>
      </c>
      <c r="AE39" s="258" t="s">
        <v>2129</v>
      </c>
      <c r="AF39" s="259"/>
      <c r="AG39" s="260"/>
      <c r="AH39" s="259"/>
      <c r="AI39" s="259"/>
      <c r="AJ39" s="260"/>
      <c r="AK39" s="259">
        <v>26</v>
      </c>
      <c r="AL39" s="259"/>
      <c r="AM39" s="259" t="s">
        <v>3231</v>
      </c>
      <c r="AN39" s="449"/>
      <c r="AO39" s="449"/>
      <c r="AP39" s="449"/>
      <c r="AQ39" s="392" t="str">
        <f>IFERROR(VLOOKUP(BG39,#REF!,1,0),"")</f>
        <v/>
      </c>
      <c r="AS39" s="259" t="s">
        <v>3231</v>
      </c>
      <c r="BD39" s="202" t="str">
        <f t="shared" si="11"/>
        <v>GV80GV80 3.5 AWD (5인승)</v>
      </c>
      <c r="BE39" s="261" t="str">
        <f t="shared" si="17"/>
        <v>0005</v>
      </c>
      <c r="BF39" s="407" t="s">
        <v>1065</v>
      </c>
      <c r="BG39" s="202" t="str">
        <f t="shared" si="12"/>
        <v>0005-0038</v>
      </c>
    </row>
    <row r="40" spans="1:59">
      <c r="A40" s="405">
        <v>3814</v>
      </c>
      <c r="B40" s="406">
        <v>3814</v>
      </c>
      <c r="C40" s="261" t="str">
        <f t="shared" si="13"/>
        <v>0005-0006</v>
      </c>
      <c r="D40" s="261" t="str">
        <f t="shared" si="14"/>
        <v>0005-0006-0001</v>
      </c>
      <c r="E40" s="407" t="s">
        <v>1064</v>
      </c>
      <c r="F40" s="261" t="str">
        <f>TEXT(VLOOKUP(J40,'[3]1'!$B$2:$D$37,2,0),"0000")</f>
        <v>0005</v>
      </c>
      <c r="G40" s="261" t="str">
        <f t="shared" si="15"/>
        <v>0006</v>
      </c>
      <c r="H40" s="408">
        <f t="shared" si="16"/>
        <v>1</v>
      </c>
      <c r="I40" s="407" t="s">
        <v>1064</v>
      </c>
      <c r="J40" s="258" t="s">
        <v>294</v>
      </c>
      <c r="K40" s="258" t="s">
        <v>2753</v>
      </c>
      <c r="L40" s="258" t="s">
        <v>2502</v>
      </c>
      <c r="M40" s="409">
        <v>23790000</v>
      </c>
      <c r="N40" s="258">
        <v>1591</v>
      </c>
      <c r="O40" s="258" t="s">
        <v>77</v>
      </c>
      <c r="P40" s="258" t="s">
        <v>73</v>
      </c>
      <c r="Q40" s="258" t="s">
        <v>72</v>
      </c>
      <c r="R40" s="258">
        <v>5</v>
      </c>
      <c r="S40" s="410">
        <v>9</v>
      </c>
      <c r="T40" s="261">
        <v>6</v>
      </c>
      <c r="U40" s="261">
        <v>6</v>
      </c>
      <c r="V40" s="258" t="s">
        <v>71</v>
      </c>
      <c r="W40" s="261" t="str">
        <f t="shared" si="18"/>
        <v>현대자동차I30N 1.6 가솔린 (M/T)23790000</v>
      </c>
      <c r="X40" s="411">
        <f t="shared" si="19"/>
        <v>3814</v>
      </c>
      <c r="Y40" s="261">
        <v>6</v>
      </c>
      <c r="Z40" s="261">
        <v>6</v>
      </c>
      <c r="AA40" s="407" t="s">
        <v>1064</v>
      </c>
      <c r="AB40" s="258" t="s">
        <v>73</v>
      </c>
      <c r="AC40" s="258"/>
      <c r="AD40" s="258" t="s">
        <v>2131</v>
      </c>
      <c r="AE40" s="258" t="s">
        <v>2129</v>
      </c>
      <c r="AF40" s="259"/>
      <c r="AG40" s="260"/>
      <c r="AH40" s="259"/>
      <c r="AI40" s="259"/>
      <c r="AJ40" s="260"/>
      <c r="AK40" s="259">
        <v>26</v>
      </c>
      <c r="AL40" s="259"/>
      <c r="AM40" s="259" t="s">
        <v>3222</v>
      </c>
      <c r="AN40" s="449"/>
      <c r="AO40" s="449"/>
      <c r="AP40" s="449"/>
      <c r="AQ40" s="392" t="str">
        <f>IFERROR(VLOOKUP(BG40,#REF!,1,0),"")</f>
        <v/>
      </c>
      <c r="AS40" s="259" t="s">
        <v>3222</v>
      </c>
      <c r="BD40" s="202" t="str">
        <f t="shared" si="11"/>
        <v>I30N 1.6 가솔린 (M/T)</v>
      </c>
      <c r="BE40" s="261" t="str">
        <f t="shared" si="17"/>
        <v>0006</v>
      </c>
      <c r="BF40" s="407" t="s">
        <v>1064</v>
      </c>
      <c r="BG40" s="202" t="str">
        <f t="shared" si="12"/>
        <v>0006-0039</v>
      </c>
    </row>
    <row r="41" spans="1:59">
      <c r="A41" s="405">
        <v>3815</v>
      </c>
      <c r="B41" s="406">
        <v>3815</v>
      </c>
      <c r="C41" s="261" t="str">
        <f t="shared" si="13"/>
        <v>0005-0006</v>
      </c>
      <c r="D41" s="261" t="str">
        <f t="shared" si="14"/>
        <v>0005-0006-0002</v>
      </c>
      <c r="E41" s="407" t="s">
        <v>1063</v>
      </c>
      <c r="F41" s="261" t="str">
        <f>TEXT(VLOOKUP(J41,'[3]1'!$B$2:$D$37,2,0),"0000")</f>
        <v>0005</v>
      </c>
      <c r="G41" s="261" t="str">
        <f t="shared" si="15"/>
        <v>0006</v>
      </c>
      <c r="H41" s="408">
        <f t="shared" si="16"/>
        <v>2</v>
      </c>
      <c r="I41" s="407" t="s">
        <v>1063</v>
      </c>
      <c r="J41" s="258" t="s">
        <v>294</v>
      </c>
      <c r="K41" s="258" t="s">
        <v>2753</v>
      </c>
      <c r="L41" s="258" t="s">
        <v>2503</v>
      </c>
      <c r="M41" s="409">
        <v>25560000</v>
      </c>
      <c r="N41" s="258">
        <v>1591</v>
      </c>
      <c r="O41" s="258" t="s">
        <v>77</v>
      </c>
      <c r="P41" s="258" t="s">
        <v>73</v>
      </c>
      <c r="Q41" s="258" t="s">
        <v>72</v>
      </c>
      <c r="R41" s="258">
        <v>5</v>
      </c>
      <c r="S41" s="410">
        <v>9</v>
      </c>
      <c r="T41" s="261">
        <v>6</v>
      </c>
      <c r="U41" s="261">
        <v>6</v>
      </c>
      <c r="V41" s="258" t="s">
        <v>71</v>
      </c>
      <c r="W41" s="261" t="str">
        <f t="shared" si="18"/>
        <v>현대자동차I30N Line A/T25560000</v>
      </c>
      <c r="X41" s="411">
        <f t="shared" si="19"/>
        <v>3815</v>
      </c>
      <c r="Y41" s="261">
        <v>6</v>
      </c>
      <c r="Z41" s="261">
        <v>6</v>
      </c>
      <c r="AA41" s="407" t="s">
        <v>1063</v>
      </c>
      <c r="AB41" s="258" t="s">
        <v>73</v>
      </c>
      <c r="AC41" s="258"/>
      <c r="AD41" s="258" t="s">
        <v>2131</v>
      </c>
      <c r="AE41" s="258" t="s">
        <v>2129</v>
      </c>
      <c r="AF41" s="259"/>
      <c r="AG41" s="260"/>
      <c r="AH41" s="259"/>
      <c r="AI41" s="259"/>
      <c r="AJ41" s="260"/>
      <c r="AK41" s="259">
        <v>26</v>
      </c>
      <c r="AL41" s="259"/>
      <c r="AM41" s="259" t="s">
        <v>3222</v>
      </c>
      <c r="AN41" s="449"/>
      <c r="AO41" s="449"/>
      <c r="AP41" s="449"/>
      <c r="AQ41" s="392" t="str">
        <f>IFERROR(VLOOKUP(BG41,#REF!,1,0),"")</f>
        <v/>
      </c>
      <c r="AS41" s="259" t="s">
        <v>3222</v>
      </c>
      <c r="BD41" s="202" t="str">
        <f t="shared" si="11"/>
        <v>I30N Line A/T</v>
      </c>
      <c r="BE41" s="261" t="str">
        <f t="shared" si="17"/>
        <v>0006</v>
      </c>
      <c r="BF41" s="407" t="s">
        <v>1063</v>
      </c>
      <c r="BG41" s="202" t="str">
        <f t="shared" si="12"/>
        <v>0006-0040</v>
      </c>
    </row>
    <row r="42" spans="1:59">
      <c r="A42" s="405">
        <v>3816</v>
      </c>
      <c r="B42" s="406">
        <v>3816</v>
      </c>
      <c r="C42" s="261" t="str">
        <f t="shared" si="13"/>
        <v>0005-0007</v>
      </c>
      <c r="D42" s="261" t="str">
        <f t="shared" si="14"/>
        <v>0005-0007-0001</v>
      </c>
      <c r="E42" s="407" t="s">
        <v>1062</v>
      </c>
      <c r="F42" s="261" t="str">
        <f>TEXT(VLOOKUP(J42,'[3]1'!$B$2:$D$37,2,0),"0000")</f>
        <v>0005</v>
      </c>
      <c r="G42" s="261" t="str">
        <f t="shared" si="15"/>
        <v>0007</v>
      </c>
      <c r="H42" s="408">
        <f t="shared" si="16"/>
        <v>1</v>
      </c>
      <c r="I42" s="407" t="s">
        <v>1062</v>
      </c>
      <c r="J42" s="258" t="s">
        <v>294</v>
      </c>
      <c r="K42" s="258" t="s">
        <v>2754</v>
      </c>
      <c r="L42" s="258" t="s">
        <v>2505</v>
      </c>
      <c r="M42" s="409">
        <v>45300000</v>
      </c>
      <c r="N42" s="258">
        <v>2497</v>
      </c>
      <c r="O42" s="258" t="s">
        <v>78</v>
      </c>
      <c r="P42" s="258" t="s">
        <v>1431</v>
      </c>
      <c r="Q42" s="258" t="s">
        <v>72</v>
      </c>
      <c r="R42" s="258">
        <v>5</v>
      </c>
      <c r="S42" s="410">
        <v>5</v>
      </c>
      <c r="T42" s="261">
        <v>6</v>
      </c>
      <c r="U42" s="261">
        <v>6</v>
      </c>
      <c r="V42" s="258" t="s">
        <v>71</v>
      </c>
      <c r="W42" s="261" t="str">
        <f t="shared" si="18"/>
        <v>현대자동차그랜드 스타렉스디젤 9인승 익스클루시브45300000</v>
      </c>
      <c r="X42" s="411">
        <f t="shared" si="19"/>
        <v>3816</v>
      </c>
      <c r="Y42" s="261">
        <v>6</v>
      </c>
      <c r="Z42" s="261">
        <v>6</v>
      </c>
      <c r="AA42" s="407" t="s">
        <v>1062</v>
      </c>
      <c r="AB42" s="258" t="s">
        <v>1431</v>
      </c>
      <c r="AC42" s="258"/>
      <c r="AD42" s="258" t="s">
        <v>2134</v>
      </c>
      <c r="AE42" s="258" t="s">
        <v>2129</v>
      </c>
      <c r="AF42" s="259"/>
      <c r="AG42" s="260"/>
      <c r="AH42" s="259"/>
      <c r="AI42" s="259"/>
      <c r="AJ42" s="260"/>
      <c r="AK42" s="259">
        <v>26</v>
      </c>
      <c r="AL42" s="259"/>
      <c r="AM42" s="259" t="s">
        <v>93</v>
      </c>
      <c r="AN42" s="449"/>
      <c r="AO42" s="449"/>
      <c r="AP42" s="449"/>
      <c r="AQ42" s="392" t="str">
        <f>IFERROR(VLOOKUP(BG42,#REF!,1,0),"")</f>
        <v/>
      </c>
      <c r="AS42" s="259" t="s">
        <v>93</v>
      </c>
      <c r="BD42" s="202" t="str">
        <f t="shared" si="11"/>
        <v>그랜드 스타렉스디젤 9인승 익스클루시브</v>
      </c>
      <c r="BE42" s="261" t="str">
        <f t="shared" si="17"/>
        <v>0007</v>
      </c>
      <c r="BF42" s="407" t="s">
        <v>1062</v>
      </c>
      <c r="BG42" s="202" t="str">
        <f t="shared" si="12"/>
        <v>0007-0041</v>
      </c>
    </row>
    <row r="43" spans="1:59">
      <c r="A43" s="405">
        <v>3817</v>
      </c>
      <c r="B43" s="406">
        <v>3817</v>
      </c>
      <c r="C43" s="261" t="str">
        <f t="shared" si="13"/>
        <v>0005-0007</v>
      </c>
      <c r="D43" s="261" t="str">
        <f t="shared" si="14"/>
        <v>0005-0007-0002</v>
      </c>
      <c r="E43" s="407" t="s">
        <v>1061</v>
      </c>
      <c r="F43" s="261" t="str">
        <f>TEXT(VLOOKUP(J43,'[3]1'!$B$2:$D$37,2,0),"0000")</f>
        <v>0005</v>
      </c>
      <c r="G43" s="261" t="str">
        <f t="shared" si="15"/>
        <v>0007</v>
      </c>
      <c r="H43" s="408">
        <f t="shared" si="16"/>
        <v>2</v>
      </c>
      <c r="I43" s="407" t="s">
        <v>1061</v>
      </c>
      <c r="J43" s="258" t="s">
        <v>294</v>
      </c>
      <c r="K43" s="258" t="s">
        <v>2754</v>
      </c>
      <c r="L43" s="258" t="s">
        <v>2506</v>
      </c>
      <c r="M43" s="409">
        <v>22900000</v>
      </c>
      <c r="N43" s="258">
        <v>2497</v>
      </c>
      <c r="O43" s="258" t="s">
        <v>78</v>
      </c>
      <c r="P43" s="258" t="s">
        <v>2890</v>
      </c>
      <c r="Q43" s="258" t="s">
        <v>88</v>
      </c>
      <c r="R43" s="258">
        <v>5</v>
      </c>
      <c r="S43" s="410">
        <v>5</v>
      </c>
      <c r="T43" s="261">
        <v>6</v>
      </c>
      <c r="U43" s="261">
        <v>6</v>
      </c>
      <c r="V43" s="258" t="s">
        <v>71</v>
      </c>
      <c r="W43" s="261" t="str">
        <f t="shared" si="18"/>
        <v>현대자동차그랜드 스타렉스디젤 왜건 2WD 12인승 스타일 M/T22900000</v>
      </c>
      <c r="X43" s="411">
        <f t="shared" si="19"/>
        <v>3817</v>
      </c>
      <c r="Y43" s="261">
        <v>6</v>
      </c>
      <c r="Z43" s="261">
        <v>6</v>
      </c>
      <c r="AA43" s="407" t="s">
        <v>1061</v>
      </c>
      <c r="AB43" s="258" t="s">
        <v>73</v>
      </c>
      <c r="AC43" s="258"/>
      <c r="AD43" s="258" t="s">
        <v>2133</v>
      </c>
      <c r="AE43" s="258" t="s">
        <v>2129</v>
      </c>
      <c r="AF43" s="259"/>
      <c r="AG43" s="260"/>
      <c r="AH43" s="259"/>
      <c r="AI43" s="259"/>
      <c r="AJ43" s="260"/>
      <c r="AK43" s="259">
        <v>26</v>
      </c>
      <c r="AL43" s="259"/>
      <c r="AM43" s="259" t="s">
        <v>93</v>
      </c>
      <c r="AN43" s="449"/>
      <c r="AO43" s="449"/>
      <c r="AP43" s="449"/>
      <c r="AQ43" s="392" t="str">
        <f>IFERROR(VLOOKUP(BG43,#REF!,1,0),"")</f>
        <v/>
      </c>
      <c r="AS43" s="259" t="s">
        <v>93</v>
      </c>
      <c r="BD43" s="202" t="str">
        <f t="shared" si="11"/>
        <v>그랜드 스타렉스디젤 왜건 2WD 12인승 스타일 M/T</v>
      </c>
      <c r="BE43" s="261" t="str">
        <f t="shared" si="17"/>
        <v>0007</v>
      </c>
      <c r="BF43" s="407" t="s">
        <v>1061</v>
      </c>
      <c r="BG43" s="202" t="str">
        <f t="shared" si="12"/>
        <v>0007-0042</v>
      </c>
    </row>
    <row r="44" spans="1:59">
      <c r="A44" s="405">
        <v>3818</v>
      </c>
      <c r="B44" s="406">
        <v>3818</v>
      </c>
      <c r="C44" s="261" t="str">
        <f t="shared" si="13"/>
        <v>0005-0007</v>
      </c>
      <c r="D44" s="261" t="str">
        <f t="shared" si="14"/>
        <v>0005-0007-0003</v>
      </c>
      <c r="E44" s="407" t="s">
        <v>1060</v>
      </c>
      <c r="F44" s="261" t="str">
        <f>TEXT(VLOOKUP(J44,'[3]1'!$B$2:$D$37,2,0),"0000")</f>
        <v>0005</v>
      </c>
      <c r="G44" s="261" t="str">
        <f t="shared" si="15"/>
        <v>0007</v>
      </c>
      <c r="H44" s="408">
        <f t="shared" si="16"/>
        <v>3</v>
      </c>
      <c r="I44" s="407" t="s">
        <v>1060</v>
      </c>
      <c r="J44" s="258" t="s">
        <v>294</v>
      </c>
      <c r="K44" s="258" t="s">
        <v>2754</v>
      </c>
      <c r="L44" s="258" t="s">
        <v>2507</v>
      </c>
      <c r="M44" s="409">
        <v>25400000</v>
      </c>
      <c r="N44" s="258">
        <v>2497</v>
      </c>
      <c r="O44" s="258" t="s">
        <v>78</v>
      </c>
      <c r="P44" s="258" t="s">
        <v>2890</v>
      </c>
      <c r="Q44" s="258" t="s">
        <v>72</v>
      </c>
      <c r="R44" s="258">
        <v>12</v>
      </c>
      <c r="S44" s="410">
        <v>5</v>
      </c>
      <c r="T44" s="261">
        <v>6</v>
      </c>
      <c r="U44" s="261">
        <v>6</v>
      </c>
      <c r="V44" s="258" t="s">
        <v>3993</v>
      </c>
      <c r="W44" s="261" t="str">
        <f t="shared" si="18"/>
        <v>현대자동차그랜드 스타렉스디젤 왜건 2WD 12인승 스마트 A/T25400000</v>
      </c>
      <c r="X44" s="411">
        <f t="shared" si="19"/>
        <v>3818</v>
      </c>
      <c r="Y44" s="261">
        <v>6</v>
      </c>
      <c r="Z44" s="261">
        <v>6</v>
      </c>
      <c r="AA44" s="407" t="s">
        <v>1060</v>
      </c>
      <c r="AB44" s="258" t="e">
        <v>#N/A</v>
      </c>
      <c r="AC44" s="258"/>
      <c r="AD44" s="258" t="s">
        <v>2133</v>
      </c>
      <c r="AE44" s="258" t="s">
        <v>2129</v>
      </c>
      <c r="AF44" s="259"/>
      <c r="AG44" s="260"/>
      <c r="AH44" s="259"/>
      <c r="AI44" s="259"/>
      <c r="AJ44" s="260"/>
      <c r="AK44" s="259">
        <v>26</v>
      </c>
      <c r="AL44" s="259"/>
      <c r="AM44" s="259" t="s">
        <v>93</v>
      </c>
      <c r="AN44" s="449"/>
      <c r="AO44" s="449"/>
      <c r="AP44" s="449"/>
      <c r="AQ44" s="392" t="str">
        <f>IFERROR(VLOOKUP(BG44,#REF!,1,0),"")</f>
        <v/>
      </c>
      <c r="AS44" s="259" t="s">
        <v>93</v>
      </c>
      <c r="BD44" s="202" t="str">
        <f t="shared" si="11"/>
        <v>그랜드 스타렉스디젤 왜건 2WD 12인승 스마트 A/T</v>
      </c>
      <c r="BE44" s="261" t="str">
        <f t="shared" si="17"/>
        <v>0007</v>
      </c>
      <c r="BF44" s="407" t="s">
        <v>1060</v>
      </c>
      <c r="BG44" s="202" t="str">
        <f t="shared" si="12"/>
        <v>0007-0043</v>
      </c>
    </row>
    <row r="45" spans="1:59">
      <c r="A45" s="405">
        <v>3819</v>
      </c>
      <c r="B45" s="406">
        <v>3819</v>
      </c>
      <c r="C45" s="261" t="str">
        <f t="shared" si="13"/>
        <v>0005-0007</v>
      </c>
      <c r="D45" s="261" t="str">
        <f t="shared" si="14"/>
        <v>0005-0007-0004</v>
      </c>
      <c r="E45" s="407" t="s">
        <v>1059</v>
      </c>
      <c r="F45" s="261" t="str">
        <f>TEXT(VLOOKUP(J45,'[3]1'!$B$2:$D$37,2,0),"0000")</f>
        <v>0005</v>
      </c>
      <c r="G45" s="261" t="str">
        <f t="shared" si="15"/>
        <v>0007</v>
      </c>
      <c r="H45" s="408">
        <f t="shared" si="16"/>
        <v>4</v>
      </c>
      <c r="I45" s="407" t="s">
        <v>1059</v>
      </c>
      <c r="J45" s="258" t="s">
        <v>294</v>
      </c>
      <c r="K45" s="258" t="s">
        <v>2754</v>
      </c>
      <c r="L45" s="258" t="s">
        <v>2508</v>
      </c>
      <c r="M45" s="409">
        <v>27400000</v>
      </c>
      <c r="N45" s="258">
        <v>2497</v>
      </c>
      <c r="O45" s="258" t="s">
        <v>78</v>
      </c>
      <c r="P45" s="258" t="s">
        <v>2890</v>
      </c>
      <c r="Q45" s="258" t="s">
        <v>72</v>
      </c>
      <c r="R45" s="258">
        <v>12</v>
      </c>
      <c r="S45" s="410">
        <v>5</v>
      </c>
      <c r="T45" s="261">
        <v>6</v>
      </c>
      <c r="U45" s="261">
        <v>6</v>
      </c>
      <c r="V45" s="258" t="s">
        <v>3993</v>
      </c>
      <c r="W45" s="261" t="str">
        <f t="shared" si="18"/>
        <v>현대자동차그랜드 스타렉스디젤 왜건 4WD 12인승 스마트 A/T27400000</v>
      </c>
      <c r="X45" s="411">
        <f t="shared" si="19"/>
        <v>3819</v>
      </c>
      <c r="Y45" s="261">
        <v>6</v>
      </c>
      <c r="Z45" s="261">
        <v>6</v>
      </c>
      <c r="AA45" s="407" t="s">
        <v>1059</v>
      </c>
      <c r="AB45" s="258" t="e">
        <v>#N/A</v>
      </c>
      <c r="AC45" s="258"/>
      <c r="AD45" s="258" t="s">
        <v>2133</v>
      </c>
      <c r="AE45" s="258" t="s">
        <v>2129</v>
      </c>
      <c r="AF45" s="259"/>
      <c r="AG45" s="260"/>
      <c r="AH45" s="259"/>
      <c r="AI45" s="259"/>
      <c r="AJ45" s="260"/>
      <c r="AK45" s="259">
        <v>26</v>
      </c>
      <c r="AL45" s="259"/>
      <c r="AM45" s="259" t="s">
        <v>93</v>
      </c>
      <c r="AN45" s="449"/>
      <c r="AO45" s="449"/>
      <c r="AP45" s="449"/>
      <c r="AQ45" s="392" t="str">
        <f>IFERROR(VLOOKUP(BG45,#REF!,1,0),"")</f>
        <v/>
      </c>
      <c r="AS45" s="259" t="s">
        <v>93</v>
      </c>
      <c r="BD45" s="202" t="str">
        <f t="shared" si="11"/>
        <v>그랜드 스타렉스디젤 왜건 4WD 12인승 스마트 A/T</v>
      </c>
      <c r="BE45" s="261" t="str">
        <f t="shared" si="17"/>
        <v>0007</v>
      </c>
      <c r="BF45" s="407" t="s">
        <v>1059</v>
      </c>
      <c r="BG45" s="202" t="str">
        <f t="shared" si="12"/>
        <v>0007-0044</v>
      </c>
    </row>
    <row r="46" spans="1:59">
      <c r="A46" s="405">
        <v>3820</v>
      </c>
      <c r="B46" s="406">
        <v>3820</v>
      </c>
      <c r="C46" s="261" t="str">
        <f t="shared" si="13"/>
        <v>0005-0007</v>
      </c>
      <c r="D46" s="261" t="str">
        <f t="shared" si="14"/>
        <v>0005-0007-0005</v>
      </c>
      <c r="E46" s="407" t="s">
        <v>1058</v>
      </c>
      <c r="F46" s="261" t="str">
        <f>TEXT(VLOOKUP(J46,'[3]1'!$B$2:$D$37,2,0),"0000")</f>
        <v>0005</v>
      </c>
      <c r="G46" s="261" t="str">
        <f t="shared" si="15"/>
        <v>0007</v>
      </c>
      <c r="H46" s="408">
        <f t="shared" si="16"/>
        <v>5</v>
      </c>
      <c r="I46" s="407" t="s">
        <v>1058</v>
      </c>
      <c r="J46" s="258" t="s">
        <v>294</v>
      </c>
      <c r="K46" s="258" t="s">
        <v>2754</v>
      </c>
      <c r="L46" s="258" t="s">
        <v>2509</v>
      </c>
      <c r="M46" s="409">
        <v>29500000</v>
      </c>
      <c r="N46" s="258">
        <v>2497</v>
      </c>
      <c r="O46" s="258" t="s">
        <v>78</v>
      </c>
      <c r="P46" s="258" t="s">
        <v>2890</v>
      </c>
      <c r="Q46" s="258" t="s">
        <v>72</v>
      </c>
      <c r="R46" s="258">
        <v>5</v>
      </c>
      <c r="S46" s="410">
        <v>5</v>
      </c>
      <c r="T46" s="261">
        <v>6</v>
      </c>
      <c r="U46" s="261">
        <v>6</v>
      </c>
      <c r="V46" s="258" t="s">
        <v>71</v>
      </c>
      <c r="W46" s="261" t="str">
        <f t="shared" si="18"/>
        <v>현대자동차그랜드 스타렉스디젤 왜건 4WD 11인승 모던29500000</v>
      </c>
      <c r="X46" s="411">
        <f t="shared" si="19"/>
        <v>3820</v>
      </c>
      <c r="Y46" s="261">
        <v>6</v>
      </c>
      <c r="Z46" s="261">
        <v>6</v>
      </c>
      <c r="AA46" s="407" t="s">
        <v>1058</v>
      </c>
      <c r="AB46" s="258" t="s">
        <v>73</v>
      </c>
      <c r="AC46" s="258"/>
      <c r="AD46" s="258" t="s">
        <v>2133</v>
      </c>
      <c r="AE46" s="258" t="s">
        <v>2129</v>
      </c>
      <c r="AF46" s="259"/>
      <c r="AG46" s="260"/>
      <c r="AH46" s="259"/>
      <c r="AI46" s="259"/>
      <c r="AJ46" s="260"/>
      <c r="AK46" s="259">
        <v>26</v>
      </c>
      <c r="AL46" s="259"/>
      <c r="AM46" s="259" t="s">
        <v>93</v>
      </c>
      <c r="AN46" s="449"/>
      <c r="AO46" s="449"/>
      <c r="AP46" s="449"/>
      <c r="AQ46" s="392" t="str">
        <f>IFERROR(VLOOKUP(BG46,#REF!,1,0),"")</f>
        <v/>
      </c>
      <c r="AS46" s="259" t="s">
        <v>93</v>
      </c>
      <c r="BD46" s="202" t="str">
        <f t="shared" si="11"/>
        <v>그랜드 스타렉스디젤 왜건 4WD 11인승 모던</v>
      </c>
      <c r="BE46" s="261" t="str">
        <f t="shared" si="17"/>
        <v>0007</v>
      </c>
      <c r="BF46" s="407" t="s">
        <v>1058</v>
      </c>
      <c r="BG46" s="202" t="str">
        <f t="shared" si="12"/>
        <v>0007-0045</v>
      </c>
    </row>
    <row r="47" spans="1:59">
      <c r="A47" s="405">
        <v>3821</v>
      </c>
      <c r="B47" s="406">
        <v>3821</v>
      </c>
      <c r="C47" s="261" t="str">
        <f t="shared" si="13"/>
        <v>0005-0007</v>
      </c>
      <c r="D47" s="261" t="str">
        <f t="shared" si="14"/>
        <v>0005-0007-0006</v>
      </c>
      <c r="E47" s="407" t="s">
        <v>1057</v>
      </c>
      <c r="F47" s="261" t="str">
        <f>TEXT(VLOOKUP(J47,'[3]1'!$B$2:$D$37,2,0),"0000")</f>
        <v>0005</v>
      </c>
      <c r="G47" s="261" t="str">
        <f t="shared" si="15"/>
        <v>0007</v>
      </c>
      <c r="H47" s="408">
        <f t="shared" si="16"/>
        <v>6</v>
      </c>
      <c r="I47" s="407" t="s">
        <v>1057</v>
      </c>
      <c r="J47" s="258" t="s">
        <v>294</v>
      </c>
      <c r="K47" s="258" t="s">
        <v>2754</v>
      </c>
      <c r="L47" s="258" t="s">
        <v>2510</v>
      </c>
      <c r="M47" s="409">
        <v>26700000</v>
      </c>
      <c r="N47" s="258">
        <v>2497</v>
      </c>
      <c r="O47" s="258" t="s">
        <v>78</v>
      </c>
      <c r="P47" s="258" t="s">
        <v>2890</v>
      </c>
      <c r="Q47" s="258" t="s">
        <v>72</v>
      </c>
      <c r="R47" s="258">
        <v>12</v>
      </c>
      <c r="S47" s="410">
        <v>5</v>
      </c>
      <c r="T47" s="261">
        <v>6</v>
      </c>
      <c r="U47" s="261">
        <v>6</v>
      </c>
      <c r="V47" s="258" t="s">
        <v>3993</v>
      </c>
      <c r="W47" s="261" t="str">
        <f t="shared" si="18"/>
        <v>현대자동차그랜드 스타렉스디젤 왜건 2WD 12인승 모던26700000</v>
      </c>
      <c r="X47" s="411">
        <f t="shared" si="19"/>
        <v>3821</v>
      </c>
      <c r="Y47" s="261">
        <v>6</v>
      </c>
      <c r="Z47" s="261">
        <v>6</v>
      </c>
      <c r="AA47" s="407" t="s">
        <v>1057</v>
      </c>
      <c r="AB47" s="258" t="e">
        <v>#N/A</v>
      </c>
      <c r="AC47" s="258"/>
      <c r="AD47" s="258" t="s">
        <v>2133</v>
      </c>
      <c r="AE47" s="258" t="s">
        <v>2129</v>
      </c>
      <c r="AF47" s="259"/>
      <c r="AG47" s="260"/>
      <c r="AH47" s="259"/>
      <c r="AI47" s="259"/>
      <c r="AJ47" s="260"/>
      <c r="AK47" s="259">
        <v>26</v>
      </c>
      <c r="AL47" s="259"/>
      <c r="AM47" s="259" t="s">
        <v>93</v>
      </c>
      <c r="AN47" s="449"/>
      <c r="AO47" s="449"/>
      <c r="AP47" s="449"/>
      <c r="AQ47" s="392" t="str">
        <f>IFERROR(VLOOKUP(BG47,#REF!,1,0),"")</f>
        <v/>
      </c>
      <c r="AS47" s="259" t="s">
        <v>93</v>
      </c>
      <c r="BD47" s="202" t="str">
        <f t="shared" si="11"/>
        <v>그랜드 스타렉스디젤 왜건 2WD 12인승 모던</v>
      </c>
      <c r="BE47" s="261" t="str">
        <f t="shared" si="17"/>
        <v>0007</v>
      </c>
      <c r="BF47" s="407" t="s">
        <v>1057</v>
      </c>
      <c r="BG47" s="202" t="str">
        <f t="shared" si="12"/>
        <v>0007-0046</v>
      </c>
    </row>
    <row r="48" spans="1:59">
      <c r="A48" s="405">
        <v>3822</v>
      </c>
      <c r="B48" s="406">
        <v>3822</v>
      </c>
      <c r="C48" s="261" t="str">
        <f t="shared" si="13"/>
        <v>0005-0007</v>
      </c>
      <c r="D48" s="261" t="str">
        <f t="shared" si="14"/>
        <v>0005-0007-0007</v>
      </c>
      <c r="E48" s="407" t="s">
        <v>1056</v>
      </c>
      <c r="F48" s="261" t="str">
        <f>TEXT(VLOOKUP(J48,'[3]1'!$B$2:$D$37,2,0),"0000")</f>
        <v>0005</v>
      </c>
      <c r="G48" s="261" t="str">
        <f t="shared" si="15"/>
        <v>0007</v>
      </c>
      <c r="H48" s="408">
        <f t="shared" si="16"/>
        <v>7</v>
      </c>
      <c r="I48" s="407" t="s">
        <v>1056</v>
      </c>
      <c r="J48" s="258" t="s">
        <v>294</v>
      </c>
      <c r="K48" s="258" t="s">
        <v>2754</v>
      </c>
      <c r="L48" s="258" t="s">
        <v>2511</v>
      </c>
      <c r="M48" s="409">
        <v>28700000</v>
      </c>
      <c r="N48" s="258">
        <v>2497</v>
      </c>
      <c r="O48" s="258" t="s">
        <v>78</v>
      </c>
      <c r="P48" s="258" t="s">
        <v>2890</v>
      </c>
      <c r="Q48" s="258" t="s">
        <v>72</v>
      </c>
      <c r="R48" s="258">
        <v>12</v>
      </c>
      <c r="S48" s="410">
        <v>5</v>
      </c>
      <c r="T48" s="261">
        <v>6</v>
      </c>
      <c r="U48" s="261">
        <v>6</v>
      </c>
      <c r="V48" s="258" t="s">
        <v>3993</v>
      </c>
      <c r="W48" s="261" t="str">
        <f t="shared" si="18"/>
        <v>현대자동차그랜드 스타렉스디젤 왜건 4WD 12인승 모던28700000</v>
      </c>
      <c r="X48" s="411">
        <f t="shared" si="19"/>
        <v>3822</v>
      </c>
      <c r="Y48" s="261">
        <v>6</v>
      </c>
      <c r="Z48" s="261">
        <v>6</v>
      </c>
      <c r="AA48" s="407" t="s">
        <v>1056</v>
      </c>
      <c r="AB48" s="258" t="e">
        <v>#N/A</v>
      </c>
      <c r="AC48" s="258"/>
      <c r="AD48" s="258" t="s">
        <v>2133</v>
      </c>
      <c r="AE48" s="258" t="s">
        <v>2129</v>
      </c>
      <c r="AF48" s="259"/>
      <c r="AG48" s="260"/>
      <c r="AH48" s="259"/>
      <c r="AI48" s="259"/>
      <c r="AJ48" s="260"/>
      <c r="AK48" s="259">
        <v>26</v>
      </c>
      <c r="AL48" s="259"/>
      <c r="AM48" s="259" t="s">
        <v>93</v>
      </c>
      <c r="AN48" s="449"/>
      <c r="AO48" s="449"/>
      <c r="AP48" s="449"/>
      <c r="AQ48" s="392" t="str">
        <f>IFERROR(VLOOKUP(BG48,#REF!,1,0),"")</f>
        <v/>
      </c>
      <c r="AS48" s="259" t="s">
        <v>93</v>
      </c>
      <c r="BD48" s="202" t="str">
        <f t="shared" si="11"/>
        <v>그랜드 스타렉스디젤 왜건 4WD 12인승 모던</v>
      </c>
      <c r="BE48" s="261" t="str">
        <f t="shared" si="17"/>
        <v>0007</v>
      </c>
      <c r="BF48" s="407" t="s">
        <v>1056</v>
      </c>
      <c r="BG48" s="202" t="str">
        <f t="shared" si="12"/>
        <v>0007-0047</v>
      </c>
    </row>
    <row r="49" spans="1:59">
      <c r="A49" s="405">
        <v>3823</v>
      </c>
      <c r="B49" s="406">
        <v>3823</v>
      </c>
      <c r="C49" s="261" t="str">
        <f t="shared" si="13"/>
        <v>0005-0007</v>
      </c>
      <c r="D49" s="261" t="str">
        <f t="shared" si="14"/>
        <v>0005-0007-0008</v>
      </c>
      <c r="E49" s="407" t="s">
        <v>1055</v>
      </c>
      <c r="F49" s="261" t="str">
        <f>TEXT(VLOOKUP(J49,'[3]1'!$B$2:$D$37,2,0),"0000")</f>
        <v>0005</v>
      </c>
      <c r="G49" s="261" t="str">
        <f t="shared" si="15"/>
        <v>0007</v>
      </c>
      <c r="H49" s="408">
        <f t="shared" si="16"/>
        <v>8</v>
      </c>
      <c r="I49" s="407" t="s">
        <v>1055</v>
      </c>
      <c r="J49" s="258" t="s">
        <v>294</v>
      </c>
      <c r="K49" s="258" t="s">
        <v>2754</v>
      </c>
      <c r="L49" s="258" t="s">
        <v>2512</v>
      </c>
      <c r="M49" s="409">
        <v>24750000</v>
      </c>
      <c r="N49" s="258">
        <v>2497</v>
      </c>
      <c r="O49" s="258" t="s">
        <v>78</v>
      </c>
      <c r="P49" s="258" t="s">
        <v>2890</v>
      </c>
      <c r="Q49" s="258" t="s">
        <v>72</v>
      </c>
      <c r="R49" s="258">
        <v>12</v>
      </c>
      <c r="S49" s="410">
        <v>5</v>
      </c>
      <c r="T49" s="261">
        <v>6</v>
      </c>
      <c r="U49" s="261">
        <v>6</v>
      </c>
      <c r="V49" s="258" t="s">
        <v>3993</v>
      </c>
      <c r="W49" s="261" t="str">
        <f t="shared" si="18"/>
        <v>현대자동차그랜드 스타렉스디젤 왜건 2WD 12인승 스타일 A/T24750000</v>
      </c>
      <c r="X49" s="411">
        <f t="shared" si="19"/>
        <v>3823</v>
      </c>
      <c r="Y49" s="261">
        <v>6</v>
      </c>
      <c r="Z49" s="261">
        <v>6</v>
      </c>
      <c r="AA49" s="407" t="s">
        <v>1055</v>
      </c>
      <c r="AB49" s="258" t="e">
        <v>#N/A</v>
      </c>
      <c r="AC49" s="258"/>
      <c r="AD49" s="258" t="s">
        <v>2133</v>
      </c>
      <c r="AE49" s="258" t="s">
        <v>2129</v>
      </c>
      <c r="AF49" s="259"/>
      <c r="AG49" s="260"/>
      <c r="AH49" s="259"/>
      <c r="AI49" s="259"/>
      <c r="AJ49" s="260"/>
      <c r="AK49" s="259">
        <v>26</v>
      </c>
      <c r="AL49" s="259"/>
      <c r="AM49" s="259" t="s">
        <v>93</v>
      </c>
      <c r="AN49" s="449"/>
      <c r="AO49" s="449"/>
      <c r="AP49" s="449"/>
      <c r="AQ49" s="392" t="str">
        <f>IFERROR(VLOOKUP(BG49,#REF!,1,0),"")</f>
        <v/>
      </c>
      <c r="AS49" s="259" t="s">
        <v>93</v>
      </c>
      <c r="BD49" s="202" t="str">
        <f t="shared" si="11"/>
        <v>그랜드 스타렉스디젤 왜건 2WD 12인승 스타일 A/T</v>
      </c>
      <c r="BE49" s="261" t="str">
        <f t="shared" si="17"/>
        <v>0007</v>
      </c>
      <c r="BF49" s="407" t="s">
        <v>1055</v>
      </c>
      <c r="BG49" s="202" t="str">
        <f t="shared" si="12"/>
        <v>0007-0048</v>
      </c>
    </row>
    <row r="50" spans="1:59">
      <c r="A50" s="405">
        <v>3824</v>
      </c>
      <c r="B50" s="406">
        <v>3824</v>
      </c>
      <c r="C50" s="261" t="str">
        <f t="shared" si="13"/>
        <v>0005-0007</v>
      </c>
      <c r="D50" s="261" t="str">
        <f t="shared" si="14"/>
        <v>0005-0007-0009</v>
      </c>
      <c r="E50" s="407" t="s">
        <v>1054</v>
      </c>
      <c r="F50" s="261" t="str">
        <f>TEXT(VLOOKUP(J50,'[3]1'!$B$2:$D$37,2,0),"0000")</f>
        <v>0005</v>
      </c>
      <c r="G50" s="261" t="str">
        <f t="shared" si="15"/>
        <v>0007</v>
      </c>
      <c r="H50" s="408">
        <f t="shared" si="16"/>
        <v>9</v>
      </c>
      <c r="I50" s="407" t="s">
        <v>1054</v>
      </c>
      <c r="J50" s="258" t="s">
        <v>294</v>
      </c>
      <c r="K50" s="258" t="s">
        <v>2754</v>
      </c>
      <c r="L50" s="258" t="s">
        <v>2513</v>
      </c>
      <c r="M50" s="409">
        <v>23550000</v>
      </c>
      <c r="N50" s="258">
        <v>2497</v>
      </c>
      <c r="O50" s="258" t="s">
        <v>78</v>
      </c>
      <c r="P50" s="258" t="s">
        <v>2890</v>
      </c>
      <c r="Q50" s="258" t="s">
        <v>88</v>
      </c>
      <c r="R50" s="258">
        <v>12</v>
      </c>
      <c r="S50" s="410">
        <v>5</v>
      </c>
      <c r="T50" s="261">
        <v>6</v>
      </c>
      <c r="U50" s="261">
        <v>6</v>
      </c>
      <c r="V50" s="258" t="s">
        <v>3993</v>
      </c>
      <c r="W50" s="261" t="str">
        <f t="shared" si="18"/>
        <v>현대자동차그랜드 스타렉스디젤 왜건 2WD 12인승 스마트 M/T23550000</v>
      </c>
      <c r="X50" s="411">
        <f t="shared" si="19"/>
        <v>3824</v>
      </c>
      <c r="Y50" s="261">
        <v>6</v>
      </c>
      <c r="Z50" s="261">
        <v>6</v>
      </c>
      <c r="AA50" s="407" t="s">
        <v>1054</v>
      </c>
      <c r="AB50" s="258" t="e">
        <v>#N/A</v>
      </c>
      <c r="AC50" s="258"/>
      <c r="AD50" s="258" t="s">
        <v>2133</v>
      </c>
      <c r="AE50" s="258" t="s">
        <v>2129</v>
      </c>
      <c r="AF50" s="259"/>
      <c r="AG50" s="260"/>
      <c r="AH50" s="259"/>
      <c r="AI50" s="259"/>
      <c r="AJ50" s="260"/>
      <c r="AK50" s="259">
        <v>26</v>
      </c>
      <c r="AL50" s="259"/>
      <c r="AM50" s="259" t="s">
        <v>93</v>
      </c>
      <c r="AN50" s="449"/>
      <c r="AO50" s="449"/>
      <c r="AP50" s="449"/>
      <c r="AQ50" s="392" t="str">
        <f>IFERROR(VLOOKUP(BG50,#REF!,1,0),"")</f>
        <v/>
      </c>
      <c r="AS50" s="259" t="s">
        <v>93</v>
      </c>
      <c r="BD50" s="202" t="str">
        <f t="shared" si="11"/>
        <v>그랜드 스타렉스디젤 왜건 2WD 12인승 스마트 M/T</v>
      </c>
      <c r="BE50" s="261" t="str">
        <f t="shared" si="17"/>
        <v>0007</v>
      </c>
      <c r="BF50" s="407" t="s">
        <v>1054</v>
      </c>
      <c r="BG50" s="202" t="str">
        <f t="shared" si="12"/>
        <v>0007-0049</v>
      </c>
    </row>
    <row r="51" spans="1:59">
      <c r="A51" s="405">
        <v>3825</v>
      </c>
      <c r="B51" s="406">
        <v>3825</v>
      </c>
      <c r="C51" s="261" t="str">
        <f t="shared" si="13"/>
        <v>0005-0007</v>
      </c>
      <c r="D51" s="261" t="str">
        <f t="shared" si="14"/>
        <v>0005-0007-0010</v>
      </c>
      <c r="E51" s="407" t="s">
        <v>1053</v>
      </c>
      <c r="F51" s="261" t="str">
        <f>TEXT(VLOOKUP(J51,'[3]1'!$B$2:$D$37,2,0),"0000")</f>
        <v>0005</v>
      </c>
      <c r="G51" s="261" t="str">
        <f t="shared" si="15"/>
        <v>0007</v>
      </c>
      <c r="H51" s="408">
        <f t="shared" si="16"/>
        <v>10</v>
      </c>
      <c r="I51" s="407" t="s">
        <v>1053</v>
      </c>
      <c r="J51" s="258" t="s">
        <v>294</v>
      </c>
      <c r="K51" s="258" t="s">
        <v>2754</v>
      </c>
      <c r="L51" s="258" t="s">
        <v>2514</v>
      </c>
      <c r="M51" s="409">
        <v>23100000</v>
      </c>
      <c r="N51" s="258">
        <v>2497</v>
      </c>
      <c r="O51" s="258" t="s">
        <v>78</v>
      </c>
      <c r="P51" s="258" t="s">
        <v>2890</v>
      </c>
      <c r="Q51" s="258" t="s">
        <v>72</v>
      </c>
      <c r="R51" s="258">
        <v>5</v>
      </c>
      <c r="S51" s="410">
        <v>5</v>
      </c>
      <c r="T51" s="261">
        <v>6</v>
      </c>
      <c r="U51" s="261">
        <v>6</v>
      </c>
      <c r="V51" s="258" t="s">
        <v>1295</v>
      </c>
      <c r="W51" s="261" t="str">
        <f t="shared" si="18"/>
        <v>현대자동차그랜드 스타렉스디젤 왜건 2WD 11인승 스타일 A/T23100000</v>
      </c>
      <c r="X51" s="411">
        <f t="shared" si="19"/>
        <v>3825</v>
      </c>
      <c r="Y51" s="261">
        <v>6</v>
      </c>
      <c r="Z51" s="261">
        <v>6</v>
      </c>
      <c r="AA51" s="407" t="s">
        <v>1053</v>
      </c>
      <c r="AB51" s="258" t="s">
        <v>73</v>
      </c>
      <c r="AC51" s="258"/>
      <c r="AD51" s="258" t="s">
        <v>2133</v>
      </c>
      <c r="AE51" s="258" t="s">
        <v>2129</v>
      </c>
      <c r="AF51" s="259"/>
      <c r="AG51" s="260"/>
      <c r="AH51" s="259"/>
      <c r="AI51" s="259"/>
      <c r="AJ51" s="260"/>
      <c r="AK51" s="259">
        <v>26</v>
      </c>
      <c r="AL51" s="259"/>
      <c r="AM51" s="259" t="s">
        <v>93</v>
      </c>
      <c r="AN51" s="449"/>
      <c r="AO51" s="449"/>
      <c r="AP51" s="449"/>
      <c r="AQ51" s="392" t="str">
        <f>IFERROR(VLOOKUP(BG51,#REF!,1,0),"")</f>
        <v/>
      </c>
      <c r="AS51" s="259" t="s">
        <v>93</v>
      </c>
      <c r="BD51" s="202" t="str">
        <f t="shared" si="11"/>
        <v>그랜드 스타렉스디젤 왜건 2WD 11인승 스타일 A/T</v>
      </c>
      <c r="BE51" s="261" t="str">
        <f t="shared" si="17"/>
        <v>0007</v>
      </c>
      <c r="BF51" s="407" t="s">
        <v>1053</v>
      </c>
      <c r="BG51" s="202" t="str">
        <f t="shared" si="12"/>
        <v>0007-0050</v>
      </c>
    </row>
    <row r="52" spans="1:59">
      <c r="A52" s="405">
        <v>3826</v>
      </c>
      <c r="B52" s="406">
        <v>3826</v>
      </c>
      <c r="C52" s="261" t="str">
        <f t="shared" si="13"/>
        <v>0005-0007</v>
      </c>
      <c r="D52" s="261" t="str">
        <f t="shared" si="14"/>
        <v>0005-0007-0011</v>
      </c>
      <c r="E52" s="407" t="s">
        <v>1052</v>
      </c>
      <c r="F52" s="261" t="str">
        <f>TEXT(VLOOKUP(J52,'[3]1'!$B$2:$D$37,2,0),"0000")</f>
        <v>0005</v>
      </c>
      <c r="G52" s="261" t="str">
        <f t="shared" si="15"/>
        <v>0007</v>
      </c>
      <c r="H52" s="408">
        <f t="shared" si="16"/>
        <v>11</v>
      </c>
      <c r="I52" s="407" t="s">
        <v>1052</v>
      </c>
      <c r="J52" s="258" t="s">
        <v>294</v>
      </c>
      <c r="K52" s="258" t="s">
        <v>2754</v>
      </c>
      <c r="L52" s="258" t="s">
        <v>2504</v>
      </c>
      <c r="M52" s="409">
        <v>26890000</v>
      </c>
      <c r="N52" s="258">
        <v>2359</v>
      </c>
      <c r="O52" s="258" t="s">
        <v>2137</v>
      </c>
      <c r="P52" s="258" t="s">
        <v>2890</v>
      </c>
      <c r="Q52" s="258" t="s">
        <v>72</v>
      </c>
      <c r="R52" s="258">
        <v>12</v>
      </c>
      <c r="S52" s="410">
        <v>20</v>
      </c>
      <c r="T52" s="261">
        <v>6</v>
      </c>
      <c r="U52" s="261">
        <v>6</v>
      </c>
      <c r="V52" s="258" t="s">
        <v>3993</v>
      </c>
      <c r="W52" s="261" t="str">
        <f t="shared" si="18"/>
        <v>현대자동차그랜드 스타렉스LPG 2.4 어린이보호차 (12인승)26890000</v>
      </c>
      <c r="X52" s="411">
        <f t="shared" si="19"/>
        <v>3826</v>
      </c>
      <c r="Y52" s="261">
        <v>6</v>
      </c>
      <c r="Z52" s="261">
        <v>6</v>
      </c>
      <c r="AA52" s="407" t="s">
        <v>1052</v>
      </c>
      <c r="AB52" s="258" t="s">
        <v>2890</v>
      </c>
      <c r="AC52" s="258"/>
      <c r="AD52" s="258" t="s">
        <v>2133</v>
      </c>
      <c r="AE52" s="258" t="s">
        <v>2129</v>
      </c>
      <c r="AF52" s="259"/>
      <c r="AG52" s="260"/>
      <c r="AH52" s="259"/>
      <c r="AI52" s="259"/>
      <c r="AJ52" s="260"/>
      <c r="AK52" s="259">
        <v>26</v>
      </c>
      <c r="AL52" s="259"/>
      <c r="AM52" s="259" t="s">
        <v>3234</v>
      </c>
      <c r="AN52" s="449"/>
      <c r="AO52" s="449"/>
      <c r="AP52" s="449"/>
      <c r="AQ52" s="392" t="str">
        <f>IFERROR(VLOOKUP(BG52,#REF!,1,0),"")</f>
        <v/>
      </c>
      <c r="AS52" s="259" t="s">
        <v>3234</v>
      </c>
      <c r="BD52" s="202" t="str">
        <f t="shared" si="11"/>
        <v>그랜드 스타렉스LPG 2.4 어린이보호차 (12인승)</v>
      </c>
      <c r="BE52" s="261" t="str">
        <f t="shared" si="17"/>
        <v>0007</v>
      </c>
      <c r="BF52" s="407" t="s">
        <v>1052</v>
      </c>
      <c r="BG52" s="202" t="str">
        <f t="shared" si="12"/>
        <v>0007-0051</v>
      </c>
    </row>
    <row r="53" spans="1:59">
      <c r="A53" s="405">
        <v>3827</v>
      </c>
      <c r="B53" s="406">
        <v>3827</v>
      </c>
      <c r="C53" s="261" t="str">
        <f t="shared" si="13"/>
        <v>0005-0008</v>
      </c>
      <c r="D53" s="261" t="str">
        <f t="shared" si="14"/>
        <v>0005-0008-0001</v>
      </c>
      <c r="E53" s="407" t="s">
        <v>1051</v>
      </c>
      <c r="F53" s="261" t="str">
        <f>TEXT(VLOOKUP(J53,'[3]1'!$B$2:$D$37,2,0),"0000")</f>
        <v>0005</v>
      </c>
      <c r="G53" s="261" t="str">
        <f t="shared" si="15"/>
        <v>0008</v>
      </c>
      <c r="H53" s="408">
        <f t="shared" si="16"/>
        <v>1</v>
      </c>
      <c r="I53" s="407" t="s">
        <v>1051</v>
      </c>
      <c r="J53" s="258" t="s">
        <v>294</v>
      </c>
      <c r="K53" s="258" t="s">
        <v>2755</v>
      </c>
      <c r="L53" s="258" t="s">
        <v>2515</v>
      </c>
      <c r="M53" s="409">
        <v>27200000</v>
      </c>
      <c r="N53" s="258">
        <v>2497</v>
      </c>
      <c r="O53" s="258" t="s">
        <v>78</v>
      </c>
      <c r="P53" s="258" t="s">
        <v>73</v>
      </c>
      <c r="Q53" s="258" t="s">
        <v>72</v>
      </c>
      <c r="R53" s="258" t="e">
        <v>#N/A</v>
      </c>
      <c r="S53" s="410">
        <v>9</v>
      </c>
      <c r="T53" s="261">
        <v>6</v>
      </c>
      <c r="U53" s="261">
        <v>6</v>
      </c>
      <c r="V53" s="258" t="s">
        <v>3993</v>
      </c>
      <c r="W53" s="261" t="str">
        <f t="shared" si="18"/>
        <v>현대자동차그랜드 스타렉스 Urban프리미엄27200000</v>
      </c>
      <c r="X53" s="411">
        <f t="shared" si="19"/>
        <v>3827</v>
      </c>
      <c r="Y53" s="261">
        <v>6</v>
      </c>
      <c r="Z53" s="261">
        <v>6</v>
      </c>
      <c r="AA53" s="407" t="s">
        <v>1051</v>
      </c>
      <c r="AB53" s="258" t="e">
        <v>#N/A</v>
      </c>
      <c r="AC53" s="258"/>
      <c r="AD53" s="258" t="s">
        <v>2132</v>
      </c>
      <c r="AE53" s="258" t="s">
        <v>2129</v>
      </c>
      <c r="AF53" s="259"/>
      <c r="AG53" s="260"/>
      <c r="AH53" s="259"/>
      <c r="AI53" s="259"/>
      <c r="AJ53" s="260"/>
      <c r="AK53" s="259">
        <v>26</v>
      </c>
      <c r="AL53" s="259"/>
      <c r="AM53" s="259" t="s">
        <v>3222</v>
      </c>
      <c r="AN53" s="449"/>
      <c r="AO53" s="449"/>
      <c r="AP53" s="449"/>
      <c r="AQ53" s="392" t="str">
        <f>IFERROR(VLOOKUP(BG53,#REF!,1,0),"")</f>
        <v/>
      </c>
      <c r="AS53" s="259" t="s">
        <v>3222</v>
      </c>
      <c r="BD53" s="202" t="str">
        <f t="shared" si="11"/>
        <v>그랜드 스타렉스 Urban프리미엄</v>
      </c>
      <c r="BE53" s="261" t="str">
        <f t="shared" si="17"/>
        <v>0008</v>
      </c>
      <c r="BF53" s="407" t="s">
        <v>1051</v>
      </c>
      <c r="BG53" s="202" t="str">
        <f t="shared" si="12"/>
        <v>0008-0052</v>
      </c>
    </row>
    <row r="54" spans="1:59">
      <c r="A54" s="405">
        <v>3828</v>
      </c>
      <c r="B54" s="406">
        <v>3828</v>
      </c>
      <c r="C54" s="261" t="str">
        <f t="shared" si="13"/>
        <v>0005-0008</v>
      </c>
      <c r="D54" s="261" t="str">
        <f t="shared" si="14"/>
        <v>0005-0008-0002</v>
      </c>
      <c r="E54" s="407" t="s">
        <v>1050</v>
      </c>
      <c r="F54" s="261" t="str">
        <f>TEXT(VLOOKUP(J54,'[3]1'!$B$2:$D$37,2,0),"0000")</f>
        <v>0005</v>
      </c>
      <c r="G54" s="261" t="str">
        <f t="shared" si="15"/>
        <v>0008</v>
      </c>
      <c r="H54" s="408">
        <f t="shared" si="16"/>
        <v>2</v>
      </c>
      <c r="I54" s="407" t="s">
        <v>1050</v>
      </c>
      <c r="J54" s="258" t="s">
        <v>294</v>
      </c>
      <c r="K54" s="258" t="s">
        <v>2755</v>
      </c>
      <c r="L54" s="258" t="s">
        <v>2516</v>
      </c>
      <c r="M54" s="409">
        <v>30550000</v>
      </c>
      <c r="N54" s="258">
        <v>2497</v>
      </c>
      <c r="O54" s="258" t="s">
        <v>78</v>
      </c>
      <c r="P54" s="258" t="s">
        <v>73</v>
      </c>
      <c r="Q54" s="258" t="s">
        <v>72</v>
      </c>
      <c r="R54" s="258" t="e">
        <v>#N/A</v>
      </c>
      <c r="S54" s="410">
        <v>9</v>
      </c>
      <c r="T54" s="261">
        <v>6</v>
      </c>
      <c r="U54" s="261">
        <v>6</v>
      </c>
      <c r="V54" s="258" t="s">
        <v>3993</v>
      </c>
      <c r="W54" s="261" t="str">
        <f t="shared" si="18"/>
        <v>현대자동차그랜드 스타렉스 Urban프리미엄 스페셜 [4WD]30550000</v>
      </c>
      <c r="X54" s="411">
        <f t="shared" si="19"/>
        <v>3828</v>
      </c>
      <c r="Y54" s="261">
        <v>6</v>
      </c>
      <c r="Z54" s="261">
        <v>6</v>
      </c>
      <c r="AA54" s="407" t="s">
        <v>1050</v>
      </c>
      <c r="AB54" s="258" t="e">
        <v>#N/A</v>
      </c>
      <c r="AC54" s="258"/>
      <c r="AD54" s="258" t="s">
        <v>2132</v>
      </c>
      <c r="AE54" s="258" t="s">
        <v>2129</v>
      </c>
      <c r="AF54" s="259"/>
      <c r="AG54" s="260"/>
      <c r="AH54" s="259"/>
      <c r="AI54" s="259"/>
      <c r="AJ54" s="260"/>
      <c r="AK54" s="259">
        <v>26</v>
      </c>
      <c r="AL54" s="259"/>
      <c r="AM54" s="259" t="s">
        <v>3222</v>
      </c>
      <c r="AN54" s="449"/>
      <c r="AO54" s="449"/>
      <c r="AP54" s="449"/>
      <c r="AQ54" s="392" t="str">
        <f>IFERROR(VLOOKUP(BG54,#REF!,1,0),"")</f>
        <v/>
      </c>
      <c r="AS54" s="259" t="s">
        <v>3222</v>
      </c>
      <c r="BD54" s="202" t="str">
        <f t="shared" si="11"/>
        <v>그랜드 스타렉스 Urban프리미엄 스페셜 [4WD]</v>
      </c>
      <c r="BE54" s="261" t="str">
        <f t="shared" si="17"/>
        <v>0008</v>
      </c>
      <c r="BF54" s="407" t="s">
        <v>1050</v>
      </c>
      <c r="BG54" s="202" t="str">
        <f t="shared" si="12"/>
        <v>0008-0053</v>
      </c>
    </row>
    <row r="55" spans="1:59">
      <c r="A55" s="405">
        <v>3829</v>
      </c>
      <c r="B55" s="406">
        <v>3829</v>
      </c>
      <c r="C55" s="261" t="str">
        <f t="shared" si="13"/>
        <v>0005-0008</v>
      </c>
      <c r="D55" s="261" t="str">
        <f t="shared" si="14"/>
        <v>0005-0008-0003</v>
      </c>
      <c r="E55" s="407" t="s">
        <v>1049</v>
      </c>
      <c r="F55" s="261" t="str">
        <f>TEXT(VLOOKUP(J55,'[3]1'!$B$2:$D$37,2,0),"0000")</f>
        <v>0005</v>
      </c>
      <c r="G55" s="261" t="str">
        <f t="shared" si="15"/>
        <v>0008</v>
      </c>
      <c r="H55" s="408">
        <f t="shared" si="16"/>
        <v>3</v>
      </c>
      <c r="I55" s="407" t="s">
        <v>1049</v>
      </c>
      <c r="J55" s="258" t="s">
        <v>294</v>
      </c>
      <c r="K55" s="258" t="s">
        <v>2755</v>
      </c>
      <c r="L55" s="258" t="s">
        <v>2517</v>
      </c>
      <c r="M55" s="409">
        <v>32800000</v>
      </c>
      <c r="N55" s="258">
        <v>2497</v>
      </c>
      <c r="O55" s="258" t="s">
        <v>78</v>
      </c>
      <c r="P55" s="258" t="s">
        <v>73</v>
      </c>
      <c r="Q55" s="258" t="s">
        <v>72</v>
      </c>
      <c r="R55" s="258">
        <v>5</v>
      </c>
      <c r="S55" s="410">
        <v>9</v>
      </c>
      <c r="T55" s="261">
        <v>6</v>
      </c>
      <c r="U55" s="261">
        <v>6</v>
      </c>
      <c r="V55" s="258" t="s">
        <v>71</v>
      </c>
      <c r="W55" s="261" t="str">
        <f t="shared" si="18"/>
        <v>현대자동차그랜드 스타렉스 Urban익스클루시브 [4WD]32800000</v>
      </c>
      <c r="X55" s="411">
        <f t="shared" si="19"/>
        <v>3829</v>
      </c>
      <c r="Y55" s="261">
        <v>6</v>
      </c>
      <c r="Z55" s="261">
        <v>6</v>
      </c>
      <c r="AA55" s="407" t="s">
        <v>1049</v>
      </c>
      <c r="AB55" s="258" t="s">
        <v>73</v>
      </c>
      <c r="AC55" s="258"/>
      <c r="AD55" s="258" t="s">
        <v>2132</v>
      </c>
      <c r="AE55" s="258" t="s">
        <v>2129</v>
      </c>
      <c r="AF55" s="259"/>
      <c r="AG55" s="260"/>
      <c r="AH55" s="259"/>
      <c r="AI55" s="259"/>
      <c r="AJ55" s="260"/>
      <c r="AK55" s="259">
        <v>26</v>
      </c>
      <c r="AL55" s="259"/>
      <c r="AM55" s="259" t="s">
        <v>3222</v>
      </c>
      <c r="AN55" s="449"/>
      <c r="AO55" s="449"/>
      <c r="AP55" s="449"/>
      <c r="AQ55" s="392" t="str">
        <f>IFERROR(VLOOKUP(BG55,#REF!,1,0),"")</f>
        <v/>
      </c>
      <c r="AS55" s="259" t="s">
        <v>3222</v>
      </c>
      <c r="BD55" s="202" t="str">
        <f t="shared" si="11"/>
        <v>그랜드 스타렉스 Urban익스클루시브 [4WD]</v>
      </c>
      <c r="BE55" s="261" t="str">
        <f t="shared" si="17"/>
        <v>0008</v>
      </c>
      <c r="BF55" s="407" t="s">
        <v>1049</v>
      </c>
      <c r="BG55" s="202" t="str">
        <f t="shared" si="12"/>
        <v>0008-0054</v>
      </c>
    </row>
    <row r="56" spans="1:59">
      <c r="A56" s="405">
        <v>3830</v>
      </c>
      <c r="B56" s="406">
        <v>3830</v>
      </c>
      <c r="C56" s="261" t="str">
        <f t="shared" si="13"/>
        <v>0005-0008</v>
      </c>
      <c r="D56" s="261" t="str">
        <f t="shared" si="14"/>
        <v>0005-0008-0004</v>
      </c>
      <c r="E56" s="407" t="s">
        <v>1048</v>
      </c>
      <c r="F56" s="261" t="str">
        <f>TEXT(VLOOKUP(J56,'[3]1'!$B$2:$D$37,2,0),"0000")</f>
        <v>0005</v>
      </c>
      <c r="G56" s="261" t="str">
        <f t="shared" si="15"/>
        <v>0008</v>
      </c>
      <c r="H56" s="408">
        <f t="shared" si="16"/>
        <v>4</v>
      </c>
      <c r="I56" s="407" t="s">
        <v>1048</v>
      </c>
      <c r="J56" s="258" t="s">
        <v>294</v>
      </c>
      <c r="K56" s="258" t="s">
        <v>2755</v>
      </c>
      <c r="L56" s="258" t="s">
        <v>2518</v>
      </c>
      <c r="M56" s="409">
        <v>28650000</v>
      </c>
      <c r="N56" s="258">
        <v>2497</v>
      </c>
      <c r="O56" s="258" t="s">
        <v>78</v>
      </c>
      <c r="P56" s="258" t="s">
        <v>73</v>
      </c>
      <c r="Q56" s="258" t="s">
        <v>72</v>
      </c>
      <c r="R56" s="258" t="e">
        <v>#N/A</v>
      </c>
      <c r="S56" s="410">
        <v>9</v>
      </c>
      <c r="T56" s="261">
        <v>6</v>
      </c>
      <c r="U56" s="261">
        <v>6</v>
      </c>
      <c r="V56" s="258" t="s">
        <v>3993</v>
      </c>
      <c r="W56" s="261" t="str">
        <f t="shared" si="18"/>
        <v>현대자동차그랜드 스타렉스 Urban프리미엄 스페셜28650000</v>
      </c>
      <c r="X56" s="411">
        <f t="shared" si="19"/>
        <v>3830</v>
      </c>
      <c r="Y56" s="261">
        <v>6</v>
      </c>
      <c r="Z56" s="261">
        <v>6</v>
      </c>
      <c r="AA56" s="407" t="s">
        <v>1048</v>
      </c>
      <c r="AB56" s="258" t="e">
        <v>#N/A</v>
      </c>
      <c r="AC56" s="258"/>
      <c r="AD56" s="258" t="s">
        <v>2132</v>
      </c>
      <c r="AE56" s="258" t="s">
        <v>2129</v>
      </c>
      <c r="AF56" s="259"/>
      <c r="AG56" s="260"/>
      <c r="AH56" s="259"/>
      <c r="AI56" s="259"/>
      <c r="AJ56" s="260"/>
      <c r="AK56" s="259">
        <v>26</v>
      </c>
      <c r="AL56" s="259"/>
      <c r="AM56" s="259" t="s">
        <v>3222</v>
      </c>
      <c r="AN56" s="449"/>
      <c r="AO56" s="449"/>
      <c r="AP56" s="449"/>
      <c r="AQ56" s="392" t="str">
        <f>IFERROR(VLOOKUP(BG56,#REF!,1,0),"")</f>
        <v/>
      </c>
      <c r="AS56" s="259" t="s">
        <v>3222</v>
      </c>
      <c r="BD56" s="202" t="str">
        <f t="shared" si="11"/>
        <v>그랜드 스타렉스 Urban프리미엄 스페셜</v>
      </c>
      <c r="BE56" s="261" t="str">
        <f t="shared" si="17"/>
        <v>0008</v>
      </c>
      <c r="BF56" s="407" t="s">
        <v>1048</v>
      </c>
      <c r="BG56" s="202" t="str">
        <f t="shared" si="12"/>
        <v>0008-0055</v>
      </c>
    </row>
    <row r="57" spans="1:59">
      <c r="A57" s="405">
        <v>3831</v>
      </c>
      <c r="B57" s="406">
        <v>3831</v>
      </c>
      <c r="C57" s="261" t="str">
        <f t="shared" si="13"/>
        <v>0005-0008</v>
      </c>
      <c r="D57" s="261" t="str">
        <f t="shared" si="14"/>
        <v>0005-0008-0005</v>
      </c>
      <c r="E57" s="407" t="s">
        <v>1046</v>
      </c>
      <c r="F57" s="261" t="str">
        <f>TEXT(VLOOKUP(J57,'[3]1'!$B$2:$D$37,2,0),"0000")</f>
        <v>0005</v>
      </c>
      <c r="G57" s="261" t="str">
        <f t="shared" si="15"/>
        <v>0008</v>
      </c>
      <c r="H57" s="408">
        <f t="shared" si="16"/>
        <v>5</v>
      </c>
      <c r="I57" s="407" t="s">
        <v>1046</v>
      </c>
      <c r="J57" s="258" t="s">
        <v>294</v>
      </c>
      <c r="K57" s="258" t="s">
        <v>2755</v>
      </c>
      <c r="L57" s="258" t="s">
        <v>2519</v>
      </c>
      <c r="M57" s="409">
        <v>29100000</v>
      </c>
      <c r="N57" s="258">
        <v>2497</v>
      </c>
      <c r="O57" s="258" t="s">
        <v>78</v>
      </c>
      <c r="P57" s="258" t="s">
        <v>73</v>
      </c>
      <c r="Q57" s="258" t="s">
        <v>72</v>
      </c>
      <c r="R57" s="258" t="e">
        <v>#N/A</v>
      </c>
      <c r="S57" s="410">
        <v>9</v>
      </c>
      <c r="T57" s="261">
        <v>6</v>
      </c>
      <c r="U57" s="261">
        <v>6</v>
      </c>
      <c r="V57" s="258" t="s">
        <v>3993</v>
      </c>
      <c r="W57" s="261" t="str">
        <f t="shared" si="18"/>
        <v>현대자동차그랜드 스타렉스 Urban프리미엄 [4WD]29100000</v>
      </c>
      <c r="X57" s="411">
        <f t="shared" si="19"/>
        <v>3831</v>
      </c>
      <c r="Y57" s="261">
        <v>6</v>
      </c>
      <c r="Z57" s="261">
        <v>6</v>
      </c>
      <c r="AA57" s="407" t="s">
        <v>1046</v>
      </c>
      <c r="AB57" s="258" t="e">
        <v>#N/A</v>
      </c>
      <c r="AC57" s="258"/>
      <c r="AD57" s="258" t="s">
        <v>2132</v>
      </c>
      <c r="AE57" s="258" t="s">
        <v>2129</v>
      </c>
      <c r="AF57" s="259"/>
      <c r="AG57" s="260"/>
      <c r="AH57" s="259"/>
      <c r="AI57" s="259"/>
      <c r="AJ57" s="260"/>
      <c r="AK57" s="259">
        <v>26</v>
      </c>
      <c r="AL57" s="259"/>
      <c r="AM57" s="259" t="s">
        <v>3222</v>
      </c>
      <c r="AN57" s="449"/>
      <c r="AO57" s="449"/>
      <c r="AP57" s="449"/>
      <c r="AQ57" s="392" t="str">
        <f>IFERROR(VLOOKUP(BG57,#REF!,1,0),"")</f>
        <v/>
      </c>
      <c r="AS57" s="259" t="s">
        <v>3222</v>
      </c>
      <c r="BD57" s="202" t="str">
        <f t="shared" si="11"/>
        <v>그랜드 스타렉스 Urban프리미엄 [4WD]</v>
      </c>
      <c r="BE57" s="261" t="str">
        <f t="shared" si="17"/>
        <v>0008</v>
      </c>
      <c r="BF57" s="407" t="s">
        <v>1046</v>
      </c>
      <c r="BG57" s="202" t="str">
        <f t="shared" si="12"/>
        <v>0008-0056</v>
      </c>
    </row>
    <row r="58" spans="1:59">
      <c r="A58" s="405">
        <v>3832</v>
      </c>
      <c r="B58" s="406">
        <v>3832</v>
      </c>
      <c r="C58" s="261" t="str">
        <f t="shared" si="13"/>
        <v>0005-0008</v>
      </c>
      <c r="D58" s="261" t="str">
        <f t="shared" si="14"/>
        <v>0005-0008-0006</v>
      </c>
      <c r="E58" s="407" t="s">
        <v>1045</v>
      </c>
      <c r="F58" s="261" t="str">
        <f>TEXT(VLOOKUP(J58,'[3]1'!$B$2:$D$37,2,0),"0000")</f>
        <v>0005</v>
      </c>
      <c r="G58" s="261" t="str">
        <f t="shared" si="15"/>
        <v>0008</v>
      </c>
      <c r="H58" s="408">
        <f t="shared" si="16"/>
        <v>6</v>
      </c>
      <c r="I58" s="407" t="s">
        <v>1045</v>
      </c>
      <c r="J58" s="258" t="s">
        <v>294</v>
      </c>
      <c r="K58" s="258" t="s">
        <v>2755</v>
      </c>
      <c r="L58" s="258" t="s">
        <v>2520</v>
      </c>
      <c r="M58" s="409">
        <v>30900000</v>
      </c>
      <c r="N58" s="258">
        <v>2497</v>
      </c>
      <c r="O58" s="258" t="s">
        <v>78</v>
      </c>
      <c r="P58" s="258" t="s">
        <v>73</v>
      </c>
      <c r="Q58" s="258" t="s">
        <v>72</v>
      </c>
      <c r="R58" s="258">
        <v>5</v>
      </c>
      <c r="S58" s="410">
        <v>9</v>
      </c>
      <c r="T58" s="261">
        <v>6</v>
      </c>
      <c r="U58" s="261">
        <v>6</v>
      </c>
      <c r="V58" s="258" t="s">
        <v>71</v>
      </c>
      <c r="W58" s="261" t="str">
        <f t="shared" si="18"/>
        <v>현대자동차그랜드 스타렉스 Urban익스클루시브30900000</v>
      </c>
      <c r="X58" s="411">
        <f t="shared" si="19"/>
        <v>3832</v>
      </c>
      <c r="Y58" s="261">
        <v>6</v>
      </c>
      <c r="Z58" s="261">
        <v>6</v>
      </c>
      <c r="AA58" s="407" t="s">
        <v>1045</v>
      </c>
      <c r="AB58" s="258" t="s">
        <v>73</v>
      </c>
      <c r="AC58" s="258"/>
      <c r="AD58" s="258" t="s">
        <v>2132</v>
      </c>
      <c r="AE58" s="258" t="s">
        <v>2129</v>
      </c>
      <c r="AF58" s="259"/>
      <c r="AG58" s="260"/>
      <c r="AH58" s="259"/>
      <c r="AI58" s="259"/>
      <c r="AJ58" s="260"/>
      <c r="AK58" s="259">
        <v>26</v>
      </c>
      <c r="AL58" s="259"/>
      <c r="AM58" s="259" t="s">
        <v>3222</v>
      </c>
      <c r="AN58" s="449"/>
      <c r="AO58" s="449"/>
      <c r="AP58" s="449"/>
      <c r="AQ58" s="392" t="str">
        <f>IFERROR(VLOOKUP(BG58,#REF!,1,0),"")</f>
        <v/>
      </c>
      <c r="AS58" s="259" t="s">
        <v>3222</v>
      </c>
      <c r="BD58" s="202" t="str">
        <f t="shared" si="11"/>
        <v>그랜드 스타렉스 Urban익스클루시브</v>
      </c>
      <c r="BE58" s="261" t="str">
        <f t="shared" si="17"/>
        <v>0008</v>
      </c>
      <c r="BF58" s="407" t="s">
        <v>1045</v>
      </c>
      <c r="BG58" s="202" t="str">
        <f t="shared" si="12"/>
        <v>0008-0057</v>
      </c>
    </row>
    <row r="59" spans="1:59">
      <c r="A59" s="405">
        <v>3833</v>
      </c>
      <c r="B59" s="406">
        <v>3833</v>
      </c>
      <c r="C59" s="261" t="str">
        <f t="shared" si="13"/>
        <v>0005-0009</v>
      </c>
      <c r="D59" s="261" t="str">
        <f t="shared" si="14"/>
        <v>0005-0009-0001</v>
      </c>
      <c r="E59" s="407" t="s">
        <v>1044</v>
      </c>
      <c r="F59" s="261" t="str">
        <f>TEXT(VLOOKUP(J59,'[3]1'!$B$2:$D$37,2,0),"0000")</f>
        <v>0005</v>
      </c>
      <c r="G59" s="261" t="str">
        <f t="shared" si="15"/>
        <v>0009</v>
      </c>
      <c r="H59" s="408">
        <f t="shared" si="16"/>
        <v>1</v>
      </c>
      <c r="I59" s="407" t="s">
        <v>1044</v>
      </c>
      <c r="J59" s="258" t="s">
        <v>294</v>
      </c>
      <c r="K59" s="258" t="s">
        <v>2756</v>
      </c>
      <c r="L59" s="258" t="s">
        <v>2521</v>
      </c>
      <c r="M59" s="409">
        <v>24700000</v>
      </c>
      <c r="N59" s="258">
        <v>2497</v>
      </c>
      <c r="O59" s="258" t="s">
        <v>78</v>
      </c>
      <c r="P59" s="258" t="s">
        <v>86</v>
      </c>
      <c r="Q59" s="258" t="s">
        <v>72</v>
      </c>
      <c r="R59" s="258">
        <v>5</v>
      </c>
      <c r="S59" s="410">
        <v>9</v>
      </c>
      <c r="T59" s="261">
        <v>6</v>
      </c>
      <c r="U59" s="261">
        <v>6</v>
      </c>
      <c r="V59" s="258" t="s">
        <v>71</v>
      </c>
      <c r="W59" s="261" t="str">
        <f t="shared" si="18"/>
        <v>현대자동차그랜드 스타렉스 밴디젤 밴 2WD 3인승 모던 A/T24700000</v>
      </c>
      <c r="X59" s="411">
        <f t="shared" si="19"/>
        <v>3833</v>
      </c>
      <c r="Y59" s="261">
        <v>6</v>
      </c>
      <c r="Z59" s="261">
        <v>6</v>
      </c>
      <c r="AA59" s="407" t="s">
        <v>1044</v>
      </c>
      <c r="AB59" s="258" t="s">
        <v>73</v>
      </c>
      <c r="AC59" s="258"/>
      <c r="AD59" s="258" t="s">
        <v>2135</v>
      </c>
      <c r="AE59" s="258" t="s">
        <v>2129</v>
      </c>
      <c r="AF59" s="259"/>
      <c r="AG59" s="260"/>
      <c r="AH59" s="259"/>
      <c r="AI59" s="259"/>
      <c r="AJ59" s="260"/>
      <c r="AK59" s="259">
        <v>26</v>
      </c>
      <c r="AL59" s="259"/>
      <c r="AM59" s="259" t="s">
        <v>3222</v>
      </c>
      <c r="AN59" s="449"/>
      <c r="AO59" s="449"/>
      <c r="AP59" s="449"/>
      <c r="AQ59" s="392" t="str">
        <f>IFERROR(VLOOKUP(BG59,#REF!,1,0),"")</f>
        <v/>
      </c>
      <c r="AS59" s="259" t="s">
        <v>3222</v>
      </c>
      <c r="BD59" s="202" t="str">
        <f t="shared" si="11"/>
        <v>그랜드 스타렉스 밴디젤 밴 2WD 3인승 모던 A/T</v>
      </c>
      <c r="BE59" s="261" t="str">
        <f t="shared" si="17"/>
        <v>0009</v>
      </c>
      <c r="BF59" s="407" t="s">
        <v>1044</v>
      </c>
      <c r="BG59" s="202" t="str">
        <f t="shared" si="12"/>
        <v>0009-0058</v>
      </c>
    </row>
    <row r="60" spans="1:59">
      <c r="A60" s="405">
        <v>3834</v>
      </c>
      <c r="B60" s="406">
        <v>3834</v>
      </c>
      <c r="C60" s="261" t="str">
        <f t="shared" si="13"/>
        <v>0005-0009</v>
      </c>
      <c r="D60" s="261" t="str">
        <f t="shared" si="14"/>
        <v>0005-0009-0002</v>
      </c>
      <c r="E60" s="407" t="s">
        <v>1043</v>
      </c>
      <c r="F60" s="261" t="str">
        <f>TEXT(VLOOKUP(J60,'[3]1'!$B$2:$D$37,2,0),"0000")</f>
        <v>0005</v>
      </c>
      <c r="G60" s="261" t="str">
        <f t="shared" si="15"/>
        <v>0009</v>
      </c>
      <c r="H60" s="408">
        <f t="shared" si="16"/>
        <v>2</v>
      </c>
      <c r="I60" s="407" t="s">
        <v>1043</v>
      </c>
      <c r="J60" s="258" t="s">
        <v>294</v>
      </c>
      <c r="K60" s="258" t="s">
        <v>2756</v>
      </c>
      <c r="L60" s="258" t="s">
        <v>2522</v>
      </c>
      <c r="M60" s="409">
        <v>24620000</v>
      </c>
      <c r="N60" s="258">
        <v>2497</v>
      </c>
      <c r="O60" s="258" t="s">
        <v>78</v>
      </c>
      <c r="P60" s="258" t="s">
        <v>86</v>
      </c>
      <c r="Q60" s="258" t="s">
        <v>72</v>
      </c>
      <c r="R60" s="258">
        <v>5</v>
      </c>
      <c r="S60" s="410">
        <v>9</v>
      </c>
      <c r="T60" s="261">
        <v>6</v>
      </c>
      <c r="U60" s="261">
        <v>6</v>
      </c>
      <c r="V60" s="258" t="s">
        <v>71</v>
      </c>
      <c r="W60" s="261" t="str">
        <f t="shared" si="18"/>
        <v>현대자동차그랜드 스타렉스 밴디젤 밴 2WD 5인승 모던 A/T24620000</v>
      </c>
      <c r="X60" s="411">
        <f t="shared" si="19"/>
        <v>3834</v>
      </c>
      <c r="Y60" s="261">
        <v>6</v>
      </c>
      <c r="Z60" s="261">
        <v>6</v>
      </c>
      <c r="AA60" s="407" t="s">
        <v>1043</v>
      </c>
      <c r="AB60" s="258" t="s">
        <v>73</v>
      </c>
      <c r="AC60" s="258"/>
      <c r="AD60" s="258" t="s">
        <v>2135</v>
      </c>
      <c r="AE60" s="258" t="s">
        <v>2129</v>
      </c>
      <c r="AF60" s="259"/>
      <c r="AG60" s="260"/>
      <c r="AH60" s="259"/>
      <c r="AI60" s="259"/>
      <c r="AJ60" s="260"/>
      <c r="AK60" s="259">
        <v>26</v>
      </c>
      <c r="AL60" s="259"/>
      <c r="AM60" s="259" t="s">
        <v>3222</v>
      </c>
      <c r="AN60" s="449"/>
      <c r="AO60" s="449"/>
      <c r="AP60" s="449"/>
      <c r="AQ60" s="392" t="str">
        <f>IFERROR(VLOOKUP(BG60,#REF!,1,0),"")</f>
        <v/>
      </c>
      <c r="AS60" s="259" t="s">
        <v>3222</v>
      </c>
      <c r="BD60" s="202" t="str">
        <f t="shared" si="11"/>
        <v>그랜드 스타렉스 밴디젤 밴 2WD 5인승 모던 A/T</v>
      </c>
      <c r="BE60" s="261" t="str">
        <f t="shared" si="17"/>
        <v>0009</v>
      </c>
      <c r="BF60" s="407" t="s">
        <v>1043</v>
      </c>
      <c r="BG60" s="202" t="str">
        <f t="shared" si="12"/>
        <v>0009-0059</v>
      </c>
    </row>
    <row r="61" spans="1:59">
      <c r="A61" s="405">
        <v>3835</v>
      </c>
      <c r="B61" s="406">
        <v>3835</v>
      </c>
      <c r="C61" s="261" t="str">
        <f t="shared" si="13"/>
        <v>0005-0009</v>
      </c>
      <c r="D61" s="261" t="str">
        <f t="shared" si="14"/>
        <v>0005-0009-0003</v>
      </c>
      <c r="E61" s="407" t="s">
        <v>1042</v>
      </c>
      <c r="F61" s="261" t="str">
        <f>TEXT(VLOOKUP(J61,'[3]1'!$B$2:$D$37,2,0),"0000")</f>
        <v>0005</v>
      </c>
      <c r="G61" s="261" t="str">
        <f t="shared" si="15"/>
        <v>0009</v>
      </c>
      <c r="H61" s="408">
        <f t="shared" si="16"/>
        <v>3</v>
      </c>
      <c r="I61" s="407" t="s">
        <v>1042</v>
      </c>
      <c r="J61" s="258" t="s">
        <v>294</v>
      </c>
      <c r="K61" s="258" t="s">
        <v>2756</v>
      </c>
      <c r="L61" s="258" t="s">
        <v>2523</v>
      </c>
      <c r="M61" s="409">
        <v>25940000</v>
      </c>
      <c r="N61" s="258">
        <v>2497</v>
      </c>
      <c r="O61" s="258" t="s">
        <v>78</v>
      </c>
      <c r="P61" s="258" t="s">
        <v>86</v>
      </c>
      <c r="Q61" s="258" t="s">
        <v>88</v>
      </c>
      <c r="R61" s="258">
        <v>5</v>
      </c>
      <c r="S61" s="410">
        <v>9</v>
      </c>
      <c r="T61" s="261">
        <v>6</v>
      </c>
      <c r="U61" s="261">
        <v>6</v>
      </c>
      <c r="V61" s="258" t="s">
        <v>3993</v>
      </c>
      <c r="W61" s="261" t="str">
        <f t="shared" si="18"/>
        <v>현대자동차그랜드 스타렉스 밴디젤 밴 2WD 5인승 모던 M/T25940000</v>
      </c>
      <c r="X61" s="411">
        <f t="shared" si="19"/>
        <v>3835</v>
      </c>
      <c r="Y61" s="261">
        <v>6</v>
      </c>
      <c r="Z61" s="261">
        <v>6</v>
      </c>
      <c r="AA61" s="407" t="s">
        <v>1042</v>
      </c>
      <c r="AB61" s="258" t="e">
        <v>#N/A</v>
      </c>
      <c r="AC61" s="258"/>
      <c r="AD61" s="258" t="s">
        <v>2135</v>
      </c>
      <c r="AE61" s="258" t="s">
        <v>2129</v>
      </c>
      <c r="AF61" s="259"/>
      <c r="AG61" s="260"/>
      <c r="AH61" s="259"/>
      <c r="AI61" s="259"/>
      <c r="AJ61" s="260"/>
      <c r="AK61" s="259">
        <v>26</v>
      </c>
      <c r="AL61" s="259"/>
      <c r="AM61" s="259" t="s">
        <v>3222</v>
      </c>
      <c r="AN61" s="449"/>
      <c r="AO61" s="449"/>
      <c r="AP61" s="449"/>
      <c r="AQ61" s="392" t="str">
        <f>IFERROR(VLOOKUP(BG61,#REF!,1,0),"")</f>
        <v/>
      </c>
      <c r="AS61" s="259" t="s">
        <v>3222</v>
      </c>
      <c r="BD61" s="202" t="str">
        <f t="shared" si="11"/>
        <v>그랜드 스타렉스 밴디젤 밴 2WD 5인승 모던 M/T</v>
      </c>
      <c r="BE61" s="261" t="str">
        <f t="shared" si="17"/>
        <v>0009</v>
      </c>
      <c r="BF61" s="407" t="s">
        <v>1042</v>
      </c>
      <c r="BG61" s="202" t="str">
        <f t="shared" si="12"/>
        <v>0009-0060</v>
      </c>
    </row>
    <row r="62" spans="1:59">
      <c r="A62" s="405">
        <v>3836</v>
      </c>
      <c r="B62" s="406">
        <v>3836</v>
      </c>
      <c r="C62" s="261" t="str">
        <f t="shared" si="13"/>
        <v>0005-0009</v>
      </c>
      <c r="D62" s="261" t="str">
        <f t="shared" si="14"/>
        <v>0005-0009-0004</v>
      </c>
      <c r="E62" s="407" t="s">
        <v>1041</v>
      </c>
      <c r="F62" s="261" t="str">
        <f>TEXT(VLOOKUP(J62,'[3]1'!$B$2:$D$37,2,0),"0000")</f>
        <v>0005</v>
      </c>
      <c r="G62" s="261" t="str">
        <f t="shared" si="15"/>
        <v>0009</v>
      </c>
      <c r="H62" s="408">
        <f t="shared" si="16"/>
        <v>4</v>
      </c>
      <c r="I62" s="407" t="s">
        <v>1041</v>
      </c>
      <c r="J62" s="258" t="s">
        <v>294</v>
      </c>
      <c r="K62" s="258" t="s">
        <v>2756</v>
      </c>
      <c r="L62" s="258" t="s">
        <v>2524</v>
      </c>
      <c r="M62" s="409">
        <v>21050000</v>
      </c>
      <c r="N62" s="258">
        <v>2497</v>
      </c>
      <c r="O62" s="258" t="s">
        <v>78</v>
      </c>
      <c r="P62" s="258" t="s">
        <v>86</v>
      </c>
      <c r="Q62" s="258" t="s">
        <v>88</v>
      </c>
      <c r="R62" s="258">
        <v>5</v>
      </c>
      <c r="S62" s="410">
        <v>9</v>
      </c>
      <c r="T62" s="261">
        <v>6</v>
      </c>
      <c r="U62" s="261">
        <v>6</v>
      </c>
      <c r="V62" s="258" t="s">
        <v>3993</v>
      </c>
      <c r="W62" s="261" t="str">
        <f t="shared" si="18"/>
        <v>현대자동차그랜드 스타렉스 밴디젤 밴 2WD 5인승 기본형 M/T21050000</v>
      </c>
      <c r="X62" s="411">
        <f t="shared" si="19"/>
        <v>3836</v>
      </c>
      <c r="Y62" s="261">
        <v>6</v>
      </c>
      <c r="Z62" s="261">
        <v>6</v>
      </c>
      <c r="AA62" s="407" t="s">
        <v>1041</v>
      </c>
      <c r="AB62" s="258" t="e">
        <v>#N/A</v>
      </c>
      <c r="AC62" s="258"/>
      <c r="AD62" s="258" t="s">
        <v>2135</v>
      </c>
      <c r="AE62" s="258" t="s">
        <v>2129</v>
      </c>
      <c r="AF62" s="259"/>
      <c r="AG62" s="260"/>
      <c r="AH62" s="259"/>
      <c r="AI62" s="259"/>
      <c r="AJ62" s="260"/>
      <c r="AK62" s="259">
        <v>26</v>
      </c>
      <c r="AL62" s="259"/>
      <c r="AM62" s="259" t="s">
        <v>3222</v>
      </c>
      <c r="AN62" s="449"/>
      <c r="AO62" s="449"/>
      <c r="AP62" s="449"/>
      <c r="AQ62" s="392" t="str">
        <f>IFERROR(VLOOKUP(BG62,#REF!,1,0),"")</f>
        <v/>
      </c>
      <c r="AS62" s="259" t="s">
        <v>3222</v>
      </c>
      <c r="BD62" s="202" t="str">
        <f t="shared" si="11"/>
        <v>그랜드 스타렉스 밴디젤 밴 2WD 5인승 기본형 M/T</v>
      </c>
      <c r="BE62" s="261" t="str">
        <f t="shared" si="17"/>
        <v>0009</v>
      </c>
      <c r="BF62" s="407" t="s">
        <v>1041</v>
      </c>
      <c r="BG62" s="202" t="str">
        <f t="shared" si="12"/>
        <v>0009-0061</v>
      </c>
    </row>
    <row r="63" spans="1:59">
      <c r="A63" s="405">
        <v>3837</v>
      </c>
      <c r="B63" s="406">
        <v>3837</v>
      </c>
      <c r="C63" s="261" t="str">
        <f t="shared" si="13"/>
        <v>0005-0009</v>
      </c>
      <c r="D63" s="261" t="str">
        <f t="shared" si="14"/>
        <v>0005-0009-0005</v>
      </c>
      <c r="E63" s="407" t="s">
        <v>1040</v>
      </c>
      <c r="F63" s="261" t="str">
        <f>TEXT(VLOOKUP(J63,'[3]1'!$B$2:$D$37,2,0),"0000")</f>
        <v>0005</v>
      </c>
      <c r="G63" s="261" t="str">
        <f t="shared" si="15"/>
        <v>0009</v>
      </c>
      <c r="H63" s="408">
        <f t="shared" si="16"/>
        <v>5</v>
      </c>
      <c r="I63" s="407" t="s">
        <v>1040</v>
      </c>
      <c r="J63" s="258" t="s">
        <v>294</v>
      </c>
      <c r="K63" s="258" t="s">
        <v>2756</v>
      </c>
      <c r="L63" s="258" t="s">
        <v>2525</v>
      </c>
      <c r="M63" s="409">
        <v>21100000</v>
      </c>
      <c r="N63" s="258">
        <v>2497</v>
      </c>
      <c r="O63" s="258" t="s">
        <v>78</v>
      </c>
      <c r="P63" s="258" t="s">
        <v>86</v>
      </c>
      <c r="Q63" s="258" t="s">
        <v>88</v>
      </c>
      <c r="R63" s="258">
        <v>3</v>
      </c>
      <c r="S63" s="410">
        <v>9</v>
      </c>
      <c r="T63" s="261">
        <v>6</v>
      </c>
      <c r="U63" s="261">
        <v>6</v>
      </c>
      <c r="V63" s="258" t="s">
        <v>3993</v>
      </c>
      <c r="W63" s="261" t="str">
        <f t="shared" si="18"/>
        <v>현대자동차그랜드 스타렉스 밴디젤 밴 2WD 3인승 스마트 M/T21100000</v>
      </c>
      <c r="X63" s="411">
        <f t="shared" si="19"/>
        <v>3837</v>
      </c>
      <c r="Y63" s="261">
        <v>6</v>
      </c>
      <c r="Z63" s="261">
        <v>6</v>
      </c>
      <c r="AA63" s="407" t="s">
        <v>1040</v>
      </c>
      <c r="AB63" s="258" t="e">
        <v>#N/A</v>
      </c>
      <c r="AC63" s="258"/>
      <c r="AD63" s="258" t="s">
        <v>2135</v>
      </c>
      <c r="AE63" s="258" t="s">
        <v>2129</v>
      </c>
      <c r="AF63" s="259"/>
      <c r="AG63" s="260"/>
      <c r="AH63" s="259"/>
      <c r="AI63" s="259"/>
      <c r="AJ63" s="260"/>
      <c r="AK63" s="259">
        <v>26</v>
      </c>
      <c r="AL63" s="259"/>
      <c r="AM63" s="259" t="s">
        <v>3222</v>
      </c>
      <c r="AN63" s="449"/>
      <c r="AO63" s="449"/>
      <c r="AP63" s="449"/>
      <c r="AQ63" s="392" t="str">
        <f>IFERROR(VLOOKUP(BG63,#REF!,1,0),"")</f>
        <v/>
      </c>
      <c r="AS63" s="259" t="s">
        <v>3222</v>
      </c>
      <c r="BD63" s="202" t="str">
        <f t="shared" si="11"/>
        <v>그랜드 스타렉스 밴디젤 밴 2WD 3인승 스마트 M/T</v>
      </c>
      <c r="BE63" s="261" t="str">
        <f t="shared" si="17"/>
        <v>0009</v>
      </c>
      <c r="BF63" s="407" t="s">
        <v>1040</v>
      </c>
      <c r="BG63" s="202" t="str">
        <f t="shared" si="12"/>
        <v>0009-0062</v>
      </c>
    </row>
    <row r="64" spans="1:59">
      <c r="A64" s="405">
        <v>3838</v>
      </c>
      <c r="B64" s="406">
        <v>3838</v>
      </c>
      <c r="C64" s="261" t="str">
        <f t="shared" si="13"/>
        <v>0005-0009</v>
      </c>
      <c r="D64" s="261" t="str">
        <f t="shared" si="14"/>
        <v>0005-0009-0006</v>
      </c>
      <c r="E64" s="407" t="s">
        <v>1039</v>
      </c>
      <c r="F64" s="261" t="str">
        <f>TEXT(VLOOKUP(J64,'[3]1'!$B$2:$D$37,2,0),"0000")</f>
        <v>0005</v>
      </c>
      <c r="G64" s="261" t="str">
        <f t="shared" si="15"/>
        <v>0009</v>
      </c>
      <c r="H64" s="408">
        <f t="shared" si="16"/>
        <v>6</v>
      </c>
      <c r="I64" s="407" t="s">
        <v>1039</v>
      </c>
      <c r="J64" s="258" t="s">
        <v>294</v>
      </c>
      <c r="K64" s="258" t="s">
        <v>2756</v>
      </c>
      <c r="L64" s="258" t="s">
        <v>2526</v>
      </c>
      <c r="M64" s="409">
        <v>23400000</v>
      </c>
      <c r="N64" s="258">
        <v>2497</v>
      </c>
      <c r="O64" s="258" t="s">
        <v>78</v>
      </c>
      <c r="P64" s="258" t="s">
        <v>86</v>
      </c>
      <c r="Q64" s="258" t="s">
        <v>72</v>
      </c>
      <c r="R64" s="258">
        <v>5</v>
      </c>
      <c r="S64" s="410">
        <v>9</v>
      </c>
      <c r="T64" s="261">
        <v>6</v>
      </c>
      <c r="U64" s="261">
        <v>6</v>
      </c>
      <c r="V64" s="258" t="s">
        <v>3993</v>
      </c>
      <c r="W64" s="261" t="str">
        <f t="shared" si="18"/>
        <v>현대자동차그랜드 스타렉스 밴디젤 밴 2WD 5인승 스마트 A/T23400000</v>
      </c>
      <c r="X64" s="411">
        <f t="shared" si="19"/>
        <v>3838</v>
      </c>
      <c r="Y64" s="261">
        <v>6</v>
      </c>
      <c r="Z64" s="261">
        <v>6</v>
      </c>
      <c r="AA64" s="407" t="s">
        <v>1039</v>
      </c>
      <c r="AB64" s="258" t="e">
        <v>#N/A</v>
      </c>
      <c r="AC64" s="258"/>
      <c r="AD64" s="258" t="s">
        <v>2135</v>
      </c>
      <c r="AE64" s="258" t="s">
        <v>2129</v>
      </c>
      <c r="AF64" s="259"/>
      <c r="AG64" s="260"/>
      <c r="AH64" s="259"/>
      <c r="AI64" s="259"/>
      <c r="AJ64" s="260"/>
      <c r="AK64" s="259">
        <v>26</v>
      </c>
      <c r="AL64" s="259"/>
      <c r="AM64" s="259" t="s">
        <v>3222</v>
      </c>
      <c r="AN64" s="449"/>
      <c r="AO64" s="449"/>
      <c r="AP64" s="449"/>
      <c r="AQ64" s="392" t="str">
        <f>IFERROR(VLOOKUP(BG64,#REF!,1,0),"")</f>
        <v/>
      </c>
      <c r="AS64" s="259" t="s">
        <v>3222</v>
      </c>
      <c r="BD64" s="202" t="str">
        <f t="shared" si="11"/>
        <v>그랜드 스타렉스 밴디젤 밴 2WD 5인승 스마트 A/T</v>
      </c>
      <c r="BE64" s="261" t="str">
        <f t="shared" si="17"/>
        <v>0009</v>
      </c>
      <c r="BF64" s="407" t="s">
        <v>1039</v>
      </c>
      <c r="BG64" s="202" t="str">
        <f t="shared" si="12"/>
        <v>0009-0063</v>
      </c>
    </row>
    <row r="65" spans="1:59">
      <c r="A65" s="405">
        <v>3839</v>
      </c>
      <c r="B65" s="406">
        <v>3839</v>
      </c>
      <c r="C65" s="261" t="str">
        <f t="shared" si="13"/>
        <v>0005-0009</v>
      </c>
      <c r="D65" s="261" t="str">
        <f t="shared" si="14"/>
        <v>0005-0009-0007</v>
      </c>
      <c r="E65" s="407" t="s">
        <v>1038</v>
      </c>
      <c r="F65" s="261" t="str">
        <f>TEXT(VLOOKUP(J65,'[3]1'!$B$2:$D$37,2,0),"0000")</f>
        <v>0005</v>
      </c>
      <c r="G65" s="261" t="str">
        <f t="shared" si="15"/>
        <v>0009</v>
      </c>
      <c r="H65" s="408">
        <f t="shared" si="16"/>
        <v>7</v>
      </c>
      <c r="I65" s="407" t="s">
        <v>1038</v>
      </c>
      <c r="J65" s="258" t="s">
        <v>294</v>
      </c>
      <c r="K65" s="258" t="s">
        <v>2756</v>
      </c>
      <c r="L65" s="258" t="s">
        <v>2527</v>
      </c>
      <c r="M65" s="409">
        <v>21550000</v>
      </c>
      <c r="N65" s="258">
        <v>2497</v>
      </c>
      <c r="O65" s="258" t="s">
        <v>78</v>
      </c>
      <c r="P65" s="258" t="s">
        <v>86</v>
      </c>
      <c r="Q65" s="258" t="s">
        <v>88</v>
      </c>
      <c r="R65" s="258">
        <v>5</v>
      </c>
      <c r="S65" s="410">
        <v>9</v>
      </c>
      <c r="T65" s="261">
        <v>6</v>
      </c>
      <c r="U65" s="261">
        <v>6</v>
      </c>
      <c r="V65" s="258" t="s">
        <v>3993</v>
      </c>
      <c r="W65" s="261" t="str">
        <f t="shared" si="18"/>
        <v>현대자동차그랜드 스타렉스 밴디젤 밴 2WD 5인승 스마트 M/T21550000</v>
      </c>
      <c r="X65" s="411">
        <f t="shared" si="19"/>
        <v>3839</v>
      </c>
      <c r="Y65" s="261">
        <v>6</v>
      </c>
      <c r="Z65" s="261">
        <v>6</v>
      </c>
      <c r="AA65" s="407" t="s">
        <v>1038</v>
      </c>
      <c r="AB65" s="258" t="e">
        <v>#N/A</v>
      </c>
      <c r="AC65" s="258"/>
      <c r="AD65" s="258" t="s">
        <v>2135</v>
      </c>
      <c r="AE65" s="258" t="s">
        <v>2129</v>
      </c>
      <c r="AF65" s="259"/>
      <c r="AG65" s="260"/>
      <c r="AH65" s="259"/>
      <c r="AI65" s="259"/>
      <c r="AJ65" s="260"/>
      <c r="AK65" s="259">
        <v>26</v>
      </c>
      <c r="AL65" s="259"/>
      <c r="AM65" s="259" t="s">
        <v>3222</v>
      </c>
      <c r="AN65" s="449"/>
      <c r="AO65" s="449"/>
      <c r="AP65" s="449"/>
      <c r="AQ65" s="392" t="str">
        <f>IFERROR(VLOOKUP(BG65,#REF!,1,0),"")</f>
        <v/>
      </c>
      <c r="AS65" s="259" t="s">
        <v>3222</v>
      </c>
      <c r="BD65" s="202" t="str">
        <f t="shared" si="11"/>
        <v>그랜드 스타렉스 밴디젤 밴 2WD 5인승 스마트 M/T</v>
      </c>
      <c r="BE65" s="261" t="str">
        <f t="shared" si="17"/>
        <v>0009</v>
      </c>
      <c r="BF65" s="407" t="s">
        <v>1038</v>
      </c>
      <c r="BG65" s="202" t="str">
        <f t="shared" si="12"/>
        <v>0009-0064</v>
      </c>
    </row>
    <row r="66" spans="1:59">
      <c r="A66" s="405">
        <v>3840</v>
      </c>
      <c r="B66" s="406">
        <v>3840</v>
      </c>
      <c r="C66" s="261" t="str">
        <f t="shared" si="13"/>
        <v>0005-0009</v>
      </c>
      <c r="D66" s="261" t="str">
        <f t="shared" si="14"/>
        <v>0005-0009-0008</v>
      </c>
      <c r="E66" s="407" t="s">
        <v>1037</v>
      </c>
      <c r="F66" s="261" t="str">
        <f>TEXT(VLOOKUP(J66,'[3]1'!$B$2:$D$37,2,0),"0000")</f>
        <v>0005</v>
      </c>
      <c r="G66" s="261" t="str">
        <f t="shared" si="15"/>
        <v>0009</v>
      </c>
      <c r="H66" s="408">
        <f t="shared" si="16"/>
        <v>8</v>
      </c>
      <c r="I66" s="407" t="s">
        <v>1037</v>
      </c>
      <c r="J66" s="258" t="s">
        <v>294</v>
      </c>
      <c r="K66" s="258" t="s">
        <v>2756</v>
      </c>
      <c r="L66" s="258" t="s">
        <v>2528</v>
      </c>
      <c r="M66" s="409">
        <v>22950000</v>
      </c>
      <c r="N66" s="258">
        <v>2497</v>
      </c>
      <c r="O66" s="258" t="s">
        <v>78</v>
      </c>
      <c r="P66" s="258" t="s">
        <v>86</v>
      </c>
      <c r="Q66" s="258" t="s">
        <v>72</v>
      </c>
      <c r="R66" s="258">
        <v>4</v>
      </c>
      <c r="S66" s="410">
        <v>9</v>
      </c>
      <c r="T66" s="261">
        <v>6</v>
      </c>
      <c r="U66" s="261">
        <v>6</v>
      </c>
      <c r="V66" s="258" t="s">
        <v>71</v>
      </c>
      <c r="W66" s="261" t="str">
        <f t="shared" si="18"/>
        <v>현대자동차그랜드 스타렉스 밴디젤 밴 2WD 3인승 스마트 A/T22950000</v>
      </c>
      <c r="X66" s="411">
        <f t="shared" si="19"/>
        <v>3840</v>
      </c>
      <c r="Y66" s="261">
        <v>6</v>
      </c>
      <c r="Z66" s="261">
        <v>6</v>
      </c>
      <c r="AA66" s="407" t="s">
        <v>1037</v>
      </c>
      <c r="AB66" s="258" t="s">
        <v>73</v>
      </c>
      <c r="AC66" s="258"/>
      <c r="AD66" s="258" t="s">
        <v>2135</v>
      </c>
      <c r="AE66" s="258" t="s">
        <v>2129</v>
      </c>
      <c r="AF66" s="259"/>
      <c r="AG66" s="260"/>
      <c r="AH66" s="259"/>
      <c r="AI66" s="259"/>
      <c r="AJ66" s="260"/>
      <c r="AK66" s="259">
        <v>26</v>
      </c>
      <c r="AL66" s="259"/>
      <c r="AM66" s="259" t="s">
        <v>3222</v>
      </c>
      <c r="AN66" s="449"/>
      <c r="AO66" s="449"/>
      <c r="AP66" s="449"/>
      <c r="AQ66" s="392" t="str">
        <f>IFERROR(VLOOKUP(BG66,#REF!,1,0),"")</f>
        <v/>
      </c>
      <c r="AS66" s="259" t="s">
        <v>3222</v>
      </c>
      <c r="BD66" s="202" t="str">
        <f t="shared" si="11"/>
        <v>그랜드 스타렉스 밴디젤 밴 2WD 3인승 스마트 A/T</v>
      </c>
      <c r="BE66" s="261" t="str">
        <f t="shared" si="17"/>
        <v>0009</v>
      </c>
      <c r="BF66" s="407" t="s">
        <v>1037</v>
      </c>
      <c r="BG66" s="202" t="str">
        <f t="shared" si="12"/>
        <v>0009-0065</v>
      </c>
    </row>
    <row r="67" spans="1:59">
      <c r="A67" s="405">
        <v>3841</v>
      </c>
      <c r="B67" s="406">
        <v>3841</v>
      </c>
      <c r="C67" s="261" t="str">
        <f t="shared" si="13"/>
        <v>0005-0009</v>
      </c>
      <c r="D67" s="261" t="str">
        <f t="shared" si="14"/>
        <v>0005-0009-0009</v>
      </c>
      <c r="E67" s="407" t="s">
        <v>1036</v>
      </c>
      <c r="F67" s="261" t="str">
        <f>TEXT(VLOOKUP(J67,'[3]1'!$B$2:$D$37,2,0),"0000")</f>
        <v>0005</v>
      </c>
      <c r="G67" s="261" t="str">
        <f t="shared" si="15"/>
        <v>0009</v>
      </c>
      <c r="H67" s="408">
        <f t="shared" si="16"/>
        <v>9</v>
      </c>
      <c r="I67" s="407" t="s">
        <v>1036</v>
      </c>
      <c r="J67" s="258" t="s">
        <v>294</v>
      </c>
      <c r="K67" s="258" t="s">
        <v>2756</v>
      </c>
      <c r="L67" s="258" t="s">
        <v>2529</v>
      </c>
      <c r="M67" s="409">
        <v>20600000</v>
      </c>
      <c r="N67" s="258">
        <v>2497</v>
      </c>
      <c r="O67" s="258" t="s">
        <v>78</v>
      </c>
      <c r="P67" s="258" t="s">
        <v>86</v>
      </c>
      <c r="Q67" s="258" t="s">
        <v>88</v>
      </c>
      <c r="R67" s="258">
        <v>3</v>
      </c>
      <c r="S67" s="410">
        <v>9</v>
      </c>
      <c r="T67" s="261">
        <v>6</v>
      </c>
      <c r="U67" s="261">
        <v>6</v>
      </c>
      <c r="V67" s="258" t="s">
        <v>3993</v>
      </c>
      <c r="W67" s="261" t="str">
        <f t="shared" si="18"/>
        <v>현대자동차그랜드 스타렉스 밴디젤 밴 2WD 3인승 기본형 M/T20600000</v>
      </c>
      <c r="X67" s="411">
        <f t="shared" si="19"/>
        <v>3841</v>
      </c>
      <c r="Y67" s="261">
        <v>6</v>
      </c>
      <c r="Z67" s="261">
        <v>6</v>
      </c>
      <c r="AA67" s="407" t="s">
        <v>1036</v>
      </c>
      <c r="AB67" s="258" t="e">
        <v>#N/A</v>
      </c>
      <c r="AC67" s="258"/>
      <c r="AD67" s="258" t="s">
        <v>2135</v>
      </c>
      <c r="AE67" s="258" t="s">
        <v>2129</v>
      </c>
      <c r="AF67" s="259"/>
      <c r="AG67" s="260"/>
      <c r="AH67" s="259"/>
      <c r="AI67" s="259"/>
      <c r="AJ67" s="260"/>
      <c r="AK67" s="259">
        <v>26</v>
      </c>
      <c r="AL67" s="259"/>
      <c r="AM67" s="259" t="s">
        <v>3222</v>
      </c>
      <c r="AN67" s="449"/>
      <c r="AO67" s="449"/>
      <c r="AP67" s="449"/>
      <c r="AQ67" s="392" t="str">
        <f>IFERROR(VLOOKUP(BG67,#REF!,1,0),"")</f>
        <v/>
      </c>
      <c r="AS67" s="259" t="s">
        <v>3222</v>
      </c>
      <c r="BD67" s="202" t="str">
        <f t="shared" si="11"/>
        <v>그랜드 스타렉스 밴디젤 밴 2WD 3인승 기본형 M/T</v>
      </c>
      <c r="BE67" s="261" t="str">
        <f t="shared" si="17"/>
        <v>0009</v>
      </c>
      <c r="BF67" s="407" t="s">
        <v>1036</v>
      </c>
      <c r="BG67" s="202" t="str">
        <f t="shared" si="12"/>
        <v>0009-0066</v>
      </c>
    </row>
    <row r="68" spans="1:59">
      <c r="A68" s="405">
        <v>3842</v>
      </c>
      <c r="B68" s="406">
        <v>3842</v>
      </c>
      <c r="C68" s="261" t="str">
        <f t="shared" si="13"/>
        <v>0005-0009</v>
      </c>
      <c r="D68" s="261" t="str">
        <f t="shared" si="14"/>
        <v>0005-0009-0010</v>
      </c>
      <c r="E68" s="407" t="s">
        <v>1035</v>
      </c>
      <c r="F68" s="261" t="str">
        <f>TEXT(VLOOKUP(J68,'[3]1'!$B$2:$D$37,2,0),"0000")</f>
        <v>0005</v>
      </c>
      <c r="G68" s="261" t="str">
        <f t="shared" si="15"/>
        <v>0009</v>
      </c>
      <c r="H68" s="408">
        <f t="shared" si="16"/>
        <v>10</v>
      </c>
      <c r="I68" s="407" t="s">
        <v>1035</v>
      </c>
      <c r="J68" s="258" t="s">
        <v>294</v>
      </c>
      <c r="K68" s="258" t="s">
        <v>2756</v>
      </c>
      <c r="L68" s="258" t="s">
        <v>2530</v>
      </c>
      <c r="M68" s="409">
        <v>22450000</v>
      </c>
      <c r="N68" s="258">
        <v>2497</v>
      </c>
      <c r="O68" s="258" t="s">
        <v>78</v>
      </c>
      <c r="P68" s="258" t="s">
        <v>86</v>
      </c>
      <c r="Q68" s="258" t="s">
        <v>72</v>
      </c>
      <c r="R68" s="258">
        <v>3</v>
      </c>
      <c r="S68" s="410">
        <v>9</v>
      </c>
      <c r="T68" s="261">
        <v>6</v>
      </c>
      <c r="U68" s="261">
        <v>6</v>
      </c>
      <c r="V68" s="258" t="s">
        <v>3993</v>
      </c>
      <c r="W68" s="261" t="str">
        <f t="shared" si="18"/>
        <v>현대자동차그랜드 스타렉스 밴디젤 밴 2WD 3인승 기본형 A/T22450000</v>
      </c>
      <c r="X68" s="411">
        <f t="shared" si="19"/>
        <v>3842</v>
      </c>
      <c r="Y68" s="261">
        <v>6</v>
      </c>
      <c r="Z68" s="261">
        <v>6</v>
      </c>
      <c r="AA68" s="407" t="s">
        <v>1035</v>
      </c>
      <c r="AB68" s="258" t="e">
        <v>#N/A</v>
      </c>
      <c r="AC68" s="258"/>
      <c r="AD68" s="258" t="s">
        <v>2135</v>
      </c>
      <c r="AE68" s="258" t="s">
        <v>2129</v>
      </c>
      <c r="AF68" s="259"/>
      <c r="AG68" s="260"/>
      <c r="AH68" s="259"/>
      <c r="AI68" s="259"/>
      <c r="AJ68" s="260"/>
      <c r="AK68" s="259">
        <v>26</v>
      </c>
      <c r="AL68" s="259"/>
      <c r="AM68" s="259" t="s">
        <v>3222</v>
      </c>
      <c r="AN68" s="449"/>
      <c r="AO68" s="449"/>
      <c r="AP68" s="449"/>
      <c r="AQ68" s="392" t="str">
        <f>IFERROR(VLOOKUP(BG68,#REF!,1,0),"")</f>
        <v/>
      </c>
      <c r="AS68" s="259" t="s">
        <v>3222</v>
      </c>
      <c r="BD68" s="202" t="str">
        <f t="shared" si="11"/>
        <v>그랜드 스타렉스 밴디젤 밴 2WD 3인승 기본형 A/T</v>
      </c>
      <c r="BE68" s="261" t="str">
        <f t="shared" si="17"/>
        <v>0009</v>
      </c>
      <c r="BF68" s="407" t="s">
        <v>1035</v>
      </c>
      <c r="BG68" s="202" t="str">
        <f t="shared" si="12"/>
        <v>0009-0067</v>
      </c>
    </row>
    <row r="69" spans="1:59">
      <c r="A69" s="405">
        <v>3843</v>
      </c>
      <c r="B69" s="406">
        <v>3843</v>
      </c>
      <c r="C69" s="261" t="str">
        <f t="shared" si="13"/>
        <v>0005-0009</v>
      </c>
      <c r="D69" s="261" t="str">
        <f t="shared" si="14"/>
        <v>0005-0009-0011</v>
      </c>
      <c r="E69" s="407" t="s">
        <v>1034</v>
      </c>
      <c r="F69" s="261" t="str">
        <f>TEXT(VLOOKUP(J69,'[3]1'!$B$2:$D$37,2,0),"0000")</f>
        <v>0005</v>
      </c>
      <c r="G69" s="261" t="str">
        <f t="shared" si="15"/>
        <v>0009</v>
      </c>
      <c r="H69" s="408">
        <f t="shared" si="16"/>
        <v>11</v>
      </c>
      <c r="I69" s="407" t="s">
        <v>1034</v>
      </c>
      <c r="J69" s="258" t="s">
        <v>294</v>
      </c>
      <c r="K69" s="258" t="s">
        <v>2756</v>
      </c>
      <c r="L69" s="258" t="s">
        <v>2531</v>
      </c>
      <c r="M69" s="409">
        <v>22900000</v>
      </c>
      <c r="N69" s="258">
        <v>2497</v>
      </c>
      <c r="O69" s="258" t="s">
        <v>78</v>
      </c>
      <c r="P69" s="258" t="s">
        <v>86</v>
      </c>
      <c r="Q69" s="258" t="s">
        <v>72</v>
      </c>
      <c r="R69" s="258">
        <v>5</v>
      </c>
      <c r="S69" s="410">
        <v>9</v>
      </c>
      <c r="T69" s="261">
        <v>6</v>
      </c>
      <c r="U69" s="261">
        <v>6</v>
      </c>
      <c r="V69" s="258" t="s">
        <v>3993</v>
      </c>
      <c r="W69" s="261" t="str">
        <f t="shared" si="18"/>
        <v>현대자동차그랜드 스타렉스 밴디젤 밴 2WD 5인승 기본형 A/T22900000</v>
      </c>
      <c r="X69" s="411">
        <f t="shared" si="19"/>
        <v>3843</v>
      </c>
      <c r="Y69" s="261">
        <v>6</v>
      </c>
      <c r="Z69" s="261">
        <v>6</v>
      </c>
      <c r="AA69" s="407" t="s">
        <v>1034</v>
      </c>
      <c r="AB69" s="258" t="e">
        <v>#N/A</v>
      </c>
      <c r="AC69" s="258"/>
      <c r="AD69" s="258" t="s">
        <v>2135</v>
      </c>
      <c r="AE69" s="258" t="s">
        <v>2129</v>
      </c>
      <c r="AF69" s="259"/>
      <c r="AG69" s="260"/>
      <c r="AH69" s="259"/>
      <c r="AI69" s="259"/>
      <c r="AJ69" s="260"/>
      <c r="AK69" s="259">
        <v>26</v>
      </c>
      <c r="AL69" s="259"/>
      <c r="AM69" s="259" t="s">
        <v>3222</v>
      </c>
      <c r="AN69" s="449"/>
      <c r="AO69" s="449"/>
      <c r="AP69" s="449"/>
      <c r="AQ69" s="392" t="str">
        <f>IFERROR(VLOOKUP(BG69,#REF!,1,0),"")</f>
        <v/>
      </c>
      <c r="AS69" s="259" t="s">
        <v>3222</v>
      </c>
      <c r="BD69" s="202" t="str">
        <f t="shared" ref="BD69:BD132" si="20">K69&amp;L69</f>
        <v>그랜드 스타렉스 밴디젤 밴 2WD 5인승 기본형 A/T</v>
      </c>
      <c r="BE69" s="261" t="str">
        <f t="shared" si="17"/>
        <v>0009</v>
      </c>
      <c r="BF69" s="407" t="s">
        <v>1034</v>
      </c>
      <c r="BG69" s="202" t="str">
        <f t="shared" ref="BG69:BG132" si="21">BE69&amp;"-"&amp;BF69</f>
        <v>0009-0068</v>
      </c>
    </row>
    <row r="70" spans="1:59">
      <c r="A70" s="405">
        <v>3844</v>
      </c>
      <c r="B70" s="406">
        <v>3844</v>
      </c>
      <c r="C70" s="261" t="str">
        <f t="shared" ref="C70:C133" si="22">TEXT(F70,"0000")&amp;"-"&amp;TEXT(G70,"0000")</f>
        <v>0005-0009</v>
      </c>
      <c r="D70" s="261" t="str">
        <f t="shared" ref="D70:D133" si="23">TEXT(F70,"0000")&amp;"-"&amp;TEXT(G70,"0000")&amp;"-"&amp;TEXT(H70,"0000")</f>
        <v>0005-0009-0012</v>
      </c>
      <c r="E70" s="407" t="s">
        <v>1033</v>
      </c>
      <c r="F70" s="261" t="str">
        <f>TEXT(VLOOKUP(J70,'[3]1'!$B$2:$D$37,2,0),"0000")</f>
        <v>0005</v>
      </c>
      <c r="G70" s="261" t="str">
        <f t="shared" ref="G70:G133" si="24">IF(K70=K69,TEXT(G69,"0000"),TEXT(G69+1,"0000"))</f>
        <v>0009</v>
      </c>
      <c r="H70" s="408">
        <f t="shared" ref="H70:H133" si="25">IF(F70&amp;G70=F69&amp;G69,H69+1,1)</f>
        <v>12</v>
      </c>
      <c r="I70" s="407" t="s">
        <v>1033</v>
      </c>
      <c r="J70" s="258" t="s">
        <v>294</v>
      </c>
      <c r="K70" s="258" t="s">
        <v>2756</v>
      </c>
      <c r="L70" s="258" t="s">
        <v>2532</v>
      </c>
      <c r="M70" s="409">
        <v>22030000</v>
      </c>
      <c r="N70" s="258">
        <v>2497</v>
      </c>
      <c r="O70" s="258" t="s">
        <v>78</v>
      </c>
      <c r="P70" s="258" t="s">
        <v>86</v>
      </c>
      <c r="Q70" s="258" t="s">
        <v>88</v>
      </c>
      <c r="R70" s="258">
        <v>3</v>
      </c>
      <c r="S70" s="410">
        <v>9</v>
      </c>
      <c r="T70" s="261">
        <v>6</v>
      </c>
      <c r="U70" s="261">
        <v>6</v>
      </c>
      <c r="V70" s="258" t="s">
        <v>71</v>
      </c>
      <c r="W70" s="261" t="str">
        <f t="shared" si="18"/>
        <v>현대자동차그랜드 스타렉스 밴디젤 밴 2WD 3인승 모던 M/T22030000</v>
      </c>
      <c r="X70" s="411">
        <f t="shared" si="19"/>
        <v>3844</v>
      </c>
      <c r="Y70" s="261">
        <v>6</v>
      </c>
      <c r="Z70" s="261">
        <v>6</v>
      </c>
      <c r="AA70" s="407" t="s">
        <v>1033</v>
      </c>
      <c r="AB70" s="258" t="s">
        <v>86</v>
      </c>
      <c r="AC70" s="258"/>
      <c r="AD70" s="258" t="s">
        <v>2135</v>
      </c>
      <c r="AE70" s="258" t="s">
        <v>2129</v>
      </c>
      <c r="AF70" s="259"/>
      <c r="AG70" s="260"/>
      <c r="AH70" s="259"/>
      <c r="AI70" s="259"/>
      <c r="AJ70" s="260"/>
      <c r="AK70" s="259">
        <v>26</v>
      </c>
      <c r="AL70" s="259"/>
      <c r="AM70" s="259" t="s">
        <v>3222</v>
      </c>
      <c r="AN70" s="449"/>
      <c r="AO70" s="449"/>
      <c r="AP70" s="449"/>
      <c r="AQ70" s="392" t="str">
        <f>IFERROR(VLOOKUP(BG70,#REF!,1,0),"")</f>
        <v/>
      </c>
      <c r="AS70" s="259" t="s">
        <v>3222</v>
      </c>
      <c r="BD70" s="202" t="str">
        <f t="shared" si="20"/>
        <v>그랜드 스타렉스 밴디젤 밴 2WD 3인승 모던 M/T</v>
      </c>
      <c r="BE70" s="261" t="str">
        <f t="shared" ref="BE70:BE133" si="26">IF(K69=K70,TEXT(G69,"0000"),TEXT(G69+1,"0000"))</f>
        <v>0009</v>
      </c>
      <c r="BF70" s="407" t="s">
        <v>1033</v>
      </c>
      <c r="BG70" s="202" t="str">
        <f t="shared" si="21"/>
        <v>0009-0069</v>
      </c>
    </row>
    <row r="71" spans="1:59">
      <c r="A71" s="405">
        <v>3845</v>
      </c>
      <c r="B71" s="406">
        <v>3845</v>
      </c>
      <c r="C71" s="261" t="str">
        <f t="shared" si="22"/>
        <v>0005-0010</v>
      </c>
      <c r="D71" s="261" t="str">
        <f t="shared" si="23"/>
        <v>0005-0010-0001</v>
      </c>
      <c r="E71" s="407" t="s">
        <v>1032</v>
      </c>
      <c r="F71" s="261" t="str">
        <f>TEXT(VLOOKUP(J71,'[3]1'!$B$2:$D$37,2,0),"0000")</f>
        <v>0005</v>
      </c>
      <c r="G71" s="261" t="str">
        <f t="shared" si="24"/>
        <v>0010</v>
      </c>
      <c r="H71" s="408">
        <f t="shared" si="25"/>
        <v>1</v>
      </c>
      <c r="I71" s="407" t="s">
        <v>1032</v>
      </c>
      <c r="J71" s="258" t="s">
        <v>294</v>
      </c>
      <c r="K71" s="258" t="s">
        <v>2757</v>
      </c>
      <c r="L71" s="258" t="s">
        <v>2533</v>
      </c>
      <c r="M71" s="409">
        <v>52080000</v>
      </c>
      <c r="N71" s="258">
        <v>2497</v>
      </c>
      <c r="O71" s="258" t="s">
        <v>78</v>
      </c>
      <c r="P71" s="258" t="s">
        <v>86</v>
      </c>
      <c r="Q71" s="258" t="s">
        <v>72</v>
      </c>
      <c r="R71" s="258">
        <v>5</v>
      </c>
      <c r="S71" s="410">
        <v>15</v>
      </c>
      <c r="T71" s="261">
        <v>6</v>
      </c>
      <c r="U71" s="261">
        <v>6</v>
      </c>
      <c r="V71" s="258" t="s">
        <v>71</v>
      </c>
      <c r="W71" s="261" t="str">
        <f t="shared" ref="W71:W134" si="27">J71&amp;K71&amp;L71&amp;M71</f>
        <v>현대자동차그랜드 스타렉스 특장캠핑카 4인승 2WD 모던스페셜52080000</v>
      </c>
      <c r="X71" s="411">
        <f t="shared" ref="X71:X134" si="28">B71</f>
        <v>3845</v>
      </c>
      <c r="Y71" s="261">
        <v>6</v>
      </c>
      <c r="Z71" s="261">
        <v>6</v>
      </c>
      <c r="AA71" s="407" t="s">
        <v>1032</v>
      </c>
      <c r="AB71" s="258" t="s">
        <v>73</v>
      </c>
      <c r="AC71" s="258"/>
      <c r="AD71" s="258" t="s">
        <v>2134</v>
      </c>
      <c r="AE71" s="258" t="s">
        <v>2129</v>
      </c>
      <c r="AF71" s="259"/>
      <c r="AG71" s="260"/>
      <c r="AH71" s="259"/>
      <c r="AI71" s="259"/>
      <c r="AJ71" s="260"/>
      <c r="AK71" s="259">
        <v>26</v>
      </c>
      <c r="AL71" s="259"/>
      <c r="AM71" s="259" t="s">
        <v>3235</v>
      </c>
      <c r="AN71" s="449"/>
      <c r="AO71" s="449"/>
      <c r="AP71" s="449"/>
      <c r="AQ71" s="392" t="str">
        <f>IFERROR(VLOOKUP(BG71,#REF!,1,0),"")</f>
        <v/>
      </c>
      <c r="AS71" s="259" t="s">
        <v>3233</v>
      </c>
      <c r="BD71" s="202" t="str">
        <f t="shared" si="20"/>
        <v>그랜드 스타렉스 특장캠핑카 4인승 2WD 모던스페셜</v>
      </c>
      <c r="BE71" s="261" t="str">
        <f t="shared" si="26"/>
        <v>0010</v>
      </c>
      <c r="BF71" s="407" t="s">
        <v>1032</v>
      </c>
      <c r="BG71" s="202" t="str">
        <f t="shared" si="21"/>
        <v>0010-0070</v>
      </c>
    </row>
    <row r="72" spans="1:59">
      <c r="A72" s="405">
        <v>3846</v>
      </c>
      <c r="B72" s="406">
        <v>3846</v>
      </c>
      <c r="C72" s="261" t="str">
        <f t="shared" si="22"/>
        <v>0005-0010</v>
      </c>
      <c r="D72" s="261" t="str">
        <f t="shared" si="23"/>
        <v>0005-0010-0002</v>
      </c>
      <c r="E72" s="407" t="s">
        <v>1031</v>
      </c>
      <c r="F72" s="261" t="str">
        <f>TEXT(VLOOKUP(J72,'[3]1'!$B$2:$D$37,2,0),"0000")</f>
        <v>0005</v>
      </c>
      <c r="G72" s="261" t="str">
        <f t="shared" si="24"/>
        <v>0010</v>
      </c>
      <c r="H72" s="408">
        <f t="shared" si="25"/>
        <v>2</v>
      </c>
      <c r="I72" s="407" t="s">
        <v>1031</v>
      </c>
      <c r="J72" s="258" t="s">
        <v>294</v>
      </c>
      <c r="K72" s="258" t="s">
        <v>2757</v>
      </c>
      <c r="L72" s="258" t="s">
        <v>2534</v>
      </c>
      <c r="M72" s="409">
        <v>54110000</v>
      </c>
      <c r="N72" s="258">
        <v>2497</v>
      </c>
      <c r="O72" s="258" t="s">
        <v>78</v>
      </c>
      <c r="P72" s="258" t="s">
        <v>86</v>
      </c>
      <c r="Q72" s="258" t="s">
        <v>72</v>
      </c>
      <c r="R72" s="258">
        <v>5</v>
      </c>
      <c r="S72" s="410">
        <v>15</v>
      </c>
      <c r="T72" s="261">
        <v>6</v>
      </c>
      <c r="U72" s="261">
        <v>6</v>
      </c>
      <c r="V72" s="258" t="s">
        <v>71</v>
      </c>
      <c r="W72" s="261" t="str">
        <f t="shared" si="27"/>
        <v>현대자동차그랜드 스타렉스 특장캠핑카 4인승 4WD 모던스페셜54110000</v>
      </c>
      <c r="X72" s="411">
        <f t="shared" si="28"/>
        <v>3846</v>
      </c>
      <c r="Y72" s="261">
        <v>6</v>
      </c>
      <c r="Z72" s="261">
        <v>6</v>
      </c>
      <c r="AA72" s="407" t="s">
        <v>1031</v>
      </c>
      <c r="AB72" s="258" t="s">
        <v>73</v>
      </c>
      <c r="AC72" s="258"/>
      <c r="AD72" s="258" t="s">
        <v>2134</v>
      </c>
      <c r="AE72" s="258" t="s">
        <v>2129</v>
      </c>
      <c r="AF72" s="259"/>
      <c r="AG72" s="260"/>
      <c r="AH72" s="259"/>
      <c r="AI72" s="259"/>
      <c r="AJ72" s="260"/>
      <c r="AK72" s="259">
        <v>26</v>
      </c>
      <c r="AL72" s="259"/>
      <c r="AM72" s="259" t="s">
        <v>3235</v>
      </c>
      <c r="AN72" s="449"/>
      <c r="AO72" s="449"/>
      <c r="AP72" s="449"/>
      <c r="AQ72" s="392" t="str">
        <f>IFERROR(VLOOKUP(BG72,#REF!,1,0),"")</f>
        <v/>
      </c>
      <c r="AS72" s="259" t="s">
        <v>3233</v>
      </c>
      <c r="BD72" s="202" t="str">
        <f t="shared" si="20"/>
        <v>그랜드 스타렉스 특장캠핑카 4인승 4WD 모던스페셜</v>
      </c>
      <c r="BE72" s="261" t="str">
        <f t="shared" si="26"/>
        <v>0010</v>
      </c>
      <c r="BF72" s="407" t="s">
        <v>1031</v>
      </c>
      <c r="BG72" s="202" t="str">
        <f t="shared" si="21"/>
        <v>0010-0071</v>
      </c>
    </row>
    <row r="73" spans="1:59">
      <c r="A73" s="405">
        <v>3847</v>
      </c>
      <c r="B73" s="406">
        <v>3847</v>
      </c>
      <c r="C73" s="261" t="str">
        <f t="shared" si="22"/>
        <v>0005-0010</v>
      </c>
      <c r="D73" s="261" t="str">
        <f t="shared" si="23"/>
        <v>0005-0010-0003</v>
      </c>
      <c r="E73" s="407" t="s">
        <v>1030</v>
      </c>
      <c r="F73" s="261" t="str">
        <f>TEXT(VLOOKUP(J73,'[3]1'!$B$2:$D$37,2,0),"0000")</f>
        <v>0005</v>
      </c>
      <c r="G73" s="261" t="str">
        <f t="shared" si="24"/>
        <v>0010</v>
      </c>
      <c r="H73" s="408">
        <f t="shared" si="25"/>
        <v>3</v>
      </c>
      <c r="I73" s="407" t="s">
        <v>1030</v>
      </c>
      <c r="J73" s="258" t="s">
        <v>294</v>
      </c>
      <c r="K73" s="258" t="s">
        <v>2757</v>
      </c>
      <c r="L73" s="258" t="s">
        <v>2535</v>
      </c>
      <c r="M73" s="409">
        <v>28150000</v>
      </c>
      <c r="N73" s="258">
        <v>2497</v>
      </c>
      <c r="O73" s="258" t="s">
        <v>78</v>
      </c>
      <c r="P73" s="258" t="s">
        <v>86</v>
      </c>
      <c r="Q73" s="258" t="s">
        <v>72</v>
      </c>
      <c r="R73" s="258">
        <v>3</v>
      </c>
      <c r="S73" s="410">
        <v>15</v>
      </c>
      <c r="T73" s="261">
        <v>6</v>
      </c>
      <c r="U73" s="261">
        <v>6</v>
      </c>
      <c r="V73" s="258" t="s">
        <v>3993</v>
      </c>
      <c r="W73" s="261" t="str">
        <f t="shared" si="27"/>
        <v>현대자동차그랜드 스타렉스 특장3밴냉동 디럭스 (3인승)28150000</v>
      </c>
      <c r="X73" s="411">
        <f t="shared" si="28"/>
        <v>3847</v>
      </c>
      <c r="Y73" s="261">
        <v>6</v>
      </c>
      <c r="Z73" s="261">
        <v>6</v>
      </c>
      <c r="AA73" s="407" t="s">
        <v>1030</v>
      </c>
      <c r="AB73" s="258" t="e">
        <v>#N/A</v>
      </c>
      <c r="AC73" s="258"/>
      <c r="AD73" s="258" t="s">
        <v>2134</v>
      </c>
      <c r="AE73" s="258" t="s">
        <v>2129</v>
      </c>
      <c r="AF73" s="259"/>
      <c r="AG73" s="260"/>
      <c r="AH73" s="259"/>
      <c r="AI73" s="259"/>
      <c r="AJ73" s="260"/>
      <c r="AK73" s="259">
        <v>26</v>
      </c>
      <c r="AL73" s="259"/>
      <c r="AM73" s="259" t="s">
        <v>91</v>
      </c>
      <c r="AN73" s="449"/>
      <c r="AO73" s="449"/>
      <c r="AP73" s="449"/>
      <c r="AQ73" s="392" t="str">
        <f>IFERROR(VLOOKUP(BG73,#REF!,1,0),"")</f>
        <v/>
      </c>
      <c r="AS73" s="259" t="s">
        <v>3233</v>
      </c>
      <c r="BD73" s="202" t="str">
        <f t="shared" si="20"/>
        <v>그랜드 스타렉스 특장3밴냉동 디럭스 (3인승)</v>
      </c>
      <c r="BE73" s="261" t="str">
        <f t="shared" si="26"/>
        <v>0010</v>
      </c>
      <c r="BF73" s="407" t="s">
        <v>1030</v>
      </c>
      <c r="BG73" s="202" t="str">
        <f t="shared" si="21"/>
        <v>0010-0072</v>
      </c>
    </row>
    <row r="74" spans="1:59">
      <c r="A74" s="405">
        <v>3848</v>
      </c>
      <c r="B74" s="406">
        <v>3848</v>
      </c>
      <c r="C74" s="261" t="str">
        <f t="shared" si="22"/>
        <v>0005-0010</v>
      </c>
      <c r="D74" s="261" t="str">
        <f t="shared" si="23"/>
        <v>0005-0010-0004</v>
      </c>
      <c r="E74" s="407" t="s">
        <v>1029</v>
      </c>
      <c r="F74" s="261" t="str">
        <f>TEXT(VLOOKUP(J74,'[3]1'!$B$2:$D$37,2,0),"0000")</f>
        <v>0005</v>
      </c>
      <c r="G74" s="261" t="str">
        <f t="shared" si="24"/>
        <v>0010</v>
      </c>
      <c r="H74" s="408">
        <f t="shared" si="25"/>
        <v>4</v>
      </c>
      <c r="I74" s="407" t="s">
        <v>1029</v>
      </c>
      <c r="J74" s="258" t="s">
        <v>294</v>
      </c>
      <c r="K74" s="258" t="s">
        <v>2757</v>
      </c>
      <c r="L74" s="258" t="s">
        <v>2536</v>
      </c>
      <c r="M74" s="409">
        <v>40800000</v>
      </c>
      <c r="N74" s="258">
        <v>2497</v>
      </c>
      <c r="O74" s="258" t="s">
        <v>78</v>
      </c>
      <c r="P74" s="258" t="s">
        <v>1431</v>
      </c>
      <c r="Q74" s="258" t="s">
        <v>72</v>
      </c>
      <c r="R74" s="258">
        <v>7</v>
      </c>
      <c r="S74" s="410">
        <v>15</v>
      </c>
      <c r="T74" s="261">
        <v>6</v>
      </c>
      <c r="U74" s="261">
        <v>6</v>
      </c>
      <c r="V74" s="258" t="s">
        <v>3993</v>
      </c>
      <c r="W74" s="261" t="str">
        <f t="shared" si="27"/>
        <v>현대자동차그랜드 스타렉스 특장휠체어리프트 2WD 모던 (7인승)40800000</v>
      </c>
      <c r="X74" s="411">
        <f t="shared" si="28"/>
        <v>3848</v>
      </c>
      <c r="Y74" s="261">
        <v>6</v>
      </c>
      <c r="Z74" s="261">
        <v>6</v>
      </c>
      <c r="AA74" s="407" t="s">
        <v>1029</v>
      </c>
      <c r="AB74" s="258" t="s">
        <v>1431</v>
      </c>
      <c r="AC74" s="258"/>
      <c r="AD74" s="258" t="s">
        <v>2134</v>
      </c>
      <c r="AE74" s="258" t="s">
        <v>2129</v>
      </c>
      <c r="AF74" s="259"/>
      <c r="AG74" s="260"/>
      <c r="AH74" s="259"/>
      <c r="AI74" s="259"/>
      <c r="AJ74" s="260"/>
      <c r="AK74" s="259">
        <v>26</v>
      </c>
      <c r="AL74" s="259"/>
      <c r="AM74" s="259" t="s">
        <v>91</v>
      </c>
      <c r="AN74" s="449"/>
      <c r="AO74" s="449"/>
      <c r="AP74" s="449"/>
      <c r="AQ74" s="392" t="str">
        <f>IFERROR(VLOOKUP(BG74,#REF!,1,0),"")</f>
        <v/>
      </c>
      <c r="AS74" s="259" t="s">
        <v>3233</v>
      </c>
      <c r="BD74" s="202" t="str">
        <f t="shared" si="20"/>
        <v>그랜드 스타렉스 특장휠체어리프트 2WD 모던 (7인승)</v>
      </c>
      <c r="BE74" s="261" t="str">
        <f t="shared" si="26"/>
        <v>0010</v>
      </c>
      <c r="BF74" s="407" t="s">
        <v>1029</v>
      </c>
      <c r="BG74" s="202" t="str">
        <f t="shared" si="21"/>
        <v>0010-0073</v>
      </c>
    </row>
    <row r="75" spans="1:59">
      <c r="A75" s="405">
        <v>3849</v>
      </c>
      <c r="B75" s="406">
        <v>3849</v>
      </c>
      <c r="C75" s="261" t="str">
        <f t="shared" si="22"/>
        <v>0005-0010</v>
      </c>
      <c r="D75" s="261" t="str">
        <f t="shared" si="23"/>
        <v>0005-0010-0005</v>
      </c>
      <c r="E75" s="407" t="s">
        <v>1028</v>
      </c>
      <c r="F75" s="261" t="str">
        <f>TEXT(VLOOKUP(J75,'[3]1'!$B$2:$D$37,2,0),"0000")</f>
        <v>0005</v>
      </c>
      <c r="G75" s="261" t="str">
        <f t="shared" si="24"/>
        <v>0010</v>
      </c>
      <c r="H75" s="408">
        <f t="shared" si="25"/>
        <v>5</v>
      </c>
      <c r="I75" s="407" t="s">
        <v>1028</v>
      </c>
      <c r="J75" s="258" t="s">
        <v>294</v>
      </c>
      <c r="K75" s="258" t="s">
        <v>2757</v>
      </c>
      <c r="L75" s="258" t="s">
        <v>2537</v>
      </c>
      <c r="M75" s="409">
        <v>46950000</v>
      </c>
      <c r="N75" s="258">
        <v>2497</v>
      </c>
      <c r="O75" s="258" t="s">
        <v>78</v>
      </c>
      <c r="P75" s="258" t="s">
        <v>2890</v>
      </c>
      <c r="Q75" s="258" t="s">
        <v>72</v>
      </c>
      <c r="R75" s="258" t="e">
        <v>#N/A</v>
      </c>
      <c r="S75" s="410">
        <v>15</v>
      </c>
      <c r="T75" s="261">
        <v>6</v>
      </c>
      <c r="U75" s="261">
        <v>6</v>
      </c>
      <c r="V75" s="258" t="s">
        <v>3993</v>
      </c>
      <c r="W75" s="261" t="str">
        <f t="shared" si="27"/>
        <v>현대자동차그랜드 스타렉스 특장2.5 디젤 리무진 2WD VIP 패키지46950000</v>
      </c>
      <c r="X75" s="411">
        <f t="shared" si="28"/>
        <v>3849</v>
      </c>
      <c r="Y75" s="261">
        <v>6</v>
      </c>
      <c r="Z75" s="261">
        <v>6</v>
      </c>
      <c r="AA75" s="407" t="s">
        <v>1028</v>
      </c>
      <c r="AB75" s="258" t="e">
        <v>#N/A</v>
      </c>
      <c r="AC75" s="258"/>
      <c r="AD75" s="258" t="s">
        <v>2134</v>
      </c>
      <c r="AE75" s="258" t="s">
        <v>2129</v>
      </c>
      <c r="AF75" s="259"/>
      <c r="AG75" s="260"/>
      <c r="AH75" s="259"/>
      <c r="AI75" s="259"/>
      <c r="AJ75" s="260"/>
      <c r="AK75" s="259">
        <v>26</v>
      </c>
      <c r="AL75" s="259"/>
      <c r="AM75" s="259" t="s">
        <v>3235</v>
      </c>
      <c r="AN75" s="449"/>
      <c r="AO75" s="449"/>
      <c r="AP75" s="449"/>
      <c r="AQ75" s="392" t="str">
        <f>IFERROR(VLOOKUP(BG75,#REF!,1,0),"")</f>
        <v/>
      </c>
      <c r="AS75" s="259" t="s">
        <v>3233</v>
      </c>
      <c r="BD75" s="202" t="str">
        <f t="shared" si="20"/>
        <v>그랜드 스타렉스 특장2.5 디젤 리무진 2WD VIP 패키지</v>
      </c>
      <c r="BE75" s="261" t="str">
        <f t="shared" si="26"/>
        <v>0010</v>
      </c>
      <c r="BF75" s="407" t="s">
        <v>1028</v>
      </c>
      <c r="BG75" s="202" t="str">
        <f t="shared" si="21"/>
        <v>0010-0074</v>
      </c>
    </row>
    <row r="76" spans="1:59">
      <c r="A76" s="405">
        <v>3850</v>
      </c>
      <c r="B76" s="406">
        <v>3850</v>
      </c>
      <c r="C76" s="261" t="str">
        <f t="shared" si="22"/>
        <v>0005-0011</v>
      </c>
      <c r="D76" s="261" t="str">
        <f t="shared" si="23"/>
        <v>0005-0011-0001</v>
      </c>
      <c r="E76" s="407" t="s">
        <v>1027</v>
      </c>
      <c r="F76" s="261" t="str">
        <f>TEXT(VLOOKUP(J76,'[3]1'!$B$2:$D$37,2,0),"0000")</f>
        <v>0005</v>
      </c>
      <c r="G76" s="261" t="str">
        <f t="shared" si="24"/>
        <v>0011</v>
      </c>
      <c r="H76" s="408">
        <f t="shared" si="25"/>
        <v>1</v>
      </c>
      <c r="I76" s="407" t="s">
        <v>1027</v>
      </c>
      <c r="J76" s="258" t="s">
        <v>294</v>
      </c>
      <c r="K76" s="258" t="s">
        <v>3073</v>
      </c>
      <c r="L76" s="258" t="s">
        <v>3074</v>
      </c>
      <c r="M76" s="409">
        <v>27220000</v>
      </c>
      <c r="N76" s="258">
        <v>2199</v>
      </c>
      <c r="O76" s="258" t="s">
        <v>78</v>
      </c>
      <c r="P76" s="258" t="s">
        <v>2890</v>
      </c>
      <c r="Q76" s="258" t="s">
        <v>72</v>
      </c>
      <c r="R76" s="258">
        <v>11</v>
      </c>
      <c r="S76" s="410">
        <v>6</v>
      </c>
      <c r="T76" s="261">
        <v>6</v>
      </c>
      <c r="U76" s="261">
        <v>6</v>
      </c>
      <c r="V76" s="258" t="s">
        <v>3068</v>
      </c>
      <c r="W76" s="261" t="str">
        <f t="shared" si="27"/>
        <v>현대자동차스타리아2.2 디젤 투어러 2WD 11인승 스마트27220000</v>
      </c>
      <c r="X76" s="411">
        <f t="shared" si="28"/>
        <v>3850</v>
      </c>
      <c r="Y76" s="261">
        <v>6</v>
      </c>
      <c r="Z76" s="261">
        <v>6</v>
      </c>
      <c r="AA76" s="407" t="s">
        <v>1027</v>
      </c>
      <c r="AB76" s="258" t="s">
        <v>3084</v>
      </c>
      <c r="AC76" s="258"/>
      <c r="AD76" s="258" t="s">
        <v>2134</v>
      </c>
      <c r="AE76" s="258" t="s">
        <v>2129</v>
      </c>
      <c r="AF76" s="259"/>
      <c r="AG76" s="260"/>
      <c r="AH76" s="259"/>
      <c r="AI76" s="259"/>
      <c r="AJ76" s="260"/>
      <c r="AK76" s="259">
        <v>26</v>
      </c>
      <c r="AL76" s="259"/>
      <c r="AM76" s="259" t="s">
        <v>93</v>
      </c>
      <c r="AN76" s="449"/>
      <c r="AO76" s="449"/>
      <c r="AP76" s="449"/>
      <c r="AQ76" s="392" t="str">
        <f>IFERROR(VLOOKUP(BG76,#REF!,1,0),"")</f>
        <v/>
      </c>
      <c r="AS76" s="259" t="s">
        <v>150</v>
      </c>
      <c r="AT76" s="392" t="s">
        <v>3085</v>
      </c>
      <c r="BD76" s="202" t="str">
        <f t="shared" si="20"/>
        <v>스타리아2.2 디젤 투어러 2WD 11인승 스마트</v>
      </c>
      <c r="BE76" s="261" t="str">
        <f t="shared" si="26"/>
        <v>0011</v>
      </c>
      <c r="BF76" s="407" t="s">
        <v>1027</v>
      </c>
      <c r="BG76" s="202" t="str">
        <f t="shared" si="21"/>
        <v>0011-0075</v>
      </c>
    </row>
    <row r="77" spans="1:59">
      <c r="A77" s="405">
        <v>3851</v>
      </c>
      <c r="B77" s="406">
        <v>3851</v>
      </c>
      <c r="C77" s="261" t="str">
        <f t="shared" si="22"/>
        <v>0005-0011</v>
      </c>
      <c r="D77" s="261" t="str">
        <f t="shared" si="23"/>
        <v>0005-0011-0002</v>
      </c>
      <c r="E77" s="407" t="s">
        <v>1026</v>
      </c>
      <c r="F77" s="261" t="str">
        <f>TEXT(VLOOKUP(J77,'[3]1'!$B$2:$D$37,2,0),"0000")</f>
        <v>0005</v>
      </c>
      <c r="G77" s="261" t="str">
        <f t="shared" si="24"/>
        <v>0011</v>
      </c>
      <c r="H77" s="408">
        <f t="shared" si="25"/>
        <v>2</v>
      </c>
      <c r="I77" s="407" t="s">
        <v>1026</v>
      </c>
      <c r="J77" s="258" t="s">
        <v>294</v>
      </c>
      <c r="K77" s="258" t="s">
        <v>3073</v>
      </c>
      <c r="L77" s="258" t="s">
        <v>3075</v>
      </c>
      <c r="M77" s="409">
        <v>30840000</v>
      </c>
      <c r="N77" s="258">
        <v>2199</v>
      </c>
      <c r="O77" s="258" t="s">
        <v>78</v>
      </c>
      <c r="P77" s="258" t="s">
        <v>2890</v>
      </c>
      <c r="Q77" s="258" t="s">
        <v>72</v>
      </c>
      <c r="R77" s="258">
        <v>11</v>
      </c>
      <c r="S77" s="410">
        <v>6</v>
      </c>
      <c r="T77" s="261">
        <v>6</v>
      </c>
      <c r="U77" s="261">
        <v>6</v>
      </c>
      <c r="V77" s="258" t="s">
        <v>3068</v>
      </c>
      <c r="W77" s="261" t="str">
        <f t="shared" si="27"/>
        <v>현대자동차스타리아2.2 디젤 투어러 2WD 11인승 모던30840000</v>
      </c>
      <c r="X77" s="411">
        <f t="shared" si="28"/>
        <v>3851</v>
      </c>
      <c r="Y77" s="261">
        <v>6</v>
      </c>
      <c r="Z77" s="261">
        <v>6</v>
      </c>
      <c r="AA77" s="407" t="s">
        <v>1026</v>
      </c>
      <c r="AB77" s="258" t="s">
        <v>3084</v>
      </c>
      <c r="AC77" s="258"/>
      <c r="AD77" s="258" t="s">
        <v>2134</v>
      </c>
      <c r="AE77" s="258" t="s">
        <v>2129</v>
      </c>
      <c r="AF77" s="259"/>
      <c r="AG77" s="260"/>
      <c r="AH77" s="259"/>
      <c r="AI77" s="259"/>
      <c r="AJ77" s="260"/>
      <c r="AK77" s="259">
        <v>26</v>
      </c>
      <c r="AL77" s="259"/>
      <c r="AM77" s="259" t="s">
        <v>93</v>
      </c>
      <c r="AN77" s="449"/>
      <c r="AO77" s="449"/>
      <c r="AP77" s="449"/>
      <c r="AQ77" s="392" t="str">
        <f>IFERROR(VLOOKUP(BG77,#REF!,1,0),"")</f>
        <v/>
      </c>
      <c r="AS77" s="259" t="s">
        <v>150</v>
      </c>
      <c r="AT77" s="392" t="s">
        <v>3085</v>
      </c>
      <c r="BD77" s="202" t="str">
        <f t="shared" si="20"/>
        <v>스타리아2.2 디젤 투어러 2WD 11인승 모던</v>
      </c>
      <c r="BE77" s="261" t="str">
        <f t="shared" si="26"/>
        <v>0011</v>
      </c>
      <c r="BF77" s="407" t="s">
        <v>1026</v>
      </c>
      <c r="BG77" s="202" t="str">
        <f t="shared" si="21"/>
        <v>0011-0076</v>
      </c>
    </row>
    <row r="78" spans="1:59">
      <c r="A78" s="405">
        <v>3852</v>
      </c>
      <c r="B78" s="406">
        <v>3852</v>
      </c>
      <c r="C78" s="261" t="str">
        <f t="shared" si="22"/>
        <v>0005-0011</v>
      </c>
      <c r="D78" s="261" t="str">
        <f t="shared" si="23"/>
        <v>0005-0011-0003</v>
      </c>
      <c r="E78" s="407" t="s">
        <v>1025</v>
      </c>
      <c r="F78" s="261" t="str">
        <f>TEXT(VLOOKUP(J78,'[3]1'!$B$2:$D$37,2,0),"0000")</f>
        <v>0005</v>
      </c>
      <c r="G78" s="261" t="str">
        <f t="shared" si="24"/>
        <v>0011</v>
      </c>
      <c r="H78" s="408">
        <f t="shared" si="25"/>
        <v>3</v>
      </c>
      <c r="I78" s="407" t="s">
        <v>1025</v>
      </c>
      <c r="J78" s="258" t="s">
        <v>294</v>
      </c>
      <c r="K78" s="258" t="s">
        <v>3073</v>
      </c>
      <c r="L78" s="258" t="s">
        <v>3076</v>
      </c>
      <c r="M78" s="409">
        <v>30840000</v>
      </c>
      <c r="N78" s="258">
        <v>2199</v>
      </c>
      <c r="O78" s="258" t="s">
        <v>78</v>
      </c>
      <c r="P78" s="258" t="s">
        <v>2890</v>
      </c>
      <c r="Q78" s="258" t="s">
        <v>72</v>
      </c>
      <c r="R78" s="258">
        <v>9</v>
      </c>
      <c r="S78" s="410">
        <v>6</v>
      </c>
      <c r="T78" s="261">
        <v>6</v>
      </c>
      <c r="U78" s="261">
        <v>6</v>
      </c>
      <c r="V78" s="258" t="s">
        <v>3068</v>
      </c>
      <c r="W78" s="261" t="str">
        <f t="shared" si="27"/>
        <v>현대자동차스타리아2.2 디젤 투어러 2WD 9인승 모던30840000</v>
      </c>
      <c r="X78" s="411">
        <f t="shared" si="28"/>
        <v>3852</v>
      </c>
      <c r="Y78" s="261">
        <v>6</v>
      </c>
      <c r="Z78" s="261">
        <v>6</v>
      </c>
      <c r="AA78" s="407" t="s">
        <v>1025</v>
      </c>
      <c r="AB78" s="258" t="s">
        <v>3084</v>
      </c>
      <c r="AC78" s="258"/>
      <c r="AD78" s="258" t="s">
        <v>2134</v>
      </c>
      <c r="AE78" s="258" t="s">
        <v>2129</v>
      </c>
      <c r="AF78" s="259"/>
      <c r="AG78" s="260"/>
      <c r="AH78" s="259"/>
      <c r="AI78" s="259"/>
      <c r="AJ78" s="260"/>
      <c r="AK78" s="259">
        <v>26</v>
      </c>
      <c r="AL78" s="259"/>
      <c r="AM78" s="259" t="s">
        <v>93</v>
      </c>
      <c r="AN78" s="449"/>
      <c r="AO78" s="449"/>
      <c r="AP78" s="449"/>
      <c r="AQ78" s="392" t="str">
        <f>IFERROR(VLOOKUP(BG78,#REF!,1,0),"")</f>
        <v/>
      </c>
      <c r="AS78" s="259" t="s">
        <v>150</v>
      </c>
      <c r="AT78" s="392" t="s">
        <v>3085</v>
      </c>
      <c r="BD78" s="202" t="str">
        <f t="shared" si="20"/>
        <v>스타리아2.2 디젤 투어러 2WD 9인승 모던</v>
      </c>
      <c r="BE78" s="261" t="str">
        <f t="shared" si="26"/>
        <v>0011</v>
      </c>
      <c r="BF78" s="407" t="s">
        <v>1025</v>
      </c>
      <c r="BG78" s="202" t="str">
        <f t="shared" si="21"/>
        <v>0011-0077</v>
      </c>
    </row>
    <row r="79" spans="1:59">
      <c r="A79" s="405">
        <v>3853</v>
      </c>
      <c r="B79" s="406">
        <v>3853</v>
      </c>
      <c r="C79" s="261" t="str">
        <f t="shared" si="22"/>
        <v>0005-0011</v>
      </c>
      <c r="D79" s="261" t="str">
        <f t="shared" si="23"/>
        <v>0005-0011-0004</v>
      </c>
      <c r="E79" s="407" t="s">
        <v>1024</v>
      </c>
      <c r="F79" s="261" t="str">
        <f>TEXT(VLOOKUP(J79,'[3]1'!$B$2:$D$37,2,0),"0000")</f>
        <v>0005</v>
      </c>
      <c r="G79" s="261" t="str">
        <f t="shared" si="24"/>
        <v>0011</v>
      </c>
      <c r="H79" s="408">
        <f t="shared" si="25"/>
        <v>4</v>
      </c>
      <c r="I79" s="407" t="s">
        <v>1024</v>
      </c>
      <c r="J79" s="258" t="s">
        <v>294</v>
      </c>
      <c r="K79" s="258" t="s">
        <v>3073</v>
      </c>
      <c r="L79" s="258" t="s">
        <v>3077</v>
      </c>
      <c r="M79" s="409">
        <v>36610000</v>
      </c>
      <c r="N79" s="258">
        <v>2199</v>
      </c>
      <c r="O79" s="258" t="s">
        <v>78</v>
      </c>
      <c r="P79" s="258" t="s">
        <v>2890</v>
      </c>
      <c r="Q79" s="258" t="s">
        <v>72</v>
      </c>
      <c r="R79" s="258">
        <v>9</v>
      </c>
      <c r="S79" s="410">
        <v>8</v>
      </c>
      <c r="T79" s="261">
        <v>6</v>
      </c>
      <c r="U79" s="261">
        <v>6</v>
      </c>
      <c r="V79" s="258" t="s">
        <v>3068</v>
      </c>
      <c r="W79" s="261" t="str">
        <f t="shared" si="27"/>
        <v>현대자동차스타리아2.2 디젤 라운지  2WD 9인승 프레스티지36610000</v>
      </c>
      <c r="X79" s="411">
        <f t="shared" si="28"/>
        <v>3853</v>
      </c>
      <c r="Y79" s="261">
        <v>6</v>
      </c>
      <c r="Z79" s="261">
        <v>6</v>
      </c>
      <c r="AA79" s="407" t="s">
        <v>1024</v>
      </c>
      <c r="AB79" s="258" t="s">
        <v>3084</v>
      </c>
      <c r="AC79" s="258"/>
      <c r="AD79" s="258" t="s">
        <v>2134</v>
      </c>
      <c r="AE79" s="258" t="s">
        <v>2129</v>
      </c>
      <c r="AF79" s="259"/>
      <c r="AG79" s="260"/>
      <c r="AH79" s="259"/>
      <c r="AI79" s="259"/>
      <c r="AJ79" s="260"/>
      <c r="AK79" s="259">
        <v>26</v>
      </c>
      <c r="AL79" s="259"/>
      <c r="AM79" s="259" t="s">
        <v>3229</v>
      </c>
      <c r="AN79" s="449"/>
      <c r="AO79" s="449"/>
      <c r="AP79" s="449"/>
      <c r="AQ79" s="392" t="str">
        <f>IFERROR(VLOOKUP(BG79,#REF!,1,0),"")</f>
        <v/>
      </c>
      <c r="AS79" s="259" t="s">
        <v>3231</v>
      </c>
      <c r="AT79" s="392" t="s">
        <v>3085</v>
      </c>
      <c r="BD79" s="202" t="str">
        <f t="shared" si="20"/>
        <v>스타리아2.2 디젤 라운지  2WD 9인승 프레스티지</v>
      </c>
      <c r="BE79" s="261" t="str">
        <f t="shared" si="26"/>
        <v>0011</v>
      </c>
      <c r="BF79" s="407" t="s">
        <v>1024</v>
      </c>
      <c r="BG79" s="202" t="str">
        <f t="shared" si="21"/>
        <v>0011-0078</v>
      </c>
    </row>
    <row r="80" spans="1:59">
      <c r="A80" s="405">
        <v>3854</v>
      </c>
      <c r="B80" s="406">
        <v>3854</v>
      </c>
      <c r="C80" s="261" t="str">
        <f t="shared" si="22"/>
        <v>0005-0011</v>
      </c>
      <c r="D80" s="261" t="str">
        <f t="shared" si="23"/>
        <v>0005-0011-0005</v>
      </c>
      <c r="E80" s="407" t="s">
        <v>1023</v>
      </c>
      <c r="F80" s="261" t="str">
        <f>TEXT(VLOOKUP(J80,'[3]1'!$B$2:$D$37,2,0),"0000")</f>
        <v>0005</v>
      </c>
      <c r="G80" s="261" t="str">
        <f t="shared" si="24"/>
        <v>0011</v>
      </c>
      <c r="H80" s="408">
        <f t="shared" si="25"/>
        <v>5</v>
      </c>
      <c r="I80" s="407" t="s">
        <v>1023</v>
      </c>
      <c r="J80" s="258" t="s">
        <v>294</v>
      </c>
      <c r="K80" s="258" t="s">
        <v>3073</v>
      </c>
      <c r="L80" s="258" t="s">
        <v>3078</v>
      </c>
      <c r="M80" s="409">
        <v>40480000</v>
      </c>
      <c r="N80" s="258">
        <v>2199</v>
      </c>
      <c r="O80" s="258" t="s">
        <v>78</v>
      </c>
      <c r="P80" s="258" t="s">
        <v>2890</v>
      </c>
      <c r="Q80" s="258" t="s">
        <v>72</v>
      </c>
      <c r="R80" s="258">
        <v>9</v>
      </c>
      <c r="S80" s="410">
        <v>8</v>
      </c>
      <c r="T80" s="261">
        <v>6</v>
      </c>
      <c r="U80" s="261">
        <v>6</v>
      </c>
      <c r="V80" s="258" t="s">
        <v>3068</v>
      </c>
      <c r="W80" s="261" t="str">
        <f t="shared" si="27"/>
        <v>현대자동차스타리아2.2 디젤 라운지  2WD 9인승 인스퍼레이션40480000</v>
      </c>
      <c r="X80" s="411">
        <f t="shared" si="28"/>
        <v>3854</v>
      </c>
      <c r="Y80" s="261">
        <v>6</v>
      </c>
      <c r="Z80" s="261">
        <v>6</v>
      </c>
      <c r="AA80" s="407" t="s">
        <v>1023</v>
      </c>
      <c r="AB80" s="258" t="s">
        <v>3084</v>
      </c>
      <c r="AC80" s="258"/>
      <c r="AD80" s="258" t="s">
        <v>2134</v>
      </c>
      <c r="AE80" s="258" t="s">
        <v>2129</v>
      </c>
      <c r="AF80" s="259"/>
      <c r="AG80" s="260"/>
      <c r="AH80" s="259"/>
      <c r="AI80" s="259"/>
      <c r="AJ80" s="260"/>
      <c r="AK80" s="259">
        <v>26</v>
      </c>
      <c r="AL80" s="259"/>
      <c r="AM80" s="259" t="s">
        <v>3229</v>
      </c>
      <c r="AN80" s="449"/>
      <c r="AO80" s="449"/>
      <c r="AP80" s="449"/>
      <c r="AQ80" s="392" t="str">
        <f>IFERROR(VLOOKUP(BG80,#REF!,1,0),"")</f>
        <v/>
      </c>
      <c r="AS80" s="259" t="s">
        <v>3231</v>
      </c>
      <c r="AT80" s="392" t="s">
        <v>3085</v>
      </c>
      <c r="BD80" s="202" t="str">
        <f t="shared" si="20"/>
        <v>스타리아2.2 디젤 라운지  2WD 9인승 인스퍼레이션</v>
      </c>
      <c r="BE80" s="261" t="str">
        <f t="shared" si="26"/>
        <v>0011</v>
      </c>
      <c r="BF80" s="407" t="s">
        <v>1023</v>
      </c>
      <c r="BG80" s="202" t="str">
        <f t="shared" si="21"/>
        <v>0011-0079</v>
      </c>
    </row>
    <row r="81" spans="1:59">
      <c r="A81" s="405">
        <v>3855</v>
      </c>
      <c r="B81" s="406">
        <v>3855</v>
      </c>
      <c r="C81" s="261" t="str">
        <f t="shared" si="22"/>
        <v>0005-0011</v>
      </c>
      <c r="D81" s="261" t="str">
        <f t="shared" si="23"/>
        <v>0005-0011-0006</v>
      </c>
      <c r="E81" s="407" t="s">
        <v>1022</v>
      </c>
      <c r="F81" s="261" t="str">
        <f>TEXT(VLOOKUP(J81,'[3]1'!$B$2:$D$37,2,0),"0000")</f>
        <v>0005</v>
      </c>
      <c r="G81" s="261" t="str">
        <f t="shared" si="24"/>
        <v>0011</v>
      </c>
      <c r="H81" s="408">
        <f t="shared" si="25"/>
        <v>6</v>
      </c>
      <c r="I81" s="407" t="s">
        <v>1022</v>
      </c>
      <c r="J81" s="258" t="s">
        <v>294</v>
      </c>
      <c r="K81" s="258" t="s">
        <v>3073</v>
      </c>
      <c r="L81" s="258" t="s">
        <v>3079</v>
      </c>
      <c r="M81" s="409">
        <v>41350000</v>
      </c>
      <c r="N81" s="258">
        <v>2199</v>
      </c>
      <c r="O81" s="258" t="s">
        <v>78</v>
      </c>
      <c r="P81" s="258" t="s">
        <v>2890</v>
      </c>
      <c r="Q81" s="258" t="s">
        <v>72</v>
      </c>
      <c r="R81" s="258">
        <v>7</v>
      </c>
      <c r="S81" s="410">
        <v>8</v>
      </c>
      <c r="T81" s="261">
        <v>6</v>
      </c>
      <c r="U81" s="261">
        <v>6</v>
      </c>
      <c r="V81" s="258" t="s">
        <v>3068</v>
      </c>
      <c r="W81" s="261" t="str">
        <f t="shared" si="27"/>
        <v>현대자동차스타리아2.2 디젤 라운지  2WD 7인승 인스퍼레이션41350000</v>
      </c>
      <c r="X81" s="411">
        <f t="shared" si="28"/>
        <v>3855</v>
      </c>
      <c r="Y81" s="261">
        <v>6</v>
      </c>
      <c r="Z81" s="261">
        <v>6</v>
      </c>
      <c r="AA81" s="407" t="s">
        <v>1022</v>
      </c>
      <c r="AB81" s="258" t="s">
        <v>3084</v>
      </c>
      <c r="AC81" s="258"/>
      <c r="AD81" s="258" t="s">
        <v>2134</v>
      </c>
      <c r="AE81" s="258" t="s">
        <v>2129</v>
      </c>
      <c r="AF81" s="259"/>
      <c r="AG81" s="260"/>
      <c r="AH81" s="259"/>
      <c r="AI81" s="259"/>
      <c r="AJ81" s="260"/>
      <c r="AK81" s="259">
        <v>26</v>
      </c>
      <c r="AL81" s="259"/>
      <c r="AM81" s="259" t="s">
        <v>3229</v>
      </c>
      <c r="AN81" s="449"/>
      <c r="AO81" s="449"/>
      <c r="AP81" s="449"/>
      <c r="AQ81" s="392" t="str">
        <f>IFERROR(VLOOKUP(BG81,#REF!,1,0),"")</f>
        <v/>
      </c>
      <c r="AS81" s="259" t="s">
        <v>3231</v>
      </c>
      <c r="AT81" s="392" t="s">
        <v>3085</v>
      </c>
      <c r="BD81" s="202" t="str">
        <f t="shared" si="20"/>
        <v>스타리아2.2 디젤 라운지  2WD 7인승 인스퍼레이션</v>
      </c>
      <c r="BE81" s="261" t="str">
        <f t="shared" si="26"/>
        <v>0011</v>
      </c>
      <c r="BF81" s="407" t="s">
        <v>1022</v>
      </c>
      <c r="BG81" s="202" t="str">
        <f t="shared" si="21"/>
        <v>0011-0080</v>
      </c>
    </row>
    <row r="82" spans="1:59">
      <c r="A82" s="405">
        <v>3856</v>
      </c>
      <c r="B82" s="406">
        <v>3856</v>
      </c>
      <c r="C82" s="261" t="str">
        <f t="shared" si="22"/>
        <v>0005-0011</v>
      </c>
      <c r="D82" s="261" t="str">
        <f t="shared" si="23"/>
        <v>0005-0011-0007</v>
      </c>
      <c r="E82" s="407" t="s">
        <v>1021</v>
      </c>
      <c r="F82" s="261" t="str">
        <f>TEXT(VLOOKUP(J82,'[3]1'!$B$2:$D$37,2,0),"0000")</f>
        <v>0005</v>
      </c>
      <c r="G82" s="261" t="str">
        <f t="shared" si="24"/>
        <v>0011</v>
      </c>
      <c r="H82" s="408">
        <f t="shared" si="25"/>
        <v>7</v>
      </c>
      <c r="I82" s="407" t="s">
        <v>1021</v>
      </c>
      <c r="J82" s="258" t="s">
        <v>294</v>
      </c>
      <c r="K82" s="258" t="s">
        <v>3073</v>
      </c>
      <c r="L82" s="258" t="s">
        <v>3080</v>
      </c>
      <c r="M82" s="409">
        <v>25160000</v>
      </c>
      <c r="N82" s="258">
        <v>2199</v>
      </c>
      <c r="O82" s="258" t="s">
        <v>78</v>
      </c>
      <c r="P82" s="258" t="s">
        <v>3087</v>
      </c>
      <c r="Q82" s="258" t="s">
        <v>72</v>
      </c>
      <c r="R82" s="258">
        <v>3</v>
      </c>
      <c r="S82" s="410">
        <v>10</v>
      </c>
      <c r="T82" s="261">
        <v>6</v>
      </c>
      <c r="U82" s="261">
        <v>6</v>
      </c>
      <c r="V82" s="258" t="s">
        <v>3068</v>
      </c>
      <c r="W82" s="261" t="str">
        <f t="shared" si="27"/>
        <v>현대자동차스타리아2.2 디젤 카고 2WD 3인승 스마트25160000</v>
      </c>
      <c r="X82" s="411">
        <f t="shared" si="28"/>
        <v>3856</v>
      </c>
      <c r="Y82" s="261">
        <v>6</v>
      </c>
      <c r="Z82" s="261">
        <v>6</v>
      </c>
      <c r="AA82" s="407" t="s">
        <v>1021</v>
      </c>
      <c r="AB82" s="258" t="s">
        <v>3087</v>
      </c>
      <c r="AC82" s="258"/>
      <c r="AD82" s="258" t="s">
        <v>2134</v>
      </c>
      <c r="AE82" s="258" t="s">
        <v>2129</v>
      </c>
      <c r="AF82" s="259"/>
      <c r="AG82" s="260"/>
      <c r="AH82" s="259"/>
      <c r="AI82" s="259"/>
      <c r="AJ82" s="260"/>
      <c r="AK82" s="259">
        <v>26</v>
      </c>
      <c r="AL82" s="259"/>
      <c r="AM82" s="259" t="s">
        <v>3222</v>
      </c>
      <c r="AN82" s="449"/>
      <c r="AO82" s="449"/>
      <c r="AP82" s="449"/>
      <c r="AQ82" s="392" t="str">
        <f>IFERROR(VLOOKUP(BG82,#REF!,1,0),"")</f>
        <v/>
      </c>
      <c r="AS82" s="259" t="s">
        <v>3224</v>
      </c>
      <c r="AT82" s="392" t="s">
        <v>3085</v>
      </c>
      <c r="BD82" s="202" t="str">
        <f t="shared" si="20"/>
        <v>스타리아2.2 디젤 카고 2WD 3인승 스마트</v>
      </c>
      <c r="BE82" s="261" t="str">
        <f t="shared" si="26"/>
        <v>0011</v>
      </c>
      <c r="BF82" s="407" t="s">
        <v>1021</v>
      </c>
      <c r="BG82" s="202" t="str">
        <f t="shared" si="21"/>
        <v>0011-0081</v>
      </c>
    </row>
    <row r="83" spans="1:59">
      <c r="A83" s="405">
        <v>3857</v>
      </c>
      <c r="B83" s="406">
        <v>3857</v>
      </c>
      <c r="C83" s="261" t="str">
        <f t="shared" si="22"/>
        <v>0005-0011</v>
      </c>
      <c r="D83" s="261" t="str">
        <f t="shared" si="23"/>
        <v>0005-0011-0008</v>
      </c>
      <c r="E83" s="407" t="s">
        <v>1020</v>
      </c>
      <c r="F83" s="261" t="str">
        <f>TEXT(VLOOKUP(J83,'[3]1'!$B$2:$D$37,2,0),"0000")</f>
        <v>0005</v>
      </c>
      <c r="G83" s="261" t="str">
        <f t="shared" si="24"/>
        <v>0011</v>
      </c>
      <c r="H83" s="408">
        <f t="shared" si="25"/>
        <v>8</v>
      </c>
      <c r="I83" s="407" t="s">
        <v>1020</v>
      </c>
      <c r="J83" s="258" t="s">
        <v>294</v>
      </c>
      <c r="K83" s="258" t="s">
        <v>3073</v>
      </c>
      <c r="L83" s="258" t="s">
        <v>3082</v>
      </c>
      <c r="M83" s="409">
        <v>28720000</v>
      </c>
      <c r="N83" s="258">
        <v>2199</v>
      </c>
      <c r="O83" s="258" t="s">
        <v>78</v>
      </c>
      <c r="P83" s="258" t="s">
        <v>3087</v>
      </c>
      <c r="Q83" s="258" t="s">
        <v>72</v>
      </c>
      <c r="R83" s="258">
        <v>3</v>
      </c>
      <c r="S83" s="410">
        <v>10</v>
      </c>
      <c r="T83" s="261">
        <v>6</v>
      </c>
      <c r="U83" s="261">
        <v>6</v>
      </c>
      <c r="V83" s="258" t="s">
        <v>3068</v>
      </c>
      <c r="W83" s="261" t="str">
        <f t="shared" si="27"/>
        <v>현대자동차스타리아2.2 디젤 카고 2WD 3인승 모던28720000</v>
      </c>
      <c r="X83" s="411">
        <f t="shared" si="28"/>
        <v>3857</v>
      </c>
      <c r="Y83" s="261">
        <v>6</v>
      </c>
      <c r="Z83" s="261">
        <v>6</v>
      </c>
      <c r="AA83" s="407" t="s">
        <v>1020</v>
      </c>
      <c r="AB83" s="258" t="s">
        <v>3087</v>
      </c>
      <c r="AC83" s="258"/>
      <c r="AD83" s="258" t="s">
        <v>2134</v>
      </c>
      <c r="AE83" s="258" t="s">
        <v>2129</v>
      </c>
      <c r="AF83" s="259"/>
      <c r="AG83" s="260"/>
      <c r="AH83" s="259"/>
      <c r="AI83" s="259"/>
      <c r="AJ83" s="260"/>
      <c r="AK83" s="259">
        <v>26</v>
      </c>
      <c r="AL83" s="259"/>
      <c r="AM83" s="259" t="s">
        <v>3222</v>
      </c>
      <c r="AN83" s="449"/>
      <c r="AO83" s="449"/>
      <c r="AP83" s="449"/>
      <c r="AQ83" s="392" t="str">
        <f>IFERROR(VLOOKUP(BG83,#REF!,1,0),"")</f>
        <v/>
      </c>
      <c r="AS83" s="259" t="s">
        <v>3224</v>
      </c>
      <c r="AT83" s="392" t="s">
        <v>3085</v>
      </c>
      <c r="BD83" s="202" t="str">
        <f t="shared" si="20"/>
        <v>스타리아2.2 디젤 카고 2WD 3인승 모던</v>
      </c>
      <c r="BE83" s="261" t="str">
        <f t="shared" si="26"/>
        <v>0011</v>
      </c>
      <c r="BF83" s="407" t="s">
        <v>1020</v>
      </c>
      <c r="BG83" s="202" t="str">
        <f t="shared" si="21"/>
        <v>0011-0082</v>
      </c>
    </row>
    <row r="84" spans="1:59">
      <c r="A84" s="405">
        <v>3858</v>
      </c>
      <c r="B84" s="406">
        <v>3858</v>
      </c>
      <c r="C84" s="261" t="str">
        <f t="shared" si="22"/>
        <v>0005-0011</v>
      </c>
      <c r="D84" s="261" t="str">
        <f t="shared" si="23"/>
        <v>0005-0011-0009</v>
      </c>
      <c r="E84" s="407" t="s">
        <v>1019</v>
      </c>
      <c r="F84" s="261" t="str">
        <f>TEXT(VLOOKUP(J84,'[3]1'!$B$2:$D$37,2,0),"0000")</f>
        <v>0005</v>
      </c>
      <c r="G84" s="261" t="str">
        <f t="shared" si="24"/>
        <v>0011</v>
      </c>
      <c r="H84" s="408">
        <f t="shared" si="25"/>
        <v>9</v>
      </c>
      <c r="I84" s="407" t="s">
        <v>1019</v>
      </c>
      <c r="J84" s="258" t="s">
        <v>294</v>
      </c>
      <c r="K84" s="258" t="s">
        <v>3073</v>
      </c>
      <c r="L84" s="258" t="s">
        <v>3081</v>
      </c>
      <c r="M84" s="409">
        <v>27950000</v>
      </c>
      <c r="N84" s="258">
        <v>2199</v>
      </c>
      <c r="O84" s="258" t="s">
        <v>78</v>
      </c>
      <c r="P84" s="258" t="s">
        <v>3087</v>
      </c>
      <c r="Q84" s="258" t="s">
        <v>72</v>
      </c>
      <c r="R84" s="258">
        <v>5</v>
      </c>
      <c r="S84" s="410">
        <v>10</v>
      </c>
      <c r="T84" s="261">
        <v>6</v>
      </c>
      <c r="U84" s="261">
        <v>6</v>
      </c>
      <c r="V84" s="258" t="s">
        <v>3068</v>
      </c>
      <c r="W84" s="261" t="str">
        <f t="shared" si="27"/>
        <v>현대자동차스타리아2.2 디젤 카고 2WD 5인승 스마트27950000</v>
      </c>
      <c r="X84" s="411">
        <f t="shared" si="28"/>
        <v>3858</v>
      </c>
      <c r="Y84" s="261">
        <v>6</v>
      </c>
      <c r="Z84" s="261">
        <v>6</v>
      </c>
      <c r="AA84" s="407" t="s">
        <v>1019</v>
      </c>
      <c r="AB84" s="258" t="s">
        <v>3087</v>
      </c>
      <c r="AC84" s="258"/>
      <c r="AD84" s="258" t="s">
        <v>2134</v>
      </c>
      <c r="AE84" s="258" t="s">
        <v>2129</v>
      </c>
      <c r="AF84" s="259"/>
      <c r="AG84" s="260"/>
      <c r="AH84" s="259"/>
      <c r="AI84" s="259"/>
      <c r="AJ84" s="260"/>
      <c r="AK84" s="259">
        <v>26</v>
      </c>
      <c r="AL84" s="259"/>
      <c r="AM84" s="259" t="s">
        <v>3222</v>
      </c>
      <c r="AN84" s="449"/>
      <c r="AO84" s="449"/>
      <c r="AP84" s="449"/>
      <c r="AQ84" s="392" t="str">
        <f>IFERROR(VLOOKUP(BG84,#REF!,1,0),"")</f>
        <v/>
      </c>
      <c r="AS84" s="259" t="s">
        <v>3224</v>
      </c>
      <c r="AT84" s="392" t="s">
        <v>3085</v>
      </c>
      <c r="BD84" s="202" t="str">
        <f t="shared" si="20"/>
        <v>스타리아2.2 디젤 카고 2WD 5인승 스마트</v>
      </c>
      <c r="BE84" s="261" t="str">
        <f t="shared" si="26"/>
        <v>0011</v>
      </c>
      <c r="BF84" s="407" t="s">
        <v>1019</v>
      </c>
      <c r="BG84" s="202" t="str">
        <f t="shared" si="21"/>
        <v>0011-0083</v>
      </c>
    </row>
    <row r="85" spans="1:59">
      <c r="A85" s="405">
        <v>3859</v>
      </c>
      <c r="B85" s="406">
        <v>3859</v>
      </c>
      <c r="C85" s="261" t="str">
        <f t="shared" si="22"/>
        <v>0005-0011</v>
      </c>
      <c r="D85" s="261" t="str">
        <f t="shared" si="23"/>
        <v>0005-0011-0010</v>
      </c>
      <c r="E85" s="407" t="s">
        <v>1018</v>
      </c>
      <c r="F85" s="261" t="str">
        <f>TEXT(VLOOKUP(J85,'[3]1'!$B$2:$D$37,2,0),"0000")</f>
        <v>0005</v>
      </c>
      <c r="G85" s="261" t="str">
        <f t="shared" si="24"/>
        <v>0011</v>
      </c>
      <c r="H85" s="408">
        <f t="shared" si="25"/>
        <v>10</v>
      </c>
      <c r="I85" s="407" t="s">
        <v>1018</v>
      </c>
      <c r="J85" s="258" t="s">
        <v>294</v>
      </c>
      <c r="K85" s="258" t="s">
        <v>3073</v>
      </c>
      <c r="L85" s="258" t="s">
        <v>3083</v>
      </c>
      <c r="M85" s="409">
        <v>29520000</v>
      </c>
      <c r="N85" s="258">
        <v>2199</v>
      </c>
      <c r="O85" s="258" t="s">
        <v>78</v>
      </c>
      <c r="P85" s="258" t="s">
        <v>3087</v>
      </c>
      <c r="Q85" s="258" t="s">
        <v>72</v>
      </c>
      <c r="R85" s="258">
        <v>5</v>
      </c>
      <c r="S85" s="410">
        <v>10</v>
      </c>
      <c r="T85" s="261">
        <v>6</v>
      </c>
      <c r="U85" s="261">
        <v>6</v>
      </c>
      <c r="V85" s="258" t="s">
        <v>3068</v>
      </c>
      <c r="W85" s="261" t="str">
        <f t="shared" si="27"/>
        <v>현대자동차스타리아2.2 디젤 카고 2WD 5인승 모던29520000</v>
      </c>
      <c r="X85" s="411">
        <f t="shared" si="28"/>
        <v>3859</v>
      </c>
      <c r="Y85" s="261">
        <v>6</v>
      </c>
      <c r="Z85" s="261">
        <v>6</v>
      </c>
      <c r="AA85" s="407" t="s">
        <v>1018</v>
      </c>
      <c r="AB85" s="258" t="s">
        <v>3087</v>
      </c>
      <c r="AC85" s="258"/>
      <c r="AD85" s="258" t="s">
        <v>2134</v>
      </c>
      <c r="AE85" s="258" t="s">
        <v>2129</v>
      </c>
      <c r="AF85" s="259"/>
      <c r="AG85" s="260"/>
      <c r="AH85" s="259"/>
      <c r="AI85" s="259"/>
      <c r="AJ85" s="260"/>
      <c r="AK85" s="259">
        <v>26</v>
      </c>
      <c r="AL85" s="259"/>
      <c r="AM85" s="259" t="s">
        <v>3222</v>
      </c>
      <c r="AN85" s="449"/>
      <c r="AO85" s="449"/>
      <c r="AP85" s="449"/>
      <c r="AQ85" s="392" t="str">
        <f>IFERROR(VLOOKUP(BG85,#REF!,1,0),"")</f>
        <v/>
      </c>
      <c r="AS85" s="259" t="s">
        <v>3224</v>
      </c>
      <c r="AT85" s="392" t="s">
        <v>3085</v>
      </c>
      <c r="BD85" s="202" t="str">
        <f t="shared" si="20"/>
        <v>스타리아2.2 디젤 카고 2WD 5인승 모던</v>
      </c>
      <c r="BE85" s="261" t="str">
        <f t="shared" si="26"/>
        <v>0011</v>
      </c>
      <c r="BF85" s="407" t="s">
        <v>1018</v>
      </c>
      <c r="BG85" s="202" t="str">
        <f t="shared" si="21"/>
        <v>0011-0084</v>
      </c>
    </row>
    <row r="86" spans="1:59">
      <c r="A86" s="405">
        <v>3860</v>
      </c>
      <c r="B86" s="406">
        <v>3860</v>
      </c>
      <c r="C86" s="261" t="str">
        <f t="shared" si="22"/>
        <v>0005-0012</v>
      </c>
      <c r="D86" s="261" t="str">
        <f t="shared" si="23"/>
        <v>0005-0012-0001</v>
      </c>
      <c r="E86" s="407" t="s">
        <v>1017</v>
      </c>
      <c r="F86" s="261" t="str">
        <f>TEXT(VLOOKUP(J86,'[3]1'!$B$2:$D$37,2,0),"0000")</f>
        <v>0005</v>
      </c>
      <c r="G86" s="261" t="str">
        <f t="shared" si="24"/>
        <v>0012</v>
      </c>
      <c r="H86" s="408">
        <f t="shared" si="25"/>
        <v>1</v>
      </c>
      <c r="I86" s="407" t="s">
        <v>1017</v>
      </c>
      <c r="J86" s="258" t="s">
        <v>294</v>
      </c>
      <c r="K86" s="258" t="s">
        <v>2758</v>
      </c>
      <c r="L86" s="258" t="s">
        <v>3696</v>
      </c>
      <c r="M86" s="409">
        <v>32940000</v>
      </c>
      <c r="N86" s="258">
        <v>2497</v>
      </c>
      <c r="O86" s="258" t="s">
        <v>77</v>
      </c>
      <c r="P86" s="258" t="s">
        <v>73</v>
      </c>
      <c r="Q86" s="258" t="s">
        <v>72</v>
      </c>
      <c r="R86" s="258">
        <v>5</v>
      </c>
      <c r="S86" s="410">
        <v>1</v>
      </c>
      <c r="T86" s="261">
        <v>6</v>
      </c>
      <c r="U86" s="261">
        <v>6</v>
      </c>
      <c r="V86" s="258" t="s">
        <v>71</v>
      </c>
      <c r="W86" s="261" t="str">
        <f t="shared" si="27"/>
        <v>현대자동차그랜저디올뉴 2.5 2WD32940000</v>
      </c>
      <c r="X86" s="411">
        <f t="shared" si="28"/>
        <v>3860</v>
      </c>
      <c r="Y86" s="261">
        <v>6</v>
      </c>
      <c r="Z86" s="261">
        <v>6</v>
      </c>
      <c r="AA86" s="407" t="s">
        <v>1017</v>
      </c>
      <c r="AB86" s="258" t="s">
        <v>73</v>
      </c>
      <c r="AC86" s="258"/>
      <c r="AD86" s="258" t="s">
        <v>2131</v>
      </c>
      <c r="AE86" s="258" t="s">
        <v>2129</v>
      </c>
      <c r="AF86" s="259"/>
      <c r="AG86" s="260"/>
      <c r="AH86" s="259"/>
      <c r="AI86" s="259"/>
      <c r="AJ86" s="260"/>
      <c r="AK86" s="259">
        <v>26</v>
      </c>
      <c r="AL86" s="259"/>
      <c r="AM86" s="259" t="s">
        <v>3189</v>
      </c>
      <c r="AN86" s="449"/>
      <c r="AO86" s="449"/>
      <c r="AP86" s="449"/>
      <c r="AQ86" s="392" t="str">
        <f>IFERROR(VLOOKUP(BG86,#REF!,1,0),"")</f>
        <v/>
      </c>
      <c r="AS86" s="259" t="s">
        <v>3189</v>
      </c>
      <c r="BD86" s="202" t="str">
        <f t="shared" si="20"/>
        <v>그랜저디올뉴 2.5 2WD</v>
      </c>
      <c r="BE86" s="261" t="str">
        <f t="shared" si="26"/>
        <v>0012</v>
      </c>
      <c r="BF86" s="407" t="s">
        <v>1017</v>
      </c>
      <c r="BG86" s="202" t="str">
        <f t="shared" si="21"/>
        <v>0012-0085</v>
      </c>
    </row>
    <row r="87" spans="1:59">
      <c r="A87" s="405">
        <v>3861</v>
      </c>
      <c r="B87" s="406">
        <v>3861</v>
      </c>
      <c r="C87" s="261" t="str">
        <f t="shared" si="22"/>
        <v>0005-0012</v>
      </c>
      <c r="D87" s="261" t="str">
        <f t="shared" si="23"/>
        <v>0005-0012-0002</v>
      </c>
      <c r="E87" s="407" t="s">
        <v>1016</v>
      </c>
      <c r="F87" s="261" t="str">
        <f>TEXT(VLOOKUP(J87,'[3]1'!$B$2:$D$37,2,0),"0000")</f>
        <v>0005</v>
      </c>
      <c r="G87" s="261" t="str">
        <f t="shared" si="24"/>
        <v>0012</v>
      </c>
      <c r="H87" s="408">
        <f t="shared" si="25"/>
        <v>2</v>
      </c>
      <c r="I87" s="407" t="s">
        <v>1016</v>
      </c>
      <c r="J87" s="258" t="s">
        <v>294</v>
      </c>
      <c r="K87" s="258" t="s">
        <v>2758</v>
      </c>
      <c r="L87" s="258" t="s">
        <v>3697</v>
      </c>
      <c r="M87" s="409">
        <v>32940000</v>
      </c>
      <c r="N87" s="258">
        <v>3470</v>
      </c>
      <c r="O87" s="258" t="s">
        <v>77</v>
      </c>
      <c r="P87" s="258" t="s">
        <v>73</v>
      </c>
      <c r="Q87" s="258" t="s">
        <v>72</v>
      </c>
      <c r="R87" s="258">
        <v>5</v>
      </c>
      <c r="S87" s="410">
        <v>4</v>
      </c>
      <c r="T87" s="261">
        <v>6</v>
      </c>
      <c r="U87" s="261">
        <v>6</v>
      </c>
      <c r="V87" s="258" t="s">
        <v>71</v>
      </c>
      <c r="W87" s="261" t="str">
        <f t="shared" si="27"/>
        <v>현대자동차그랜저디올뉴 3.5 2WD32940000</v>
      </c>
      <c r="X87" s="411">
        <f t="shared" si="28"/>
        <v>3861</v>
      </c>
      <c r="Y87" s="261">
        <v>6</v>
      </c>
      <c r="Z87" s="261">
        <v>6</v>
      </c>
      <c r="AA87" s="407" t="s">
        <v>1016</v>
      </c>
      <c r="AB87" s="258" t="s">
        <v>73</v>
      </c>
      <c r="AC87" s="258"/>
      <c r="AD87" s="258" t="s">
        <v>2131</v>
      </c>
      <c r="AE87" s="258" t="s">
        <v>2129</v>
      </c>
      <c r="AF87" s="259"/>
      <c r="AG87" s="260"/>
      <c r="AH87" s="259"/>
      <c r="AI87" s="259"/>
      <c r="AJ87" s="260"/>
      <c r="AK87" s="259">
        <v>26</v>
      </c>
      <c r="AL87" s="259"/>
      <c r="AM87" s="259" t="s">
        <v>3189</v>
      </c>
      <c r="AN87" s="449"/>
      <c r="AO87" s="449"/>
      <c r="AP87" s="449"/>
      <c r="AQ87" s="392" t="str">
        <f>IFERROR(VLOOKUP(BG87,#REF!,1,0),"")</f>
        <v/>
      </c>
      <c r="AS87" s="259" t="s">
        <v>3189</v>
      </c>
      <c r="BD87" s="202" t="str">
        <f t="shared" si="20"/>
        <v>그랜저디올뉴 3.5 2WD</v>
      </c>
      <c r="BE87" s="261" t="str">
        <f t="shared" si="26"/>
        <v>0012</v>
      </c>
      <c r="BF87" s="407" t="s">
        <v>1016</v>
      </c>
      <c r="BG87" s="202" t="str">
        <f t="shared" si="21"/>
        <v>0012-0086</v>
      </c>
    </row>
    <row r="88" spans="1:59">
      <c r="A88" s="405">
        <v>3862</v>
      </c>
      <c r="B88" s="406">
        <v>3862</v>
      </c>
      <c r="C88" s="261" t="str">
        <f t="shared" si="22"/>
        <v>0005-0012</v>
      </c>
      <c r="D88" s="261" t="str">
        <f t="shared" si="23"/>
        <v>0005-0012-0003</v>
      </c>
      <c r="E88" s="407" t="s">
        <v>1015</v>
      </c>
      <c r="F88" s="261" t="str">
        <f>TEXT(VLOOKUP(J88,'[3]1'!$B$2:$D$37,2,0),"0000")</f>
        <v>0005</v>
      </c>
      <c r="G88" s="261" t="str">
        <f t="shared" si="24"/>
        <v>0012</v>
      </c>
      <c r="H88" s="408">
        <f t="shared" si="25"/>
        <v>3</v>
      </c>
      <c r="I88" s="407" t="s">
        <v>1015</v>
      </c>
      <c r="J88" s="258" t="s">
        <v>294</v>
      </c>
      <c r="K88" s="258" t="s">
        <v>2758</v>
      </c>
      <c r="L88" s="258" t="s">
        <v>3698</v>
      </c>
      <c r="M88" s="409">
        <v>36810000</v>
      </c>
      <c r="N88" s="258">
        <v>2497</v>
      </c>
      <c r="O88" s="258" t="s">
        <v>77</v>
      </c>
      <c r="P88" s="258" t="s">
        <v>73</v>
      </c>
      <c r="Q88" s="258" t="s">
        <v>72</v>
      </c>
      <c r="R88" s="258">
        <v>5</v>
      </c>
      <c r="S88" s="410">
        <v>4</v>
      </c>
      <c r="T88" s="261">
        <v>6</v>
      </c>
      <c r="U88" s="261">
        <v>6</v>
      </c>
      <c r="V88" s="258" t="s">
        <v>3329</v>
      </c>
      <c r="W88" s="261" t="str">
        <f t="shared" si="27"/>
        <v>현대자동차그랜저디올뉴 3.5 4WD36810000</v>
      </c>
      <c r="X88" s="411">
        <f t="shared" si="28"/>
        <v>3862</v>
      </c>
      <c r="Y88" s="261">
        <v>6</v>
      </c>
      <c r="Z88" s="261">
        <v>6</v>
      </c>
      <c r="AA88" s="407" t="s">
        <v>1015</v>
      </c>
      <c r="AB88" s="258" t="s">
        <v>3332</v>
      </c>
      <c r="AC88" s="258"/>
      <c r="AD88" s="258" t="s">
        <v>2131</v>
      </c>
      <c r="AE88" s="258" t="s">
        <v>2129</v>
      </c>
      <c r="AF88" s="259"/>
      <c r="AG88" s="260"/>
      <c r="AH88" s="259"/>
      <c r="AI88" s="259"/>
      <c r="AJ88" s="260"/>
      <c r="AK88" s="259">
        <v>26</v>
      </c>
      <c r="AL88" s="259"/>
      <c r="AM88" s="259" t="s">
        <v>3223</v>
      </c>
      <c r="AN88" s="449"/>
      <c r="AO88" s="449"/>
      <c r="AP88" s="449"/>
      <c r="AQ88" s="392" t="str">
        <f>IFERROR(VLOOKUP(BG88,#REF!,1,0),"")</f>
        <v/>
      </c>
      <c r="AS88" s="259" t="s">
        <v>3189</v>
      </c>
      <c r="BD88" s="202" t="str">
        <f t="shared" si="20"/>
        <v>그랜저디올뉴 3.5 4WD</v>
      </c>
      <c r="BE88" s="261" t="str">
        <f t="shared" si="26"/>
        <v>0012</v>
      </c>
      <c r="BF88" s="407" t="s">
        <v>1015</v>
      </c>
      <c r="BG88" s="202" t="str">
        <f t="shared" si="21"/>
        <v>0012-0087</v>
      </c>
    </row>
    <row r="89" spans="1:59">
      <c r="A89" s="405">
        <v>3863</v>
      </c>
      <c r="B89" s="406">
        <v>3863</v>
      </c>
      <c r="C89" s="261" t="str">
        <f t="shared" si="22"/>
        <v>0005-0013</v>
      </c>
      <c r="D89" s="261" t="str">
        <f t="shared" si="23"/>
        <v>0005-0013-0001</v>
      </c>
      <c r="E89" s="407" t="s">
        <v>1014</v>
      </c>
      <c r="F89" s="261" t="str">
        <f>TEXT(VLOOKUP(J89,'[3]1'!$B$2:$D$37,2,0),"0000")</f>
        <v>0005</v>
      </c>
      <c r="G89" s="261" t="str">
        <f t="shared" si="24"/>
        <v>0013</v>
      </c>
      <c r="H89" s="408">
        <f t="shared" si="25"/>
        <v>1</v>
      </c>
      <c r="I89" s="407" t="s">
        <v>1014</v>
      </c>
      <c r="J89" s="258" t="s">
        <v>294</v>
      </c>
      <c r="K89" s="258" t="s">
        <v>2759</v>
      </c>
      <c r="L89" s="258" t="s">
        <v>3693</v>
      </c>
      <c r="M89" s="409">
        <v>38120000</v>
      </c>
      <c r="N89" s="258">
        <v>1598</v>
      </c>
      <c r="O89" s="258" t="s">
        <v>74</v>
      </c>
      <c r="P89" s="258" t="s">
        <v>73</v>
      </c>
      <c r="Q89" s="258" t="s">
        <v>72</v>
      </c>
      <c r="R89" s="258">
        <v>5</v>
      </c>
      <c r="S89" s="410">
        <v>2</v>
      </c>
      <c r="T89" s="261">
        <v>6</v>
      </c>
      <c r="U89" s="261">
        <v>6</v>
      </c>
      <c r="V89" s="258" t="s">
        <v>1914</v>
      </c>
      <c r="W89" s="261" t="str">
        <f t="shared" si="27"/>
        <v>현대자동차그랜저 하이브리드디올뉴 프리미엄38120000</v>
      </c>
      <c r="X89" s="411">
        <f t="shared" si="28"/>
        <v>3863</v>
      </c>
      <c r="Y89" s="261">
        <v>6</v>
      </c>
      <c r="Z89" s="261">
        <v>6</v>
      </c>
      <c r="AA89" s="407" t="s">
        <v>1014</v>
      </c>
      <c r="AB89" s="258" t="s">
        <v>3332</v>
      </c>
      <c r="AC89" s="258"/>
      <c r="AD89" s="258" t="s">
        <v>2132</v>
      </c>
      <c r="AE89" s="258" t="s">
        <v>2129</v>
      </c>
      <c r="AF89" s="259"/>
      <c r="AG89" s="260"/>
      <c r="AH89" s="259"/>
      <c r="AI89" s="259"/>
      <c r="AJ89" s="260"/>
      <c r="AK89" s="259">
        <v>26</v>
      </c>
      <c r="AL89" s="259"/>
      <c r="AM89" s="259" t="s">
        <v>3223</v>
      </c>
      <c r="AN89" s="449"/>
      <c r="AO89" s="449"/>
      <c r="AP89" s="449"/>
      <c r="AQ89" s="392" t="str">
        <f>IFERROR(VLOOKUP(BG89,#REF!,1,0),"")</f>
        <v/>
      </c>
      <c r="AS89" s="259" t="s">
        <v>3223</v>
      </c>
      <c r="AX89" s="392" t="s">
        <v>3461</v>
      </c>
      <c r="BD89" s="202" t="str">
        <f t="shared" si="20"/>
        <v>그랜저 하이브리드디올뉴 프리미엄</v>
      </c>
      <c r="BE89" s="261" t="str">
        <f t="shared" si="26"/>
        <v>0013</v>
      </c>
      <c r="BF89" s="407" t="s">
        <v>1014</v>
      </c>
      <c r="BG89" s="202" t="str">
        <f t="shared" si="21"/>
        <v>0013-0088</v>
      </c>
    </row>
    <row r="90" spans="1:59">
      <c r="A90" s="405">
        <v>3864</v>
      </c>
      <c r="B90" s="406">
        <v>3864</v>
      </c>
      <c r="C90" s="261" t="str">
        <f t="shared" si="22"/>
        <v>0005-0013</v>
      </c>
      <c r="D90" s="261" t="str">
        <f t="shared" si="23"/>
        <v>0005-0013-0002</v>
      </c>
      <c r="E90" s="407" t="s">
        <v>1013</v>
      </c>
      <c r="F90" s="261" t="str">
        <f>TEXT(VLOOKUP(J90,'[3]1'!$B$2:$D$37,2,0),"0000")</f>
        <v>0005</v>
      </c>
      <c r="G90" s="261" t="str">
        <f t="shared" si="24"/>
        <v>0013</v>
      </c>
      <c r="H90" s="408">
        <f t="shared" si="25"/>
        <v>2</v>
      </c>
      <c r="I90" s="407" t="s">
        <v>1013</v>
      </c>
      <c r="J90" s="258" t="s">
        <v>294</v>
      </c>
      <c r="K90" s="258" t="s">
        <v>2759</v>
      </c>
      <c r="L90" s="258" t="s">
        <v>3694</v>
      </c>
      <c r="M90" s="409">
        <v>41550000</v>
      </c>
      <c r="N90" s="258">
        <v>1598</v>
      </c>
      <c r="O90" s="258" t="s">
        <v>74</v>
      </c>
      <c r="P90" s="258" t="s">
        <v>73</v>
      </c>
      <c r="Q90" s="258" t="s">
        <v>72</v>
      </c>
      <c r="R90" s="258">
        <v>5</v>
      </c>
      <c r="S90" s="410">
        <v>2</v>
      </c>
      <c r="T90" s="261">
        <v>6</v>
      </c>
      <c r="U90" s="261">
        <v>6</v>
      </c>
      <c r="V90" s="258" t="s">
        <v>1914</v>
      </c>
      <c r="W90" s="261" t="str">
        <f t="shared" si="27"/>
        <v>현대자동차그랜저 하이브리드디올뉴 익스클루시브41550000</v>
      </c>
      <c r="X90" s="411">
        <f t="shared" si="28"/>
        <v>3864</v>
      </c>
      <c r="Y90" s="261">
        <v>6</v>
      </c>
      <c r="Z90" s="261">
        <v>6</v>
      </c>
      <c r="AA90" s="407" t="s">
        <v>1013</v>
      </c>
      <c r="AB90" s="258" t="s">
        <v>1431</v>
      </c>
      <c r="AC90" s="258"/>
      <c r="AD90" s="258" t="s">
        <v>2132</v>
      </c>
      <c r="AE90" s="258" t="s">
        <v>2129</v>
      </c>
      <c r="AF90" s="259"/>
      <c r="AG90" s="260"/>
      <c r="AH90" s="259"/>
      <c r="AI90" s="259"/>
      <c r="AJ90" s="260"/>
      <c r="AK90" s="259">
        <v>26</v>
      </c>
      <c r="AL90" s="259"/>
      <c r="AM90" s="259" t="s">
        <v>3223</v>
      </c>
      <c r="AN90" s="449"/>
      <c r="AO90" s="449"/>
      <c r="AP90" s="449"/>
      <c r="AQ90" s="392" t="str">
        <f>IFERROR(VLOOKUP(BG90,#REF!,1,0),"")</f>
        <v/>
      </c>
      <c r="AS90" s="259" t="s">
        <v>3223</v>
      </c>
      <c r="AX90" s="392" t="s">
        <v>3461</v>
      </c>
      <c r="BD90" s="202" t="str">
        <f t="shared" si="20"/>
        <v>그랜저 하이브리드디올뉴 익스클루시브</v>
      </c>
      <c r="BE90" s="261" t="str">
        <f t="shared" si="26"/>
        <v>0013</v>
      </c>
      <c r="BF90" s="407" t="s">
        <v>1013</v>
      </c>
      <c r="BG90" s="202" t="str">
        <f t="shared" si="21"/>
        <v>0013-0089</v>
      </c>
    </row>
    <row r="91" spans="1:59">
      <c r="A91" s="405">
        <v>3865</v>
      </c>
      <c r="B91" s="406">
        <v>3865</v>
      </c>
      <c r="C91" s="261" t="str">
        <f t="shared" si="22"/>
        <v>0005-0013</v>
      </c>
      <c r="D91" s="261" t="str">
        <f t="shared" si="23"/>
        <v>0005-0013-0003</v>
      </c>
      <c r="E91" s="407" t="s">
        <v>1012</v>
      </c>
      <c r="F91" s="261" t="str">
        <f>TEXT(VLOOKUP(J91,'[3]1'!$B$2:$D$37,2,0),"0000")</f>
        <v>0005</v>
      </c>
      <c r="G91" s="261" t="str">
        <f t="shared" si="24"/>
        <v>0013</v>
      </c>
      <c r="H91" s="408">
        <f t="shared" si="25"/>
        <v>3</v>
      </c>
      <c r="I91" s="407" t="s">
        <v>1012</v>
      </c>
      <c r="J91" s="258" t="s">
        <v>294</v>
      </c>
      <c r="K91" s="258" t="s">
        <v>2759</v>
      </c>
      <c r="L91" s="258" t="s">
        <v>3695</v>
      </c>
      <c r="M91" s="409">
        <v>46320000</v>
      </c>
      <c r="N91" s="258">
        <v>1598</v>
      </c>
      <c r="O91" s="258" t="s">
        <v>74</v>
      </c>
      <c r="P91" s="258" t="s">
        <v>73</v>
      </c>
      <c r="Q91" s="258" t="s">
        <v>72</v>
      </c>
      <c r="R91" s="258">
        <v>5</v>
      </c>
      <c r="S91" s="410">
        <v>2</v>
      </c>
      <c r="T91" s="261">
        <v>6</v>
      </c>
      <c r="U91" s="261">
        <v>6</v>
      </c>
      <c r="V91" s="258" t="s">
        <v>1914</v>
      </c>
      <c r="W91" s="261" t="str">
        <f t="shared" si="27"/>
        <v>현대자동차그랜저 하이브리드디올뉴 캘리그래피46320000</v>
      </c>
      <c r="X91" s="411">
        <f t="shared" si="28"/>
        <v>3865</v>
      </c>
      <c r="Y91" s="261">
        <v>6</v>
      </c>
      <c r="Z91" s="261">
        <v>6</v>
      </c>
      <c r="AA91" s="407" t="s">
        <v>1012</v>
      </c>
      <c r="AB91" s="258" t="s">
        <v>1431</v>
      </c>
      <c r="AC91" s="258"/>
      <c r="AD91" s="258" t="s">
        <v>2132</v>
      </c>
      <c r="AE91" s="258" t="s">
        <v>2129</v>
      </c>
      <c r="AF91" s="259"/>
      <c r="AG91" s="260"/>
      <c r="AH91" s="259"/>
      <c r="AI91" s="259"/>
      <c r="AJ91" s="260"/>
      <c r="AK91" s="259">
        <v>26</v>
      </c>
      <c r="AL91" s="259"/>
      <c r="AM91" s="259" t="s">
        <v>3223</v>
      </c>
      <c r="AN91" s="449"/>
      <c r="AO91" s="449"/>
      <c r="AP91" s="449"/>
      <c r="AQ91" s="392" t="str">
        <f>IFERROR(VLOOKUP(BG91,#REF!,1,0),"")</f>
        <v/>
      </c>
      <c r="AS91" s="259" t="s">
        <v>3223</v>
      </c>
      <c r="AX91" s="392" t="s">
        <v>3461</v>
      </c>
      <c r="BD91" s="202" t="str">
        <f t="shared" si="20"/>
        <v>그랜저 하이브리드디올뉴 캘리그래피</v>
      </c>
      <c r="BE91" s="261" t="str">
        <f t="shared" si="26"/>
        <v>0013</v>
      </c>
      <c r="BF91" s="407" t="s">
        <v>1012</v>
      </c>
      <c r="BG91" s="202" t="str">
        <f t="shared" si="21"/>
        <v>0013-0090</v>
      </c>
    </row>
    <row r="92" spans="1:59">
      <c r="A92" s="405">
        <v>3866</v>
      </c>
      <c r="B92" s="406">
        <v>3866</v>
      </c>
      <c r="C92" s="261" t="str">
        <f t="shared" si="22"/>
        <v>0005-0014</v>
      </c>
      <c r="D92" s="261" t="str">
        <f t="shared" si="23"/>
        <v>0005-0014-0001</v>
      </c>
      <c r="E92" s="407" t="s">
        <v>1011</v>
      </c>
      <c r="F92" s="261" t="str">
        <f>TEXT(VLOOKUP(J92,'[3]1'!$B$2:$D$37,2,0),"0000")</f>
        <v>0005</v>
      </c>
      <c r="G92" s="261" t="str">
        <f t="shared" si="24"/>
        <v>0014</v>
      </c>
      <c r="H92" s="408">
        <f t="shared" si="25"/>
        <v>1</v>
      </c>
      <c r="I92" s="407" t="s">
        <v>1011</v>
      </c>
      <c r="J92" s="258" t="s">
        <v>294</v>
      </c>
      <c r="K92" s="258" t="s">
        <v>2760</v>
      </c>
      <c r="L92" s="258" t="s">
        <v>2538</v>
      </c>
      <c r="M92" s="409">
        <v>17990000</v>
      </c>
      <c r="N92" s="258">
        <v>1598</v>
      </c>
      <c r="O92" s="258" t="s">
        <v>77</v>
      </c>
      <c r="P92" s="258" t="s">
        <v>73</v>
      </c>
      <c r="Q92" s="258" t="s">
        <v>72</v>
      </c>
      <c r="R92" s="258">
        <v>5</v>
      </c>
      <c r="S92" s="410">
        <v>8</v>
      </c>
      <c r="T92" s="261">
        <v>6</v>
      </c>
      <c r="U92" s="261">
        <v>6</v>
      </c>
      <c r="V92" s="258" t="s">
        <v>71</v>
      </c>
      <c r="W92" s="261" t="str">
        <f t="shared" si="27"/>
        <v>현대자동차베뉴모던17990000</v>
      </c>
      <c r="X92" s="411">
        <f t="shared" si="28"/>
        <v>3866</v>
      </c>
      <c r="Y92" s="261">
        <v>6</v>
      </c>
      <c r="Z92" s="261">
        <v>6</v>
      </c>
      <c r="AA92" s="407" t="s">
        <v>1011</v>
      </c>
      <c r="AB92" s="258" t="s">
        <v>73</v>
      </c>
      <c r="AC92" s="258"/>
      <c r="AD92" s="258" t="s">
        <v>2131</v>
      </c>
      <c r="AE92" s="258" t="s">
        <v>2129</v>
      </c>
      <c r="AF92" s="259"/>
      <c r="AG92" s="260"/>
      <c r="AH92" s="259"/>
      <c r="AI92" s="259"/>
      <c r="AJ92" s="260"/>
      <c r="AK92" s="259">
        <v>26</v>
      </c>
      <c r="AL92" s="259"/>
      <c r="AM92" s="259" t="s">
        <v>3231</v>
      </c>
      <c r="AN92" s="449"/>
      <c r="AO92" s="449"/>
      <c r="AP92" s="449"/>
      <c r="AQ92" s="392" t="str">
        <f>IFERROR(VLOOKUP(BG92,#REF!,1,0),"")</f>
        <v/>
      </c>
      <c r="AS92" s="259" t="s">
        <v>3231</v>
      </c>
      <c r="BD92" s="202" t="str">
        <f t="shared" si="20"/>
        <v>베뉴모던</v>
      </c>
      <c r="BE92" s="261" t="str">
        <f t="shared" si="26"/>
        <v>0014</v>
      </c>
      <c r="BF92" s="407" t="s">
        <v>1011</v>
      </c>
      <c r="BG92" s="202" t="str">
        <f t="shared" si="21"/>
        <v>0014-0091</v>
      </c>
    </row>
    <row r="93" spans="1:59">
      <c r="A93" s="405">
        <v>3867</v>
      </c>
      <c r="B93" s="406">
        <v>3867</v>
      </c>
      <c r="C93" s="261" t="str">
        <f t="shared" si="22"/>
        <v>0005-0014</v>
      </c>
      <c r="D93" s="261" t="str">
        <f t="shared" si="23"/>
        <v>0005-0014-0002</v>
      </c>
      <c r="E93" s="407" t="s">
        <v>1010</v>
      </c>
      <c r="F93" s="261" t="str">
        <f>TEXT(VLOOKUP(J93,'[3]1'!$B$2:$D$37,2,0),"0000")</f>
        <v>0005</v>
      </c>
      <c r="G93" s="261" t="str">
        <f t="shared" si="24"/>
        <v>0014</v>
      </c>
      <c r="H93" s="408">
        <f t="shared" si="25"/>
        <v>2</v>
      </c>
      <c r="I93" s="407" t="s">
        <v>1010</v>
      </c>
      <c r="J93" s="258" t="s">
        <v>294</v>
      </c>
      <c r="K93" s="258" t="s">
        <v>2760</v>
      </c>
      <c r="L93" s="258" t="s">
        <v>2539</v>
      </c>
      <c r="M93" s="409">
        <v>21110000</v>
      </c>
      <c r="N93" s="258">
        <v>1598</v>
      </c>
      <c r="O93" s="258" t="s">
        <v>77</v>
      </c>
      <c r="P93" s="258" t="s">
        <v>73</v>
      </c>
      <c r="Q93" s="258" t="s">
        <v>72</v>
      </c>
      <c r="R93" s="258">
        <v>6</v>
      </c>
      <c r="S93" s="410">
        <v>8</v>
      </c>
      <c r="T93" s="261">
        <v>6</v>
      </c>
      <c r="U93" s="261">
        <v>6</v>
      </c>
      <c r="V93" s="258" t="s">
        <v>71</v>
      </c>
      <c r="W93" s="261" t="str">
        <f t="shared" si="27"/>
        <v>현대자동차베뉴FLUX21110000</v>
      </c>
      <c r="X93" s="411">
        <f t="shared" si="28"/>
        <v>3867</v>
      </c>
      <c r="Y93" s="261">
        <v>6</v>
      </c>
      <c r="Z93" s="261">
        <v>6</v>
      </c>
      <c r="AA93" s="407" t="s">
        <v>1010</v>
      </c>
      <c r="AB93" s="258" t="s">
        <v>86</v>
      </c>
      <c r="AC93" s="258"/>
      <c r="AD93" s="258" t="s">
        <v>2131</v>
      </c>
      <c r="AE93" s="258" t="s">
        <v>2129</v>
      </c>
      <c r="AF93" s="259"/>
      <c r="AG93" s="260"/>
      <c r="AH93" s="259"/>
      <c r="AI93" s="259"/>
      <c r="AJ93" s="260"/>
      <c r="AK93" s="259">
        <v>26</v>
      </c>
      <c r="AL93" s="259"/>
      <c r="AM93" s="259" t="s">
        <v>3231</v>
      </c>
      <c r="AN93" s="449"/>
      <c r="AO93" s="449"/>
      <c r="AP93" s="449"/>
      <c r="AQ93" s="392" t="str">
        <f>IFERROR(VLOOKUP(BG93,#REF!,1,0),"")</f>
        <v/>
      </c>
      <c r="AS93" s="259" t="s">
        <v>3231</v>
      </c>
      <c r="BD93" s="202" t="str">
        <f t="shared" si="20"/>
        <v>베뉴FLUX</v>
      </c>
      <c r="BE93" s="261" t="str">
        <f t="shared" si="26"/>
        <v>0014</v>
      </c>
      <c r="BF93" s="407" t="s">
        <v>1010</v>
      </c>
      <c r="BG93" s="202" t="str">
        <f t="shared" si="21"/>
        <v>0014-0092</v>
      </c>
    </row>
    <row r="94" spans="1:59">
      <c r="A94" s="405">
        <v>3868</v>
      </c>
      <c r="B94" s="406">
        <v>3868</v>
      </c>
      <c r="C94" s="261" t="str">
        <f t="shared" si="22"/>
        <v>0005-0014</v>
      </c>
      <c r="D94" s="261" t="str">
        <f t="shared" si="23"/>
        <v>0005-0014-0003</v>
      </c>
      <c r="E94" s="407" t="s">
        <v>1009</v>
      </c>
      <c r="F94" s="261" t="str">
        <f>TEXT(VLOOKUP(J94,'[3]1'!$B$2:$D$37,2,0),"0000")</f>
        <v>0005</v>
      </c>
      <c r="G94" s="261" t="str">
        <f t="shared" si="24"/>
        <v>0014</v>
      </c>
      <c r="H94" s="408">
        <f t="shared" si="25"/>
        <v>3</v>
      </c>
      <c r="I94" s="407" t="s">
        <v>1009</v>
      </c>
      <c r="J94" s="258" t="s">
        <v>294</v>
      </c>
      <c r="K94" s="258" t="s">
        <v>2760</v>
      </c>
      <c r="L94" s="258" t="s">
        <v>2540</v>
      </c>
      <c r="M94" s="409">
        <v>14730000</v>
      </c>
      <c r="N94" s="258">
        <v>1598</v>
      </c>
      <c r="O94" s="258" t="s">
        <v>77</v>
      </c>
      <c r="P94" s="258" t="s">
        <v>73</v>
      </c>
      <c r="Q94" s="258" t="s">
        <v>72</v>
      </c>
      <c r="R94" s="258">
        <v>5</v>
      </c>
      <c r="S94" s="410">
        <v>8</v>
      </c>
      <c r="T94" s="261">
        <v>6</v>
      </c>
      <c r="U94" s="261">
        <v>6</v>
      </c>
      <c r="V94" s="258" t="s">
        <v>71</v>
      </c>
      <c r="W94" s="261" t="str">
        <f t="shared" si="27"/>
        <v>현대자동차베뉴베뉴 스마트14730000</v>
      </c>
      <c r="X94" s="411">
        <f t="shared" si="28"/>
        <v>3868</v>
      </c>
      <c r="Y94" s="261">
        <v>6</v>
      </c>
      <c r="Z94" s="261">
        <v>6</v>
      </c>
      <c r="AA94" s="407" t="s">
        <v>1009</v>
      </c>
      <c r="AB94" s="258" t="s">
        <v>73</v>
      </c>
      <c r="AC94" s="258"/>
      <c r="AD94" s="258" t="s">
        <v>2131</v>
      </c>
      <c r="AE94" s="258" t="s">
        <v>2129</v>
      </c>
      <c r="AF94" s="259"/>
      <c r="AG94" s="260"/>
      <c r="AH94" s="259"/>
      <c r="AI94" s="259"/>
      <c r="AJ94" s="260"/>
      <c r="AK94" s="259">
        <v>26</v>
      </c>
      <c r="AL94" s="259"/>
      <c r="AM94" s="259" t="s">
        <v>3231</v>
      </c>
      <c r="AN94" s="449"/>
      <c r="AO94" s="449"/>
      <c r="AP94" s="449"/>
      <c r="AQ94" s="392" t="str">
        <f>IFERROR(VLOOKUP(BG94,#REF!,1,0),"")</f>
        <v/>
      </c>
      <c r="AS94" s="259" t="s">
        <v>3231</v>
      </c>
      <c r="BD94" s="202" t="str">
        <f t="shared" si="20"/>
        <v>베뉴베뉴 스마트</v>
      </c>
      <c r="BE94" s="261" t="str">
        <f t="shared" si="26"/>
        <v>0014</v>
      </c>
      <c r="BF94" s="407" t="s">
        <v>1009</v>
      </c>
      <c r="BG94" s="202" t="str">
        <f t="shared" si="21"/>
        <v>0014-0093</v>
      </c>
    </row>
    <row r="95" spans="1:59">
      <c r="A95" s="405">
        <v>3869</v>
      </c>
      <c r="B95" s="406">
        <v>3869</v>
      </c>
      <c r="C95" s="261" t="str">
        <f t="shared" si="22"/>
        <v>0005-0015</v>
      </c>
      <c r="D95" s="261" t="str">
        <f t="shared" si="23"/>
        <v>0005-0015-0001</v>
      </c>
      <c r="E95" s="407" t="s">
        <v>1008</v>
      </c>
      <c r="F95" s="261" t="str">
        <f>TEXT(VLOOKUP(J95,'[3]1'!$B$2:$D$37,2,0),"0000")</f>
        <v>0005</v>
      </c>
      <c r="G95" s="261" t="str">
        <f t="shared" si="24"/>
        <v>0015</v>
      </c>
      <c r="H95" s="408">
        <f t="shared" si="25"/>
        <v>1</v>
      </c>
      <c r="I95" s="407" t="s">
        <v>1008</v>
      </c>
      <c r="J95" s="258" t="s">
        <v>294</v>
      </c>
      <c r="K95" s="258" t="s">
        <v>2761</v>
      </c>
      <c r="L95" s="258" t="s">
        <v>2541</v>
      </c>
      <c r="M95" s="409">
        <v>29650000</v>
      </c>
      <c r="N95" s="258">
        <v>1998</v>
      </c>
      <c r="O95" s="258" t="s">
        <v>77</v>
      </c>
      <c r="P95" s="258" t="s">
        <v>73</v>
      </c>
      <c r="Q95" s="258" t="s">
        <v>88</v>
      </c>
      <c r="R95" s="258">
        <v>5</v>
      </c>
      <c r="S95" s="410">
        <v>9</v>
      </c>
      <c r="T95" s="261">
        <v>6</v>
      </c>
      <c r="U95" s="261">
        <v>6</v>
      </c>
      <c r="V95" s="258" t="s">
        <v>71</v>
      </c>
      <c r="W95" s="261" t="str">
        <f t="shared" si="27"/>
        <v>현대자동차벨로스터N 2.0 Turbo M/T29650000</v>
      </c>
      <c r="X95" s="411">
        <f t="shared" si="28"/>
        <v>3869</v>
      </c>
      <c r="Y95" s="261">
        <v>6</v>
      </c>
      <c r="Z95" s="261">
        <v>6</v>
      </c>
      <c r="AA95" s="407" t="s">
        <v>1008</v>
      </c>
      <c r="AB95" s="258" t="s">
        <v>73</v>
      </c>
      <c r="AC95" s="258"/>
      <c r="AD95" s="258" t="s">
        <v>2132</v>
      </c>
      <c r="AE95" s="258" t="s">
        <v>2129</v>
      </c>
      <c r="AF95" s="259"/>
      <c r="AG95" s="260"/>
      <c r="AH95" s="259"/>
      <c r="AI95" s="259"/>
      <c r="AJ95" s="260"/>
      <c r="AK95" s="259">
        <v>26</v>
      </c>
      <c r="AL95" s="259"/>
      <c r="AM95" s="259" t="s">
        <v>3229</v>
      </c>
      <c r="AN95" s="449"/>
      <c r="AO95" s="449"/>
      <c r="AP95" s="449"/>
      <c r="AQ95" s="392" t="str">
        <f>IFERROR(VLOOKUP(BG95,#REF!,1,0),"")</f>
        <v/>
      </c>
      <c r="AS95" s="259" t="s">
        <v>3222</v>
      </c>
      <c r="BD95" s="202" t="str">
        <f t="shared" si="20"/>
        <v>벨로스터N 2.0 Turbo M/T</v>
      </c>
      <c r="BE95" s="261" t="str">
        <f t="shared" si="26"/>
        <v>0015</v>
      </c>
      <c r="BF95" s="407" t="s">
        <v>1008</v>
      </c>
      <c r="BG95" s="202" t="str">
        <f t="shared" si="21"/>
        <v>0015-0094</v>
      </c>
    </row>
    <row r="96" spans="1:59">
      <c r="A96" s="405">
        <v>3870</v>
      </c>
      <c r="B96" s="406">
        <v>3870</v>
      </c>
      <c r="C96" s="261" t="str">
        <f t="shared" si="22"/>
        <v>0005-0015</v>
      </c>
      <c r="D96" s="261" t="str">
        <f t="shared" si="23"/>
        <v>0005-0015-0002</v>
      </c>
      <c r="E96" s="407" t="s">
        <v>1007</v>
      </c>
      <c r="F96" s="261" t="str">
        <f>TEXT(VLOOKUP(J96,'[3]1'!$B$2:$D$37,2,0),"0000")</f>
        <v>0005</v>
      </c>
      <c r="G96" s="261" t="str">
        <f t="shared" si="24"/>
        <v>0015</v>
      </c>
      <c r="H96" s="408">
        <f t="shared" si="25"/>
        <v>2</v>
      </c>
      <c r="I96" s="407" t="s">
        <v>1007</v>
      </c>
      <c r="J96" s="258" t="s">
        <v>294</v>
      </c>
      <c r="K96" s="258" t="s">
        <v>2761</v>
      </c>
      <c r="L96" s="258" t="s">
        <v>2542</v>
      </c>
      <c r="M96" s="409">
        <v>31650000</v>
      </c>
      <c r="N96" s="258">
        <v>1998</v>
      </c>
      <c r="O96" s="258" t="s">
        <v>77</v>
      </c>
      <c r="P96" s="258" t="s">
        <v>73</v>
      </c>
      <c r="Q96" s="258" t="s">
        <v>72</v>
      </c>
      <c r="R96" s="258" t="e">
        <v>#N/A</v>
      </c>
      <c r="S96" s="410">
        <v>7</v>
      </c>
      <c r="T96" s="261">
        <v>6</v>
      </c>
      <c r="U96" s="261">
        <v>6</v>
      </c>
      <c r="V96" s="258" t="s">
        <v>3993</v>
      </c>
      <c r="W96" s="261" t="str">
        <f t="shared" si="27"/>
        <v>현대자동차벨로스터N 2.0 터보 퍼포먼스 패키지31650000</v>
      </c>
      <c r="X96" s="411">
        <f t="shared" si="28"/>
        <v>3870</v>
      </c>
      <c r="Y96" s="261">
        <v>6</v>
      </c>
      <c r="Z96" s="261">
        <v>6</v>
      </c>
      <c r="AA96" s="407" t="s">
        <v>1007</v>
      </c>
      <c r="AB96" s="258" t="e">
        <v>#N/A</v>
      </c>
      <c r="AC96" s="258"/>
      <c r="AD96" s="258" t="s">
        <v>2132</v>
      </c>
      <c r="AE96" s="258" t="s">
        <v>2129</v>
      </c>
      <c r="AF96" s="259"/>
      <c r="AG96" s="260"/>
      <c r="AH96" s="259"/>
      <c r="AI96" s="259"/>
      <c r="AJ96" s="260"/>
      <c r="AK96" s="259">
        <v>26</v>
      </c>
      <c r="AL96" s="259"/>
      <c r="AM96" s="259" t="s">
        <v>3229</v>
      </c>
      <c r="AN96" s="449"/>
      <c r="AO96" s="449"/>
      <c r="AP96" s="449"/>
      <c r="AQ96" s="392" t="str">
        <f>IFERROR(VLOOKUP(BG96,#REF!,1,0),"")</f>
        <v/>
      </c>
      <c r="AS96" s="259" t="s">
        <v>3229</v>
      </c>
      <c r="BD96" s="202" t="str">
        <f t="shared" si="20"/>
        <v>벨로스터N 2.0 터보 퍼포먼스 패키지</v>
      </c>
      <c r="BE96" s="261" t="str">
        <f t="shared" si="26"/>
        <v>0015</v>
      </c>
      <c r="BF96" s="407" t="s">
        <v>1007</v>
      </c>
      <c r="BG96" s="202" t="str">
        <f t="shared" si="21"/>
        <v>0015-0095</v>
      </c>
    </row>
    <row r="97" spans="1:59">
      <c r="A97" s="405">
        <v>3871</v>
      </c>
      <c r="B97" s="406">
        <v>3871</v>
      </c>
      <c r="C97" s="261" t="str">
        <f t="shared" si="22"/>
        <v>0005-0015</v>
      </c>
      <c r="D97" s="261" t="str">
        <f t="shared" si="23"/>
        <v>0005-0015-0003</v>
      </c>
      <c r="E97" s="407" t="s">
        <v>1006</v>
      </c>
      <c r="F97" s="261" t="str">
        <f>TEXT(VLOOKUP(J97,'[3]1'!$B$2:$D$37,2,0),"0000")</f>
        <v>0005</v>
      </c>
      <c r="G97" s="261" t="str">
        <f t="shared" si="24"/>
        <v>0015</v>
      </c>
      <c r="H97" s="408">
        <f t="shared" si="25"/>
        <v>3</v>
      </c>
      <c r="I97" s="407" t="s">
        <v>1006</v>
      </c>
      <c r="J97" s="258" t="s">
        <v>294</v>
      </c>
      <c r="K97" s="258" t="s">
        <v>2761</v>
      </c>
      <c r="L97" s="258" t="s">
        <v>2543</v>
      </c>
      <c r="M97" s="409">
        <v>23960000</v>
      </c>
      <c r="N97" s="258">
        <v>1591</v>
      </c>
      <c r="O97" s="258" t="s">
        <v>77</v>
      </c>
      <c r="P97" s="258" t="s">
        <v>73</v>
      </c>
      <c r="Q97" s="258" t="s">
        <v>88</v>
      </c>
      <c r="R97" s="258">
        <v>5</v>
      </c>
      <c r="S97" s="410">
        <v>7</v>
      </c>
      <c r="T97" s="261">
        <v>6</v>
      </c>
      <c r="U97" s="261">
        <v>6</v>
      </c>
      <c r="V97" s="258" t="s">
        <v>71</v>
      </c>
      <c r="W97" s="261" t="str">
        <f t="shared" si="27"/>
        <v>현대자동차벨로스터1.6 터보 스포츠 코어 M/T23960000</v>
      </c>
      <c r="X97" s="411">
        <f t="shared" si="28"/>
        <v>3871</v>
      </c>
      <c r="Y97" s="261">
        <v>6</v>
      </c>
      <c r="Z97" s="261">
        <v>6</v>
      </c>
      <c r="AA97" s="407" t="s">
        <v>1006</v>
      </c>
      <c r="AB97" s="258" t="s">
        <v>86</v>
      </c>
      <c r="AC97" s="258"/>
      <c r="AD97" s="258" t="s">
        <v>2131</v>
      </c>
      <c r="AE97" s="258" t="s">
        <v>2129</v>
      </c>
      <c r="AF97" s="259"/>
      <c r="AG97" s="260"/>
      <c r="AH97" s="259"/>
      <c r="AI97" s="259"/>
      <c r="AJ97" s="260"/>
      <c r="AK97" s="259">
        <v>26</v>
      </c>
      <c r="AL97" s="259"/>
      <c r="AM97" s="259" t="s">
        <v>3229</v>
      </c>
      <c r="AN97" s="449"/>
      <c r="AO97" s="449"/>
      <c r="AP97" s="449"/>
      <c r="AQ97" s="392" t="str">
        <f>IFERROR(VLOOKUP(BG97,#REF!,1,0),"")</f>
        <v/>
      </c>
      <c r="AS97" s="259" t="s">
        <v>3229</v>
      </c>
      <c r="BD97" s="202" t="str">
        <f t="shared" si="20"/>
        <v>벨로스터1.6 터보 스포츠 코어 M/T</v>
      </c>
      <c r="BE97" s="261" t="str">
        <f t="shared" si="26"/>
        <v>0015</v>
      </c>
      <c r="BF97" s="407" t="s">
        <v>1006</v>
      </c>
      <c r="BG97" s="202" t="str">
        <f t="shared" si="21"/>
        <v>0015-0096</v>
      </c>
    </row>
    <row r="98" spans="1:59">
      <c r="A98" s="405">
        <v>3872</v>
      </c>
      <c r="B98" s="406">
        <v>3872</v>
      </c>
      <c r="C98" s="261" t="str">
        <f t="shared" si="22"/>
        <v>0005-0015</v>
      </c>
      <c r="D98" s="261" t="str">
        <f t="shared" si="23"/>
        <v>0005-0015-0004</v>
      </c>
      <c r="E98" s="407" t="s">
        <v>1005</v>
      </c>
      <c r="F98" s="261" t="str">
        <f>TEXT(VLOOKUP(J98,'[3]1'!$B$2:$D$37,2,0),"0000")</f>
        <v>0005</v>
      </c>
      <c r="G98" s="261" t="str">
        <f t="shared" si="24"/>
        <v>0015</v>
      </c>
      <c r="H98" s="408">
        <f t="shared" si="25"/>
        <v>4</v>
      </c>
      <c r="I98" s="407" t="s">
        <v>1005</v>
      </c>
      <c r="J98" s="258" t="s">
        <v>294</v>
      </c>
      <c r="K98" s="258" t="s">
        <v>2761</v>
      </c>
      <c r="L98" s="258" t="s">
        <v>2544</v>
      </c>
      <c r="M98" s="409">
        <v>21600000</v>
      </c>
      <c r="N98" s="258">
        <v>1591</v>
      </c>
      <c r="O98" s="258" t="s">
        <v>77</v>
      </c>
      <c r="P98" s="258" t="s">
        <v>73</v>
      </c>
      <c r="Q98" s="258" t="s">
        <v>88</v>
      </c>
      <c r="R98" s="258">
        <v>5</v>
      </c>
      <c r="S98" s="410">
        <v>7</v>
      </c>
      <c r="T98" s="261">
        <v>6</v>
      </c>
      <c r="U98" s="261">
        <v>6</v>
      </c>
      <c r="V98" s="258" t="s">
        <v>71</v>
      </c>
      <c r="W98" s="261" t="str">
        <f t="shared" si="27"/>
        <v>현대자동차벨로스터1.6 터보 스포츠 M/T21600000</v>
      </c>
      <c r="X98" s="411">
        <f t="shared" si="28"/>
        <v>3872</v>
      </c>
      <c r="Y98" s="261">
        <v>6</v>
      </c>
      <c r="Z98" s="261">
        <v>6</v>
      </c>
      <c r="AA98" s="407" t="s">
        <v>1005</v>
      </c>
      <c r="AB98" s="258" t="s">
        <v>86</v>
      </c>
      <c r="AC98" s="258"/>
      <c r="AD98" s="258" t="s">
        <v>2131</v>
      </c>
      <c r="AE98" s="258" t="s">
        <v>2129</v>
      </c>
      <c r="AF98" s="259"/>
      <c r="AG98" s="260"/>
      <c r="AH98" s="259"/>
      <c r="AI98" s="259"/>
      <c r="AJ98" s="260"/>
      <c r="AK98" s="259">
        <v>26</v>
      </c>
      <c r="AL98" s="259"/>
      <c r="AM98" s="259" t="s">
        <v>3229</v>
      </c>
      <c r="AN98" s="449"/>
      <c r="AO98" s="449"/>
      <c r="AP98" s="449"/>
      <c r="AQ98" s="392" t="str">
        <f>IFERROR(VLOOKUP(BG98,#REF!,1,0),"")</f>
        <v/>
      </c>
      <c r="AS98" s="259" t="s">
        <v>3229</v>
      </c>
      <c r="BD98" s="202" t="str">
        <f t="shared" si="20"/>
        <v>벨로스터1.6 터보 스포츠 M/T</v>
      </c>
      <c r="BE98" s="261" t="str">
        <f t="shared" si="26"/>
        <v>0015</v>
      </c>
      <c r="BF98" s="407" t="s">
        <v>1005</v>
      </c>
      <c r="BG98" s="202" t="str">
        <f t="shared" si="21"/>
        <v>0015-0097</v>
      </c>
    </row>
    <row r="99" spans="1:59">
      <c r="A99" s="405">
        <v>3873</v>
      </c>
      <c r="B99" s="406">
        <v>3873</v>
      </c>
      <c r="C99" s="261" t="str">
        <f t="shared" si="22"/>
        <v>0005-0015</v>
      </c>
      <c r="D99" s="261" t="str">
        <f t="shared" si="23"/>
        <v>0005-0015-0005</v>
      </c>
      <c r="E99" s="407" t="s">
        <v>1004</v>
      </c>
      <c r="F99" s="261" t="str">
        <f>TEXT(VLOOKUP(J99,'[3]1'!$B$2:$D$37,2,0),"0000")</f>
        <v>0005</v>
      </c>
      <c r="G99" s="261" t="str">
        <f t="shared" si="24"/>
        <v>0015</v>
      </c>
      <c r="H99" s="408">
        <f t="shared" si="25"/>
        <v>5</v>
      </c>
      <c r="I99" s="407" t="s">
        <v>1004</v>
      </c>
      <c r="J99" s="258" t="s">
        <v>294</v>
      </c>
      <c r="K99" s="258" t="s">
        <v>2761</v>
      </c>
      <c r="L99" s="258" t="s">
        <v>2545</v>
      </c>
      <c r="M99" s="409">
        <v>26350000</v>
      </c>
      <c r="N99" s="258">
        <v>1591</v>
      </c>
      <c r="O99" s="258" t="s">
        <v>77</v>
      </c>
      <c r="P99" s="258" t="s">
        <v>73</v>
      </c>
      <c r="Q99" s="258" t="s">
        <v>72</v>
      </c>
      <c r="R99" s="258">
        <v>5</v>
      </c>
      <c r="S99" s="410">
        <v>7</v>
      </c>
      <c r="T99" s="261">
        <v>6</v>
      </c>
      <c r="U99" s="261">
        <v>6</v>
      </c>
      <c r="V99" s="258" t="s">
        <v>71</v>
      </c>
      <c r="W99" s="261" t="str">
        <f t="shared" si="27"/>
        <v>현대자동차벨로스터1.6 터보 JBL 익스트림사운드 에디션26350000</v>
      </c>
      <c r="X99" s="411">
        <f t="shared" si="28"/>
        <v>3873</v>
      </c>
      <c r="Y99" s="261">
        <v>6</v>
      </c>
      <c r="Z99" s="261">
        <v>6</v>
      </c>
      <c r="AA99" s="407" t="s">
        <v>1004</v>
      </c>
      <c r="AB99" s="258" t="s">
        <v>86</v>
      </c>
      <c r="AC99" s="258"/>
      <c r="AD99" s="258" t="s">
        <v>2131</v>
      </c>
      <c r="AE99" s="258" t="s">
        <v>2129</v>
      </c>
      <c r="AF99" s="259"/>
      <c r="AG99" s="260"/>
      <c r="AH99" s="259"/>
      <c r="AI99" s="259"/>
      <c r="AJ99" s="260"/>
      <c r="AK99" s="259">
        <v>26</v>
      </c>
      <c r="AL99" s="259"/>
      <c r="AM99" s="259" t="s">
        <v>3229</v>
      </c>
      <c r="AN99" s="449"/>
      <c r="AO99" s="449"/>
      <c r="AP99" s="449"/>
      <c r="AQ99" s="392" t="str">
        <f>IFERROR(VLOOKUP(BG99,#REF!,1,0),"")</f>
        <v/>
      </c>
      <c r="AS99" s="259" t="s">
        <v>3229</v>
      </c>
      <c r="BD99" s="202" t="str">
        <f t="shared" si="20"/>
        <v>벨로스터1.6 터보 JBL 익스트림사운드 에디션</v>
      </c>
      <c r="BE99" s="261" t="str">
        <f t="shared" si="26"/>
        <v>0015</v>
      </c>
      <c r="BF99" s="407" t="s">
        <v>1004</v>
      </c>
      <c r="BG99" s="202" t="str">
        <f t="shared" si="21"/>
        <v>0015-0098</v>
      </c>
    </row>
    <row r="100" spans="1:59">
      <c r="A100" s="405">
        <v>3874</v>
      </c>
      <c r="B100" s="406">
        <v>3874</v>
      </c>
      <c r="C100" s="261" t="str">
        <f t="shared" si="22"/>
        <v>0005-0015</v>
      </c>
      <c r="D100" s="261" t="str">
        <f t="shared" si="23"/>
        <v>0005-0015-0006</v>
      </c>
      <c r="E100" s="407" t="s">
        <v>1003</v>
      </c>
      <c r="F100" s="261" t="str">
        <f>TEXT(VLOOKUP(J100,'[3]1'!$B$2:$D$37,2,0),"0000")</f>
        <v>0005</v>
      </c>
      <c r="G100" s="261" t="str">
        <f t="shared" si="24"/>
        <v>0015</v>
      </c>
      <c r="H100" s="408">
        <f t="shared" si="25"/>
        <v>6</v>
      </c>
      <c r="I100" s="407" t="s">
        <v>1003</v>
      </c>
      <c r="J100" s="258" t="s">
        <v>294</v>
      </c>
      <c r="K100" s="258" t="s">
        <v>2761</v>
      </c>
      <c r="L100" s="258" t="s">
        <v>2546</v>
      </c>
      <c r="M100" s="409">
        <v>22960000</v>
      </c>
      <c r="N100" s="258">
        <v>1353</v>
      </c>
      <c r="O100" s="258" t="s">
        <v>77</v>
      </c>
      <c r="P100" s="258" t="s">
        <v>73</v>
      </c>
      <c r="Q100" s="258" t="s">
        <v>72</v>
      </c>
      <c r="R100" s="258">
        <v>5</v>
      </c>
      <c r="S100" s="410">
        <v>7</v>
      </c>
      <c r="T100" s="261">
        <v>6</v>
      </c>
      <c r="U100" s="261">
        <v>6</v>
      </c>
      <c r="V100" s="258" t="s">
        <v>71</v>
      </c>
      <c r="W100" s="261" t="str">
        <f t="shared" si="27"/>
        <v>현대자동차벨로스터1.4 터보 모던 코어22960000</v>
      </c>
      <c r="X100" s="411">
        <f t="shared" si="28"/>
        <v>3874</v>
      </c>
      <c r="Y100" s="261">
        <v>6</v>
      </c>
      <c r="Z100" s="261">
        <v>6</v>
      </c>
      <c r="AA100" s="407" t="s">
        <v>1003</v>
      </c>
      <c r="AB100" s="258" t="s">
        <v>86</v>
      </c>
      <c r="AC100" s="258"/>
      <c r="AD100" s="258" t="s">
        <v>2131</v>
      </c>
      <c r="AE100" s="258" t="s">
        <v>2129</v>
      </c>
      <c r="AF100" s="259"/>
      <c r="AG100" s="260"/>
      <c r="AH100" s="259"/>
      <c r="AI100" s="259"/>
      <c r="AJ100" s="260"/>
      <c r="AK100" s="259">
        <v>26</v>
      </c>
      <c r="AL100" s="259"/>
      <c r="AM100" s="259" t="s">
        <v>3229</v>
      </c>
      <c r="AN100" s="449"/>
      <c r="AO100" s="449"/>
      <c r="AP100" s="449"/>
      <c r="AQ100" s="392" t="str">
        <f>IFERROR(VLOOKUP(BG100,#REF!,1,0),"")</f>
        <v/>
      </c>
      <c r="AS100" s="259" t="s">
        <v>3229</v>
      </c>
      <c r="BD100" s="202" t="str">
        <f t="shared" si="20"/>
        <v>벨로스터1.4 터보 모던 코어</v>
      </c>
      <c r="BE100" s="261" t="str">
        <f t="shared" si="26"/>
        <v>0015</v>
      </c>
      <c r="BF100" s="407" t="s">
        <v>1003</v>
      </c>
      <c r="BG100" s="202" t="str">
        <f t="shared" si="21"/>
        <v>0015-0099</v>
      </c>
    </row>
    <row r="101" spans="1:59">
      <c r="A101" s="405">
        <v>3875</v>
      </c>
      <c r="B101" s="406">
        <v>3875</v>
      </c>
      <c r="C101" s="261" t="str">
        <f t="shared" si="22"/>
        <v>0005-0015</v>
      </c>
      <c r="D101" s="261" t="str">
        <f t="shared" si="23"/>
        <v>0005-0015-0007</v>
      </c>
      <c r="E101" s="407" t="s">
        <v>1002</v>
      </c>
      <c r="F101" s="261" t="str">
        <f>TEXT(VLOOKUP(J101,'[3]1'!$B$2:$D$37,2,0),"0000")</f>
        <v>0005</v>
      </c>
      <c r="G101" s="261" t="str">
        <f t="shared" si="24"/>
        <v>0015</v>
      </c>
      <c r="H101" s="408">
        <f t="shared" si="25"/>
        <v>7</v>
      </c>
      <c r="I101" s="407" t="s">
        <v>1002</v>
      </c>
      <c r="J101" s="258" t="s">
        <v>294</v>
      </c>
      <c r="K101" s="258" t="s">
        <v>2761</v>
      </c>
      <c r="L101" s="258" t="s">
        <v>2547</v>
      </c>
      <c r="M101" s="409">
        <v>20960000</v>
      </c>
      <c r="N101" s="258">
        <v>1353</v>
      </c>
      <c r="O101" s="258" t="s">
        <v>77</v>
      </c>
      <c r="P101" s="258" t="s">
        <v>73</v>
      </c>
      <c r="Q101" s="258" t="s">
        <v>72</v>
      </c>
      <c r="R101" s="258" t="e">
        <v>#N/A</v>
      </c>
      <c r="S101" s="410">
        <v>7</v>
      </c>
      <c r="T101" s="261">
        <v>6</v>
      </c>
      <c r="U101" s="261">
        <v>6</v>
      </c>
      <c r="V101" s="258" t="s">
        <v>3993</v>
      </c>
      <c r="W101" s="261" t="str">
        <f t="shared" si="27"/>
        <v>현대자동차벨로스터1.4 터보 모던20960000</v>
      </c>
      <c r="X101" s="411">
        <f t="shared" si="28"/>
        <v>3875</v>
      </c>
      <c r="Y101" s="261">
        <v>6</v>
      </c>
      <c r="Z101" s="261">
        <v>6</v>
      </c>
      <c r="AA101" s="407" t="s">
        <v>1002</v>
      </c>
      <c r="AB101" s="258" t="e">
        <v>#N/A</v>
      </c>
      <c r="AC101" s="258"/>
      <c r="AD101" s="258" t="s">
        <v>2131</v>
      </c>
      <c r="AE101" s="258" t="s">
        <v>2129</v>
      </c>
      <c r="AF101" s="259"/>
      <c r="AG101" s="260"/>
      <c r="AH101" s="259"/>
      <c r="AI101" s="259"/>
      <c r="AJ101" s="260"/>
      <c r="AK101" s="259">
        <v>26</v>
      </c>
      <c r="AL101" s="259"/>
      <c r="AM101" s="259" t="s">
        <v>3229</v>
      </c>
      <c r="AN101" s="449"/>
      <c r="AO101" s="449"/>
      <c r="AP101" s="449"/>
      <c r="AQ101" s="392" t="str">
        <f>IFERROR(VLOOKUP(BG101,#REF!,1,0),"")</f>
        <v/>
      </c>
      <c r="AS101" s="259" t="s">
        <v>3229</v>
      </c>
      <c r="BD101" s="202" t="str">
        <f t="shared" si="20"/>
        <v>벨로스터1.4 터보 모던</v>
      </c>
      <c r="BE101" s="261" t="str">
        <f t="shared" si="26"/>
        <v>0015</v>
      </c>
      <c r="BF101" s="407" t="s">
        <v>1002</v>
      </c>
      <c r="BG101" s="202" t="str">
        <f t="shared" si="21"/>
        <v>0015-0100</v>
      </c>
    </row>
    <row r="102" spans="1:59">
      <c r="A102" s="405">
        <v>3876</v>
      </c>
      <c r="B102" s="406">
        <v>3876</v>
      </c>
      <c r="C102" s="261" t="str">
        <f t="shared" si="22"/>
        <v>0005-0015</v>
      </c>
      <c r="D102" s="261" t="str">
        <f t="shared" si="23"/>
        <v>0005-0015-0008</v>
      </c>
      <c r="E102" s="407" t="s">
        <v>1001</v>
      </c>
      <c r="F102" s="261" t="str">
        <f>TEXT(VLOOKUP(J102,'[3]1'!$B$2:$D$37,2,0),"0000")</f>
        <v>0005</v>
      </c>
      <c r="G102" s="261" t="str">
        <f t="shared" si="24"/>
        <v>0015</v>
      </c>
      <c r="H102" s="408">
        <f t="shared" si="25"/>
        <v>8</v>
      </c>
      <c r="I102" s="407" t="s">
        <v>1001</v>
      </c>
      <c r="J102" s="258" t="s">
        <v>294</v>
      </c>
      <c r="K102" s="258" t="s">
        <v>2761</v>
      </c>
      <c r="L102" s="258" t="s">
        <v>2548</v>
      </c>
      <c r="M102" s="409">
        <v>25730000</v>
      </c>
      <c r="N102" s="258">
        <v>1591</v>
      </c>
      <c r="O102" s="258" t="s">
        <v>77</v>
      </c>
      <c r="P102" s="258" t="s">
        <v>73</v>
      </c>
      <c r="Q102" s="258" t="s">
        <v>72</v>
      </c>
      <c r="R102" s="258">
        <v>5</v>
      </c>
      <c r="S102" s="410">
        <v>7</v>
      </c>
      <c r="T102" s="261">
        <v>6</v>
      </c>
      <c r="U102" s="261">
        <v>6</v>
      </c>
      <c r="V102" s="258" t="s">
        <v>71</v>
      </c>
      <c r="W102" s="261" t="str">
        <f t="shared" si="27"/>
        <v>현대자동차벨로스터1.6 터보 스포츠 코어25730000</v>
      </c>
      <c r="X102" s="411">
        <f t="shared" si="28"/>
        <v>3876</v>
      </c>
      <c r="Y102" s="261">
        <v>6</v>
      </c>
      <c r="Z102" s="261">
        <v>6</v>
      </c>
      <c r="AA102" s="407" t="s">
        <v>1001</v>
      </c>
      <c r="AB102" s="258" t="s">
        <v>86</v>
      </c>
      <c r="AC102" s="258"/>
      <c r="AD102" s="258" t="s">
        <v>2131</v>
      </c>
      <c r="AE102" s="258" t="s">
        <v>2129</v>
      </c>
      <c r="AF102" s="259"/>
      <c r="AG102" s="260"/>
      <c r="AH102" s="259"/>
      <c r="AI102" s="259"/>
      <c r="AJ102" s="260"/>
      <c r="AK102" s="259">
        <v>26</v>
      </c>
      <c r="AL102" s="259"/>
      <c r="AM102" s="259" t="s">
        <v>3229</v>
      </c>
      <c r="AN102" s="449"/>
      <c r="AO102" s="449"/>
      <c r="AP102" s="449"/>
      <c r="AQ102" s="392" t="str">
        <f>IFERROR(VLOOKUP(BG102,#REF!,1,0),"")</f>
        <v/>
      </c>
      <c r="AS102" s="259" t="s">
        <v>3229</v>
      </c>
      <c r="BD102" s="202" t="str">
        <f t="shared" si="20"/>
        <v>벨로스터1.6 터보 스포츠 코어</v>
      </c>
      <c r="BE102" s="261" t="str">
        <f t="shared" si="26"/>
        <v>0015</v>
      </c>
      <c r="BF102" s="407" t="s">
        <v>1001</v>
      </c>
      <c r="BG102" s="202" t="str">
        <f t="shared" si="21"/>
        <v>0015-0101</v>
      </c>
    </row>
    <row r="103" spans="1:59">
      <c r="A103" s="405">
        <v>3877</v>
      </c>
      <c r="B103" s="406">
        <v>3877</v>
      </c>
      <c r="C103" s="261" t="str">
        <f t="shared" si="22"/>
        <v>0005-0015</v>
      </c>
      <c r="D103" s="261" t="str">
        <f t="shared" si="23"/>
        <v>0005-0015-0009</v>
      </c>
      <c r="E103" s="407" t="s">
        <v>1000</v>
      </c>
      <c r="F103" s="261" t="str">
        <f>TEXT(VLOOKUP(J103,'[3]1'!$B$2:$D$37,2,0),"0000")</f>
        <v>0005</v>
      </c>
      <c r="G103" s="261" t="str">
        <f t="shared" si="24"/>
        <v>0015</v>
      </c>
      <c r="H103" s="408">
        <f t="shared" si="25"/>
        <v>9</v>
      </c>
      <c r="I103" s="407" t="s">
        <v>1000</v>
      </c>
      <c r="J103" s="258" t="s">
        <v>294</v>
      </c>
      <c r="K103" s="258" t="s">
        <v>2761</v>
      </c>
      <c r="L103" s="258" t="s">
        <v>2549</v>
      </c>
      <c r="M103" s="409">
        <v>23370000</v>
      </c>
      <c r="N103" s="258">
        <v>1591</v>
      </c>
      <c r="O103" s="258" t="s">
        <v>77</v>
      </c>
      <c r="P103" s="258" t="s">
        <v>73</v>
      </c>
      <c r="Q103" s="258" t="s">
        <v>72</v>
      </c>
      <c r="R103" s="258" t="e">
        <v>#N/A</v>
      </c>
      <c r="S103" s="410">
        <v>7</v>
      </c>
      <c r="T103" s="261">
        <v>6</v>
      </c>
      <c r="U103" s="261">
        <v>6</v>
      </c>
      <c r="V103" s="258" t="s">
        <v>3993</v>
      </c>
      <c r="W103" s="261" t="str">
        <f t="shared" si="27"/>
        <v>현대자동차벨로스터1.6 터보 스포츠23370000</v>
      </c>
      <c r="X103" s="411">
        <f t="shared" si="28"/>
        <v>3877</v>
      </c>
      <c r="Y103" s="261">
        <v>6</v>
      </c>
      <c r="Z103" s="261">
        <v>6</v>
      </c>
      <c r="AA103" s="407" t="s">
        <v>1000</v>
      </c>
      <c r="AB103" s="258" t="e">
        <v>#N/A</v>
      </c>
      <c r="AC103" s="258"/>
      <c r="AD103" s="258" t="s">
        <v>2131</v>
      </c>
      <c r="AE103" s="258" t="s">
        <v>2129</v>
      </c>
      <c r="AF103" s="259"/>
      <c r="AG103" s="260"/>
      <c r="AH103" s="259"/>
      <c r="AI103" s="259"/>
      <c r="AJ103" s="260"/>
      <c r="AK103" s="259">
        <v>26</v>
      </c>
      <c r="AL103" s="259"/>
      <c r="AM103" s="259" t="s">
        <v>3229</v>
      </c>
      <c r="AN103" s="449"/>
      <c r="AO103" s="449"/>
      <c r="AP103" s="449"/>
      <c r="AQ103" s="392" t="str">
        <f>IFERROR(VLOOKUP(BG103,#REF!,1,0),"")</f>
        <v/>
      </c>
      <c r="AS103" s="259" t="s">
        <v>3229</v>
      </c>
      <c r="BD103" s="202" t="str">
        <f t="shared" si="20"/>
        <v>벨로스터1.6 터보 스포츠</v>
      </c>
      <c r="BE103" s="261" t="str">
        <f t="shared" si="26"/>
        <v>0015</v>
      </c>
      <c r="BF103" s="407" t="s">
        <v>1000</v>
      </c>
      <c r="BG103" s="202" t="str">
        <f t="shared" si="21"/>
        <v>0015-0102</v>
      </c>
    </row>
    <row r="104" spans="1:59">
      <c r="A104" s="405">
        <v>3878</v>
      </c>
      <c r="B104" s="406">
        <v>3878</v>
      </c>
      <c r="C104" s="261" t="str">
        <f t="shared" si="22"/>
        <v>0005-0016</v>
      </c>
      <c r="D104" s="261" t="str">
        <f t="shared" si="23"/>
        <v>0005-0016-0001</v>
      </c>
      <c r="E104" s="407" t="s">
        <v>999</v>
      </c>
      <c r="F104" s="261" t="str">
        <f>TEXT(VLOOKUP(J104,'[3]1'!$B$2:$D$37,2,0),"0000")</f>
        <v>0005</v>
      </c>
      <c r="G104" s="261" t="str">
        <f t="shared" si="24"/>
        <v>0016</v>
      </c>
      <c r="H104" s="408">
        <f t="shared" si="25"/>
        <v>1</v>
      </c>
      <c r="I104" s="407" t="s">
        <v>999</v>
      </c>
      <c r="J104" s="258" t="s">
        <v>294</v>
      </c>
      <c r="K104" s="258" t="s">
        <v>2762</v>
      </c>
      <c r="L104" s="258" t="s">
        <v>3408</v>
      </c>
      <c r="M104" s="409">
        <v>39860000</v>
      </c>
      <c r="N104" s="258">
        <v>2151</v>
      </c>
      <c r="O104" s="258" t="s">
        <v>78</v>
      </c>
      <c r="P104" s="258" t="s">
        <v>70</v>
      </c>
      <c r="Q104" s="258" t="s">
        <v>72</v>
      </c>
      <c r="R104" s="258">
        <v>5</v>
      </c>
      <c r="S104" s="410">
        <v>1</v>
      </c>
      <c r="T104" s="261">
        <v>6</v>
      </c>
      <c r="U104" s="261">
        <v>6</v>
      </c>
      <c r="V104" s="258" t="s">
        <v>71</v>
      </c>
      <c r="W104" s="261" t="str">
        <f t="shared" si="27"/>
        <v>현대자동차싼타페 2.2 디젤 캘리그래피 5인39860000</v>
      </c>
      <c r="X104" s="411">
        <f t="shared" si="28"/>
        <v>3878</v>
      </c>
      <c r="Y104" s="261">
        <v>6</v>
      </c>
      <c r="Z104" s="261">
        <v>6</v>
      </c>
      <c r="AA104" s="407" t="s">
        <v>999</v>
      </c>
      <c r="AB104" s="258" t="s">
        <v>1965</v>
      </c>
      <c r="AC104" s="258"/>
      <c r="AD104" s="258" t="s">
        <v>2136</v>
      </c>
      <c r="AE104" s="258" t="s">
        <v>2129</v>
      </c>
      <c r="AF104" s="259"/>
      <c r="AG104" s="260"/>
      <c r="AH104" s="259"/>
      <c r="AI104" s="259"/>
      <c r="AJ104" s="260"/>
      <c r="AK104" s="259">
        <v>26</v>
      </c>
      <c r="AL104" s="259"/>
      <c r="AM104" s="259" t="s">
        <v>3189</v>
      </c>
      <c r="AN104" s="449"/>
      <c r="AO104" s="449"/>
      <c r="AP104" s="449"/>
      <c r="AQ104" s="392" t="str">
        <f>IFERROR(VLOOKUP(BG104,#REF!,1,0),"")</f>
        <v/>
      </c>
      <c r="AS104" s="259" t="s">
        <v>3189</v>
      </c>
      <c r="BD104" s="202" t="str">
        <f t="shared" si="20"/>
        <v>싼타페 2.2 디젤 캘리그래피 5인</v>
      </c>
      <c r="BE104" s="261" t="str">
        <f t="shared" si="26"/>
        <v>0016</v>
      </c>
      <c r="BF104" s="407" t="s">
        <v>999</v>
      </c>
      <c r="BG104" s="202" t="str">
        <f t="shared" si="21"/>
        <v>0016-0103</v>
      </c>
    </row>
    <row r="105" spans="1:59">
      <c r="A105" s="405">
        <v>3879</v>
      </c>
      <c r="B105" s="406">
        <v>3879</v>
      </c>
      <c r="C105" s="261" t="str">
        <f t="shared" si="22"/>
        <v>0005-0016</v>
      </c>
      <c r="D105" s="261" t="str">
        <f t="shared" si="23"/>
        <v>0005-0016-0002</v>
      </c>
      <c r="E105" s="407" t="s">
        <v>998</v>
      </c>
      <c r="F105" s="261" t="str">
        <f>TEXT(VLOOKUP(J105,'[3]1'!$B$2:$D$37,2,0),"0000")</f>
        <v>0005</v>
      </c>
      <c r="G105" s="261" t="str">
        <f t="shared" si="24"/>
        <v>0016</v>
      </c>
      <c r="H105" s="408">
        <f t="shared" si="25"/>
        <v>2</v>
      </c>
      <c r="I105" s="407" t="s">
        <v>998</v>
      </c>
      <c r="J105" s="258" t="s">
        <v>294</v>
      </c>
      <c r="K105" s="258" t="s">
        <v>2762</v>
      </c>
      <c r="L105" s="258" t="s">
        <v>3409</v>
      </c>
      <c r="M105" s="409">
        <v>32690000</v>
      </c>
      <c r="N105" s="258">
        <v>2151</v>
      </c>
      <c r="O105" s="258" t="s">
        <v>78</v>
      </c>
      <c r="P105" s="258" t="s">
        <v>70</v>
      </c>
      <c r="Q105" s="258" t="s">
        <v>72</v>
      </c>
      <c r="R105" s="258">
        <v>5</v>
      </c>
      <c r="S105" s="410">
        <v>1</v>
      </c>
      <c r="T105" s="261">
        <v>6</v>
      </c>
      <c r="U105" s="261">
        <v>6</v>
      </c>
      <c r="V105" s="258" t="s">
        <v>71</v>
      </c>
      <c r="W105" s="261" t="str">
        <f t="shared" si="27"/>
        <v>현대자동차싼타페 2.2 디젤 프리미엄 초이스 7인32690000</v>
      </c>
      <c r="X105" s="411">
        <f t="shared" si="28"/>
        <v>3879</v>
      </c>
      <c r="Y105" s="261">
        <v>6</v>
      </c>
      <c r="Z105" s="261">
        <v>6</v>
      </c>
      <c r="AA105" s="407" t="s">
        <v>998</v>
      </c>
      <c r="AB105" s="258" t="s">
        <v>1965</v>
      </c>
      <c r="AC105" s="258"/>
      <c r="AD105" s="258" t="s">
        <v>2136</v>
      </c>
      <c r="AE105" s="258" t="s">
        <v>2129</v>
      </c>
      <c r="AF105" s="259"/>
      <c r="AG105" s="260"/>
      <c r="AH105" s="259"/>
      <c r="AI105" s="259"/>
      <c r="AJ105" s="260"/>
      <c r="AK105" s="259">
        <v>26</v>
      </c>
      <c r="AL105" s="259"/>
      <c r="AM105" s="259" t="s">
        <v>3189</v>
      </c>
      <c r="AN105" s="449"/>
      <c r="AO105" s="449"/>
      <c r="AP105" s="449"/>
      <c r="AQ105" s="392" t="str">
        <f>IFERROR(VLOOKUP(BG105,#REF!,1,0),"")</f>
        <v/>
      </c>
      <c r="AS105" s="259" t="s">
        <v>3189</v>
      </c>
      <c r="BD105" s="202" t="str">
        <f t="shared" si="20"/>
        <v>싼타페 2.2 디젤 프리미엄 초이스 7인</v>
      </c>
      <c r="BE105" s="261" t="str">
        <f t="shared" si="26"/>
        <v>0016</v>
      </c>
      <c r="BF105" s="407" t="s">
        <v>998</v>
      </c>
      <c r="BG105" s="202" t="str">
        <f t="shared" si="21"/>
        <v>0016-0104</v>
      </c>
    </row>
    <row r="106" spans="1:59">
      <c r="A106" s="405">
        <v>3880</v>
      </c>
      <c r="B106" s="406">
        <v>3880</v>
      </c>
      <c r="C106" s="261" t="str">
        <f t="shared" si="22"/>
        <v>0005-0016</v>
      </c>
      <c r="D106" s="261" t="str">
        <f t="shared" si="23"/>
        <v>0005-0016-0003</v>
      </c>
      <c r="E106" s="407" t="s">
        <v>997</v>
      </c>
      <c r="F106" s="261" t="str">
        <f>TEXT(VLOOKUP(J106,'[3]1'!$B$2:$D$37,2,0),"0000")</f>
        <v>0005</v>
      </c>
      <c r="G106" s="261" t="str">
        <f t="shared" si="24"/>
        <v>0016</v>
      </c>
      <c r="H106" s="408">
        <f t="shared" si="25"/>
        <v>3</v>
      </c>
      <c r="I106" s="407" t="s">
        <v>997</v>
      </c>
      <c r="J106" s="258" t="s">
        <v>294</v>
      </c>
      <c r="K106" s="258" t="s">
        <v>2762</v>
      </c>
      <c r="L106" s="258" t="s">
        <v>3410</v>
      </c>
      <c r="M106" s="409">
        <v>31860000</v>
      </c>
      <c r="N106" s="258">
        <v>2151</v>
      </c>
      <c r="O106" s="258" t="s">
        <v>78</v>
      </c>
      <c r="P106" s="258" t="s">
        <v>70</v>
      </c>
      <c r="Q106" s="258" t="s">
        <v>72</v>
      </c>
      <c r="R106" s="258">
        <v>5</v>
      </c>
      <c r="S106" s="410">
        <v>1</v>
      </c>
      <c r="T106" s="261">
        <v>6</v>
      </c>
      <c r="U106" s="261">
        <v>6</v>
      </c>
      <c r="V106" s="258" t="s">
        <v>71</v>
      </c>
      <c r="W106" s="261" t="str">
        <f t="shared" si="27"/>
        <v>현대자동차싼타페 2.2 디젤 프리미엄 7인31860000</v>
      </c>
      <c r="X106" s="411">
        <f t="shared" si="28"/>
        <v>3880</v>
      </c>
      <c r="Y106" s="261">
        <v>6</v>
      </c>
      <c r="Z106" s="261">
        <v>6</v>
      </c>
      <c r="AA106" s="407" t="s">
        <v>997</v>
      </c>
      <c r="AB106" s="258" t="s">
        <v>1965</v>
      </c>
      <c r="AC106" s="258"/>
      <c r="AD106" s="258" t="s">
        <v>2136</v>
      </c>
      <c r="AE106" s="258" t="s">
        <v>2129</v>
      </c>
      <c r="AF106" s="259"/>
      <c r="AG106" s="260"/>
      <c r="AH106" s="259"/>
      <c r="AI106" s="259"/>
      <c r="AJ106" s="260"/>
      <c r="AK106" s="259">
        <v>26</v>
      </c>
      <c r="AL106" s="259"/>
      <c r="AM106" s="259" t="s">
        <v>3189</v>
      </c>
      <c r="AN106" s="449"/>
      <c r="AO106" s="449"/>
      <c r="AP106" s="449"/>
      <c r="AQ106" s="392" t="str">
        <f>IFERROR(VLOOKUP(BG106,#REF!,1,0),"")</f>
        <v/>
      </c>
      <c r="AS106" s="259" t="s">
        <v>3189</v>
      </c>
      <c r="BD106" s="202" t="str">
        <f t="shared" si="20"/>
        <v>싼타페 2.2 디젤 프리미엄 7인</v>
      </c>
      <c r="BE106" s="261" t="str">
        <f t="shared" si="26"/>
        <v>0016</v>
      </c>
      <c r="BF106" s="407" t="s">
        <v>997</v>
      </c>
      <c r="BG106" s="202" t="str">
        <f t="shared" si="21"/>
        <v>0016-0105</v>
      </c>
    </row>
    <row r="107" spans="1:59">
      <c r="A107" s="405">
        <v>3881</v>
      </c>
      <c r="B107" s="406">
        <v>3881</v>
      </c>
      <c r="C107" s="261" t="str">
        <f t="shared" si="22"/>
        <v>0005-0016</v>
      </c>
      <c r="D107" s="261" t="str">
        <f t="shared" si="23"/>
        <v>0005-0016-0004</v>
      </c>
      <c r="E107" s="407" t="s">
        <v>996</v>
      </c>
      <c r="F107" s="261" t="str">
        <f>TEXT(VLOOKUP(J107,'[3]1'!$B$2:$D$37,2,0),"0000")</f>
        <v>0005</v>
      </c>
      <c r="G107" s="261" t="str">
        <f t="shared" si="24"/>
        <v>0016</v>
      </c>
      <c r="H107" s="408">
        <f t="shared" si="25"/>
        <v>4</v>
      </c>
      <c r="I107" s="407" t="s">
        <v>996</v>
      </c>
      <c r="J107" s="258" t="s">
        <v>294</v>
      </c>
      <c r="K107" s="258" t="s">
        <v>2762</v>
      </c>
      <c r="L107" s="258" t="s">
        <v>3411</v>
      </c>
      <c r="M107" s="409">
        <v>35780000</v>
      </c>
      <c r="N107" s="258">
        <v>2151</v>
      </c>
      <c r="O107" s="258" t="s">
        <v>78</v>
      </c>
      <c r="P107" s="258" t="s">
        <v>70</v>
      </c>
      <c r="Q107" s="258" t="s">
        <v>72</v>
      </c>
      <c r="R107" s="258">
        <v>4</v>
      </c>
      <c r="S107" s="410">
        <v>1</v>
      </c>
      <c r="T107" s="261">
        <v>6</v>
      </c>
      <c r="U107" s="261">
        <v>6</v>
      </c>
      <c r="V107" s="258" t="s">
        <v>71</v>
      </c>
      <c r="W107" s="261" t="str">
        <f t="shared" si="27"/>
        <v>현대자동차싼타페 2.2 디젤 프레스티지 7인35780000</v>
      </c>
      <c r="X107" s="411">
        <f t="shared" si="28"/>
        <v>3881</v>
      </c>
      <c r="Y107" s="261">
        <v>6</v>
      </c>
      <c r="Z107" s="261">
        <v>6</v>
      </c>
      <c r="AA107" s="407" t="s">
        <v>996</v>
      </c>
      <c r="AB107" s="258" t="s">
        <v>1965</v>
      </c>
      <c r="AC107" s="258"/>
      <c r="AD107" s="258" t="s">
        <v>2136</v>
      </c>
      <c r="AE107" s="258" t="s">
        <v>2129</v>
      </c>
      <c r="AF107" s="259"/>
      <c r="AG107" s="260"/>
      <c r="AH107" s="259"/>
      <c r="AI107" s="259"/>
      <c r="AJ107" s="260"/>
      <c r="AK107" s="259">
        <v>26</v>
      </c>
      <c r="AL107" s="259"/>
      <c r="AM107" s="259" t="s">
        <v>3189</v>
      </c>
      <c r="AN107" s="449"/>
      <c r="AO107" s="449"/>
      <c r="AP107" s="449"/>
      <c r="AQ107" s="392" t="str">
        <f>IFERROR(VLOOKUP(BG107,#REF!,1,0),"")</f>
        <v/>
      </c>
      <c r="AS107" s="259" t="s">
        <v>3189</v>
      </c>
      <c r="BD107" s="202" t="str">
        <f t="shared" si="20"/>
        <v>싼타페 2.2 디젤 프레스티지 7인</v>
      </c>
      <c r="BE107" s="261" t="str">
        <f t="shared" si="26"/>
        <v>0016</v>
      </c>
      <c r="BF107" s="407" t="s">
        <v>996</v>
      </c>
      <c r="BG107" s="202" t="str">
        <f t="shared" si="21"/>
        <v>0016-0106</v>
      </c>
    </row>
    <row r="108" spans="1:59">
      <c r="A108" s="405">
        <v>3882</v>
      </c>
      <c r="B108" s="406">
        <v>3882</v>
      </c>
      <c r="C108" s="261" t="str">
        <f t="shared" si="22"/>
        <v>0005-0016</v>
      </c>
      <c r="D108" s="261" t="str">
        <f t="shared" si="23"/>
        <v>0005-0016-0005</v>
      </c>
      <c r="E108" s="407" t="s">
        <v>995</v>
      </c>
      <c r="F108" s="261" t="str">
        <f>TEXT(VLOOKUP(J108,'[3]1'!$B$2:$D$37,2,0),"0000")</f>
        <v>0005</v>
      </c>
      <c r="G108" s="261" t="str">
        <f t="shared" si="24"/>
        <v>0016</v>
      </c>
      <c r="H108" s="408">
        <f t="shared" si="25"/>
        <v>5</v>
      </c>
      <c r="I108" s="407" t="s">
        <v>995</v>
      </c>
      <c r="J108" s="258" t="s">
        <v>294</v>
      </c>
      <c r="K108" s="258" t="s">
        <v>2762</v>
      </c>
      <c r="L108" s="258" t="s">
        <v>3412</v>
      </c>
      <c r="M108" s="409">
        <v>32050000</v>
      </c>
      <c r="N108" s="258">
        <v>2151</v>
      </c>
      <c r="O108" s="258" t="s">
        <v>78</v>
      </c>
      <c r="P108" s="258" t="s">
        <v>70</v>
      </c>
      <c r="Q108" s="258" t="s">
        <v>72</v>
      </c>
      <c r="R108" s="258">
        <v>5</v>
      </c>
      <c r="S108" s="410">
        <v>1</v>
      </c>
      <c r="T108" s="261">
        <v>6</v>
      </c>
      <c r="U108" s="261">
        <v>6</v>
      </c>
      <c r="V108" s="258" t="s">
        <v>3329</v>
      </c>
      <c r="W108" s="261" t="str">
        <f t="shared" si="27"/>
        <v>현대자동차싼타페 2.2 디젤 프리미엄 초이스 5인32050000</v>
      </c>
      <c r="X108" s="411">
        <f t="shared" si="28"/>
        <v>3882</v>
      </c>
      <c r="Y108" s="261">
        <v>6</v>
      </c>
      <c r="Z108" s="261">
        <v>6</v>
      </c>
      <c r="AA108" s="407" t="s">
        <v>995</v>
      </c>
      <c r="AB108" s="258" t="s">
        <v>1965</v>
      </c>
      <c r="AC108" s="258"/>
      <c r="AD108" s="258" t="s">
        <v>2136</v>
      </c>
      <c r="AE108" s="258" t="s">
        <v>2129</v>
      </c>
      <c r="AF108" s="259"/>
      <c r="AG108" s="260"/>
      <c r="AH108" s="259"/>
      <c r="AI108" s="259"/>
      <c r="AJ108" s="260"/>
      <c r="AK108" s="259">
        <v>26</v>
      </c>
      <c r="AL108" s="259"/>
      <c r="AM108" s="259" t="s">
        <v>3189</v>
      </c>
      <c r="AN108" s="449"/>
      <c r="AO108" s="449"/>
      <c r="AP108" s="449"/>
      <c r="AQ108" s="392" t="str">
        <f>IFERROR(VLOOKUP(BG108,#REF!,1,0),"")</f>
        <v/>
      </c>
      <c r="AS108" s="259" t="s">
        <v>3189</v>
      </c>
      <c r="BD108" s="202" t="str">
        <f t="shared" si="20"/>
        <v>싼타페 2.2 디젤 프리미엄 초이스 5인</v>
      </c>
      <c r="BE108" s="261" t="str">
        <f t="shared" si="26"/>
        <v>0016</v>
      </c>
      <c r="BF108" s="407" t="s">
        <v>995</v>
      </c>
      <c r="BG108" s="202" t="str">
        <f t="shared" si="21"/>
        <v>0016-0107</v>
      </c>
    </row>
    <row r="109" spans="1:59">
      <c r="A109" s="405">
        <v>3883</v>
      </c>
      <c r="B109" s="406">
        <v>3883</v>
      </c>
      <c r="C109" s="261" t="str">
        <f t="shared" si="22"/>
        <v>0005-0016</v>
      </c>
      <c r="D109" s="261" t="str">
        <f t="shared" si="23"/>
        <v>0005-0016-0006</v>
      </c>
      <c r="E109" s="407" t="s">
        <v>994</v>
      </c>
      <c r="F109" s="261" t="str">
        <f>TEXT(VLOOKUP(J109,'[3]1'!$B$2:$D$37,2,0),"0000")</f>
        <v>0005</v>
      </c>
      <c r="G109" s="261" t="str">
        <f t="shared" si="24"/>
        <v>0016</v>
      </c>
      <c r="H109" s="408">
        <f t="shared" si="25"/>
        <v>6</v>
      </c>
      <c r="I109" s="407" t="s">
        <v>994</v>
      </c>
      <c r="J109" s="258" t="s">
        <v>294</v>
      </c>
      <c r="K109" s="258" t="s">
        <v>2762</v>
      </c>
      <c r="L109" s="258" t="s">
        <v>3413</v>
      </c>
      <c r="M109" s="409">
        <v>40500000</v>
      </c>
      <c r="N109" s="258">
        <v>2151</v>
      </c>
      <c r="O109" s="258" t="s">
        <v>78</v>
      </c>
      <c r="P109" s="258" t="s">
        <v>70</v>
      </c>
      <c r="Q109" s="258" t="s">
        <v>72</v>
      </c>
      <c r="R109" s="258">
        <v>5</v>
      </c>
      <c r="S109" s="410">
        <v>1</v>
      </c>
      <c r="T109" s="261">
        <v>6</v>
      </c>
      <c r="U109" s="261">
        <v>6</v>
      </c>
      <c r="V109" s="258" t="s">
        <v>71</v>
      </c>
      <c r="W109" s="261" t="str">
        <f t="shared" si="27"/>
        <v>현대자동차싼타페 2.2 디젤 캘리그래피 7인40500000</v>
      </c>
      <c r="X109" s="411">
        <f t="shared" si="28"/>
        <v>3883</v>
      </c>
      <c r="Y109" s="261">
        <v>6</v>
      </c>
      <c r="Z109" s="261">
        <v>6</v>
      </c>
      <c r="AA109" s="407" t="s">
        <v>994</v>
      </c>
      <c r="AB109" s="258" t="s">
        <v>1965</v>
      </c>
      <c r="AC109" s="258"/>
      <c r="AD109" s="258" t="s">
        <v>2136</v>
      </c>
      <c r="AE109" s="258" t="s">
        <v>2129</v>
      </c>
      <c r="AF109" s="259"/>
      <c r="AG109" s="260"/>
      <c r="AH109" s="259"/>
      <c r="AI109" s="259"/>
      <c r="AJ109" s="260"/>
      <c r="AK109" s="259">
        <v>26</v>
      </c>
      <c r="AL109" s="259"/>
      <c r="AM109" s="259" t="s">
        <v>3189</v>
      </c>
      <c r="AN109" s="449"/>
      <c r="AO109" s="449"/>
      <c r="AP109" s="449"/>
      <c r="AQ109" s="392" t="str">
        <f>IFERROR(VLOOKUP(BG109,#REF!,1,0),"")</f>
        <v/>
      </c>
      <c r="AS109" s="259" t="s">
        <v>3189</v>
      </c>
      <c r="BD109" s="202" t="str">
        <f t="shared" si="20"/>
        <v>싼타페 2.2 디젤 캘리그래피 7인</v>
      </c>
      <c r="BE109" s="261" t="str">
        <f t="shared" si="26"/>
        <v>0016</v>
      </c>
      <c r="BF109" s="407" t="s">
        <v>994</v>
      </c>
      <c r="BG109" s="202" t="str">
        <f t="shared" si="21"/>
        <v>0016-0108</v>
      </c>
    </row>
    <row r="110" spans="1:59">
      <c r="A110" s="405">
        <v>3884</v>
      </c>
      <c r="B110" s="406">
        <v>3884</v>
      </c>
      <c r="C110" s="261" t="str">
        <f t="shared" si="22"/>
        <v>0005-0016</v>
      </c>
      <c r="D110" s="261" t="str">
        <f t="shared" si="23"/>
        <v>0005-0016-0007</v>
      </c>
      <c r="E110" s="407" t="s">
        <v>993</v>
      </c>
      <c r="F110" s="261" t="str">
        <f>TEXT(VLOOKUP(J110,'[3]1'!$B$2:$D$37,2,0),"0000")</f>
        <v>0005</v>
      </c>
      <c r="G110" s="261" t="str">
        <f t="shared" si="24"/>
        <v>0016</v>
      </c>
      <c r="H110" s="408">
        <f t="shared" si="25"/>
        <v>7</v>
      </c>
      <c r="I110" s="407" t="s">
        <v>993</v>
      </c>
      <c r="J110" s="258" t="s">
        <v>294</v>
      </c>
      <c r="K110" s="258" t="s">
        <v>2762</v>
      </c>
      <c r="L110" s="258" t="s">
        <v>3414</v>
      </c>
      <c r="M110" s="409">
        <v>35140000</v>
      </c>
      <c r="N110" s="258">
        <v>2151</v>
      </c>
      <c r="O110" s="258" t="s">
        <v>78</v>
      </c>
      <c r="P110" s="258" t="s">
        <v>70</v>
      </c>
      <c r="Q110" s="258" t="s">
        <v>72</v>
      </c>
      <c r="R110" s="258">
        <v>5</v>
      </c>
      <c r="S110" s="410">
        <v>1</v>
      </c>
      <c r="T110" s="261">
        <v>6</v>
      </c>
      <c r="U110" s="261">
        <v>6</v>
      </c>
      <c r="V110" s="258" t="s">
        <v>3329</v>
      </c>
      <c r="W110" s="261" t="str">
        <f t="shared" si="27"/>
        <v>현대자동차싼타페 2.2 디젤 프레스트지 5인35140000</v>
      </c>
      <c r="X110" s="411">
        <f t="shared" si="28"/>
        <v>3884</v>
      </c>
      <c r="Y110" s="261">
        <v>6</v>
      </c>
      <c r="Z110" s="261">
        <v>6</v>
      </c>
      <c r="AA110" s="407" t="s">
        <v>993</v>
      </c>
      <c r="AB110" s="258" t="s">
        <v>1965</v>
      </c>
      <c r="AC110" s="258"/>
      <c r="AD110" s="258" t="s">
        <v>2136</v>
      </c>
      <c r="AE110" s="258" t="s">
        <v>2129</v>
      </c>
      <c r="AF110" s="259"/>
      <c r="AG110" s="260"/>
      <c r="AH110" s="259"/>
      <c r="AI110" s="259"/>
      <c r="AJ110" s="260"/>
      <c r="AK110" s="259">
        <v>26</v>
      </c>
      <c r="AL110" s="259"/>
      <c r="AM110" s="259" t="s">
        <v>3189</v>
      </c>
      <c r="AN110" s="449"/>
      <c r="AO110" s="449"/>
      <c r="AP110" s="449"/>
      <c r="AQ110" s="392" t="str">
        <f>IFERROR(VLOOKUP(BG110,#REF!,1,0),"")</f>
        <v/>
      </c>
      <c r="AS110" s="259" t="s">
        <v>3189</v>
      </c>
      <c r="BD110" s="202" t="str">
        <f t="shared" si="20"/>
        <v>싼타페 2.2 디젤 프레스트지 5인</v>
      </c>
      <c r="BE110" s="261" t="str">
        <f t="shared" si="26"/>
        <v>0016</v>
      </c>
      <c r="BF110" s="407" t="s">
        <v>993</v>
      </c>
      <c r="BG110" s="202" t="str">
        <f t="shared" si="21"/>
        <v>0016-0109</v>
      </c>
    </row>
    <row r="111" spans="1:59">
      <c r="A111" s="405">
        <v>3885</v>
      </c>
      <c r="B111" s="406">
        <v>3885</v>
      </c>
      <c r="C111" s="261" t="str">
        <f t="shared" si="22"/>
        <v>0005-0016</v>
      </c>
      <c r="D111" s="261" t="str">
        <f t="shared" si="23"/>
        <v>0005-0016-0008</v>
      </c>
      <c r="E111" s="407" t="s">
        <v>992</v>
      </c>
      <c r="F111" s="261" t="str">
        <f>TEXT(VLOOKUP(J111,'[3]1'!$B$2:$D$37,2,0),"0000")</f>
        <v>0005</v>
      </c>
      <c r="G111" s="261" t="str">
        <f t="shared" si="24"/>
        <v>0016</v>
      </c>
      <c r="H111" s="408">
        <f t="shared" si="25"/>
        <v>8</v>
      </c>
      <c r="I111" s="407" t="s">
        <v>992</v>
      </c>
      <c r="J111" s="258" t="s">
        <v>294</v>
      </c>
      <c r="K111" s="258" t="s">
        <v>2762</v>
      </c>
      <c r="L111" s="258" t="s">
        <v>3415</v>
      </c>
      <c r="M111" s="409">
        <v>31220000</v>
      </c>
      <c r="N111" s="258">
        <v>2151</v>
      </c>
      <c r="O111" s="258" t="s">
        <v>78</v>
      </c>
      <c r="P111" s="258" t="s">
        <v>70</v>
      </c>
      <c r="Q111" s="258" t="s">
        <v>72</v>
      </c>
      <c r="R111" s="258">
        <v>5</v>
      </c>
      <c r="S111" s="410">
        <v>1</v>
      </c>
      <c r="T111" s="261">
        <v>6</v>
      </c>
      <c r="U111" s="261">
        <v>6</v>
      </c>
      <c r="V111" s="258" t="s">
        <v>3329</v>
      </c>
      <c r="W111" s="261" t="str">
        <f t="shared" si="27"/>
        <v>현대자동차싼타페 2.2 디젤 프리미엄 5인31220000</v>
      </c>
      <c r="X111" s="411">
        <f t="shared" si="28"/>
        <v>3885</v>
      </c>
      <c r="Y111" s="261">
        <v>6</v>
      </c>
      <c r="Z111" s="261">
        <v>6</v>
      </c>
      <c r="AA111" s="407" t="s">
        <v>992</v>
      </c>
      <c r="AB111" s="258" t="s">
        <v>1965</v>
      </c>
      <c r="AC111" s="258"/>
      <c r="AD111" s="258" t="s">
        <v>2136</v>
      </c>
      <c r="AE111" s="258" t="s">
        <v>2129</v>
      </c>
      <c r="AF111" s="259"/>
      <c r="AG111" s="260"/>
      <c r="AH111" s="259"/>
      <c r="AI111" s="259"/>
      <c r="AJ111" s="260"/>
      <c r="AK111" s="259">
        <v>26</v>
      </c>
      <c r="AL111" s="259"/>
      <c r="AM111" s="259" t="s">
        <v>3189</v>
      </c>
      <c r="AN111" s="449"/>
      <c r="AO111" s="449"/>
      <c r="AP111" s="449"/>
      <c r="AQ111" s="392" t="str">
        <f>IFERROR(VLOOKUP(BG111,#REF!,1,0),"")</f>
        <v/>
      </c>
      <c r="AS111" s="259" t="s">
        <v>3189</v>
      </c>
      <c r="BD111" s="202" t="str">
        <f t="shared" si="20"/>
        <v>싼타페 2.2 디젤 프리미엄 5인</v>
      </c>
      <c r="BE111" s="261" t="str">
        <f t="shared" si="26"/>
        <v>0016</v>
      </c>
      <c r="BF111" s="407" t="s">
        <v>992</v>
      </c>
      <c r="BG111" s="202" t="str">
        <f t="shared" si="21"/>
        <v>0016-0110</v>
      </c>
    </row>
    <row r="112" spans="1:59">
      <c r="A112" s="405">
        <v>3886</v>
      </c>
      <c r="B112" s="406">
        <v>3886</v>
      </c>
      <c r="C112" s="261" t="str">
        <f t="shared" si="22"/>
        <v>0005-0016</v>
      </c>
      <c r="D112" s="261" t="str">
        <f t="shared" si="23"/>
        <v>0005-0016-0009</v>
      </c>
      <c r="E112" s="407" t="s">
        <v>991</v>
      </c>
      <c r="F112" s="261" t="str">
        <f>TEXT(VLOOKUP(J112,'[3]1'!$B$2:$D$37,2,0),"0000")</f>
        <v>0005</v>
      </c>
      <c r="G112" s="261" t="str">
        <f t="shared" si="24"/>
        <v>0016</v>
      </c>
      <c r="H112" s="408">
        <f t="shared" si="25"/>
        <v>9</v>
      </c>
      <c r="I112" s="407" t="s">
        <v>991</v>
      </c>
      <c r="J112" s="258" t="s">
        <v>294</v>
      </c>
      <c r="K112" s="258" t="s">
        <v>2762</v>
      </c>
      <c r="L112" s="258" t="s">
        <v>3416</v>
      </c>
      <c r="M112" s="409">
        <v>31220000</v>
      </c>
      <c r="N112" s="258">
        <v>2151</v>
      </c>
      <c r="O112" s="258" t="s">
        <v>78</v>
      </c>
      <c r="P112" s="258" t="s">
        <v>70</v>
      </c>
      <c r="Q112" s="258" t="s">
        <v>72</v>
      </c>
      <c r="R112" s="258">
        <v>5</v>
      </c>
      <c r="S112" s="410">
        <v>1</v>
      </c>
      <c r="T112" s="261">
        <v>6</v>
      </c>
      <c r="U112" s="261">
        <v>6</v>
      </c>
      <c r="V112" s="258" t="s">
        <v>1969</v>
      </c>
      <c r="W112" s="261" t="str">
        <f t="shared" si="27"/>
        <v>현대자동차싼타페 2.2 디젤 익스클루시브 (5인승)31220000</v>
      </c>
      <c r="X112" s="411">
        <f t="shared" si="28"/>
        <v>3886</v>
      </c>
      <c r="Y112" s="261">
        <v>6</v>
      </c>
      <c r="Z112" s="261">
        <v>6</v>
      </c>
      <c r="AA112" s="407" t="s">
        <v>991</v>
      </c>
      <c r="AB112" s="258" t="s">
        <v>1965</v>
      </c>
      <c r="AC112" s="258"/>
      <c r="AD112" s="258" t="s">
        <v>2136</v>
      </c>
      <c r="AE112" s="258" t="s">
        <v>2129</v>
      </c>
      <c r="AF112" s="259"/>
      <c r="AG112" s="260"/>
      <c r="AH112" s="259"/>
      <c r="AI112" s="259"/>
      <c r="AJ112" s="260"/>
      <c r="AK112" s="259">
        <v>26</v>
      </c>
      <c r="AL112" s="259"/>
      <c r="AM112" s="259" t="s">
        <v>3189</v>
      </c>
      <c r="AN112" s="449"/>
      <c r="AO112" s="449"/>
      <c r="AP112" s="449"/>
      <c r="AQ112" s="392" t="str">
        <f>IFERROR(VLOOKUP(BG112,#REF!,1,0),"")</f>
        <v/>
      </c>
      <c r="AS112" s="259" t="s">
        <v>3189</v>
      </c>
      <c r="BD112" s="202" t="str">
        <f t="shared" si="20"/>
        <v>싼타페 2.2 디젤 익스클루시브 (5인승)</v>
      </c>
      <c r="BE112" s="261" t="str">
        <f t="shared" si="26"/>
        <v>0016</v>
      </c>
      <c r="BF112" s="407" t="s">
        <v>991</v>
      </c>
      <c r="BG112" s="202" t="str">
        <f t="shared" si="21"/>
        <v>0016-0111</v>
      </c>
    </row>
    <row r="113" spans="1:59">
      <c r="A113" s="405">
        <v>3887</v>
      </c>
      <c r="B113" s="406">
        <v>3887</v>
      </c>
      <c r="C113" s="261" t="str">
        <f t="shared" si="22"/>
        <v>0005-0016</v>
      </c>
      <c r="D113" s="261" t="str">
        <f t="shared" si="23"/>
        <v>0005-0016-0010</v>
      </c>
      <c r="E113" s="407" t="s">
        <v>990</v>
      </c>
      <c r="F113" s="261" t="str">
        <f>TEXT(VLOOKUP(J113,'[3]1'!$B$2:$D$37,2,0),"0000")</f>
        <v>0005</v>
      </c>
      <c r="G113" s="261" t="str">
        <f t="shared" si="24"/>
        <v>0016</v>
      </c>
      <c r="H113" s="408">
        <f t="shared" si="25"/>
        <v>10</v>
      </c>
      <c r="I113" s="407" t="s">
        <v>990</v>
      </c>
      <c r="J113" s="258" t="s">
        <v>294</v>
      </c>
      <c r="K113" s="258" t="s">
        <v>2762</v>
      </c>
      <c r="L113" s="258" t="s">
        <v>3474</v>
      </c>
      <c r="M113" s="409">
        <v>37100000</v>
      </c>
      <c r="N113" s="258">
        <v>1598</v>
      </c>
      <c r="O113" s="258" t="s">
        <v>1173</v>
      </c>
      <c r="P113" s="258" t="s">
        <v>70</v>
      </c>
      <c r="Q113" s="258" t="s">
        <v>72</v>
      </c>
      <c r="R113" s="258">
        <v>5</v>
      </c>
      <c r="S113" s="410">
        <v>15</v>
      </c>
      <c r="T113" s="261">
        <v>6</v>
      </c>
      <c r="U113" s="261">
        <v>6</v>
      </c>
      <c r="V113" s="258" t="s">
        <v>1914</v>
      </c>
      <c r="W113" s="261" t="str">
        <f t="shared" si="27"/>
        <v>현대자동차싼타페1.6 2WD 익스클루시브 HEV37100000</v>
      </c>
      <c r="X113" s="411">
        <f t="shared" si="28"/>
        <v>3887</v>
      </c>
      <c r="Y113" s="261">
        <v>6</v>
      </c>
      <c r="Z113" s="261">
        <v>6</v>
      </c>
      <c r="AA113" s="407" t="s">
        <v>990</v>
      </c>
      <c r="AB113" s="258" t="s">
        <v>1965</v>
      </c>
      <c r="AC113" s="258"/>
      <c r="AD113" s="258"/>
      <c r="AE113" s="258"/>
      <c r="AF113" s="259"/>
      <c r="AG113" s="260"/>
      <c r="AH113" s="259"/>
      <c r="AI113" s="259"/>
      <c r="AJ113" s="260"/>
      <c r="AK113" s="259">
        <v>26</v>
      </c>
      <c r="AL113" s="259"/>
      <c r="AM113" s="259" t="s">
        <v>3233</v>
      </c>
      <c r="AN113" s="449"/>
      <c r="AO113" s="449"/>
      <c r="AP113" s="449"/>
      <c r="AQ113" s="392" t="str">
        <f>IFERROR(VLOOKUP(BG113,#REF!,1,0),"")</f>
        <v/>
      </c>
      <c r="AS113" s="259" t="s">
        <v>3233</v>
      </c>
      <c r="AT113" s="392">
        <v>2024.02</v>
      </c>
      <c r="AW113" s="392" t="s">
        <v>3460</v>
      </c>
      <c r="BD113" s="202" t="str">
        <f t="shared" si="20"/>
        <v>싼타페1.6 2WD 익스클루시브 HEV</v>
      </c>
      <c r="BE113" s="261" t="str">
        <f t="shared" si="26"/>
        <v>0016</v>
      </c>
      <c r="BF113" s="407" t="s">
        <v>990</v>
      </c>
      <c r="BG113" s="202" t="str">
        <f t="shared" si="21"/>
        <v>0016-0112</v>
      </c>
    </row>
    <row r="114" spans="1:59">
      <c r="A114" s="405">
        <v>3888</v>
      </c>
      <c r="B114" s="406">
        <v>3888</v>
      </c>
      <c r="C114" s="261" t="str">
        <f t="shared" si="22"/>
        <v>0005-0016</v>
      </c>
      <c r="D114" s="261" t="str">
        <f t="shared" si="23"/>
        <v>0005-0016-0011</v>
      </c>
      <c r="E114" s="407" t="s">
        <v>989</v>
      </c>
      <c r="F114" s="261" t="str">
        <f>TEXT(VLOOKUP(J114,'[3]1'!$B$2:$D$37,2,0),"0000")</f>
        <v>0005</v>
      </c>
      <c r="G114" s="261" t="str">
        <f t="shared" si="24"/>
        <v>0016</v>
      </c>
      <c r="H114" s="408">
        <f t="shared" si="25"/>
        <v>11</v>
      </c>
      <c r="I114" s="407" t="s">
        <v>989</v>
      </c>
      <c r="J114" s="258" t="s">
        <v>294</v>
      </c>
      <c r="K114" s="258" t="s">
        <v>2762</v>
      </c>
      <c r="L114" s="258" t="s">
        <v>3475</v>
      </c>
      <c r="M114" s="409">
        <v>44600000</v>
      </c>
      <c r="N114" s="258">
        <v>1598</v>
      </c>
      <c r="O114" s="258" t="s">
        <v>1173</v>
      </c>
      <c r="P114" s="258" t="s">
        <v>70</v>
      </c>
      <c r="Q114" s="258" t="s">
        <v>72</v>
      </c>
      <c r="R114" s="258">
        <v>5</v>
      </c>
      <c r="S114" s="410">
        <v>15</v>
      </c>
      <c r="T114" s="261">
        <v>6</v>
      </c>
      <c r="U114" s="261">
        <v>6</v>
      </c>
      <c r="V114" s="258" t="s">
        <v>1914</v>
      </c>
      <c r="W114" s="261" t="str">
        <f t="shared" si="27"/>
        <v>현대자동차싼타페1.6 2WD 캘리그래피 HEV44600000</v>
      </c>
      <c r="X114" s="411">
        <f t="shared" si="28"/>
        <v>3888</v>
      </c>
      <c r="Y114" s="261">
        <v>6</v>
      </c>
      <c r="Z114" s="261">
        <v>6</v>
      </c>
      <c r="AA114" s="407" t="s">
        <v>989</v>
      </c>
      <c r="AB114" s="258" t="s">
        <v>1965</v>
      </c>
      <c r="AC114" s="258"/>
      <c r="AD114" s="258"/>
      <c r="AE114" s="258"/>
      <c r="AF114" s="259"/>
      <c r="AG114" s="260"/>
      <c r="AH114" s="259"/>
      <c r="AI114" s="259"/>
      <c r="AJ114" s="260"/>
      <c r="AK114" s="259">
        <v>26</v>
      </c>
      <c r="AL114" s="259"/>
      <c r="AM114" s="259" t="s">
        <v>3233</v>
      </c>
      <c r="AN114" s="449"/>
      <c r="AO114" s="449"/>
      <c r="AP114" s="449"/>
      <c r="AQ114" s="392" t="str">
        <f>IFERROR(VLOOKUP(BG114,#REF!,1,0),"")</f>
        <v/>
      </c>
      <c r="AS114" s="259" t="s">
        <v>3233</v>
      </c>
      <c r="AT114" s="392">
        <v>2024.02</v>
      </c>
      <c r="AW114" s="392" t="s">
        <v>3460</v>
      </c>
      <c r="BD114" s="202" t="str">
        <f t="shared" si="20"/>
        <v>싼타페1.6 2WD 캘리그래피 HEV</v>
      </c>
      <c r="BE114" s="261" t="str">
        <f t="shared" si="26"/>
        <v>0016</v>
      </c>
      <c r="BF114" s="407" t="s">
        <v>989</v>
      </c>
      <c r="BG114" s="202" t="str">
        <f t="shared" si="21"/>
        <v>0016-0113</v>
      </c>
    </row>
    <row r="115" spans="1:59">
      <c r="A115" s="405">
        <v>3889</v>
      </c>
      <c r="B115" s="406">
        <v>3889</v>
      </c>
      <c r="C115" s="261" t="str">
        <f t="shared" si="22"/>
        <v>0005-0016</v>
      </c>
      <c r="D115" s="261" t="str">
        <f t="shared" si="23"/>
        <v>0005-0016-0012</v>
      </c>
      <c r="E115" s="407" t="s">
        <v>988</v>
      </c>
      <c r="F115" s="261" t="str">
        <f>TEXT(VLOOKUP(J115,'[3]1'!$B$2:$D$37,2,0),"0000")</f>
        <v>0005</v>
      </c>
      <c r="G115" s="261" t="str">
        <f t="shared" si="24"/>
        <v>0016</v>
      </c>
      <c r="H115" s="408">
        <f t="shared" si="25"/>
        <v>12</v>
      </c>
      <c r="I115" s="407" t="s">
        <v>988</v>
      </c>
      <c r="J115" s="258" t="s">
        <v>294</v>
      </c>
      <c r="K115" s="258" t="s">
        <v>2762</v>
      </c>
      <c r="L115" s="258" t="s">
        <v>3476</v>
      </c>
      <c r="M115" s="409">
        <v>39320000</v>
      </c>
      <c r="N115" s="258">
        <v>1598</v>
      </c>
      <c r="O115" s="258" t="s">
        <v>1173</v>
      </c>
      <c r="P115" s="258" t="s">
        <v>70</v>
      </c>
      <c r="Q115" s="258" t="s">
        <v>72</v>
      </c>
      <c r="R115" s="258">
        <v>5</v>
      </c>
      <c r="S115" s="410">
        <v>15</v>
      </c>
      <c r="T115" s="261">
        <v>6</v>
      </c>
      <c r="U115" s="261">
        <v>6</v>
      </c>
      <c r="V115" s="258" t="s">
        <v>1914</v>
      </c>
      <c r="W115" s="261" t="str">
        <f t="shared" si="27"/>
        <v>현대자동차싼타페1.6 2WD 프레스티지 HEV39320000</v>
      </c>
      <c r="X115" s="411">
        <f t="shared" si="28"/>
        <v>3889</v>
      </c>
      <c r="Y115" s="261">
        <v>6</v>
      </c>
      <c r="Z115" s="261">
        <v>6</v>
      </c>
      <c r="AA115" s="407" t="s">
        <v>988</v>
      </c>
      <c r="AB115" s="258" t="s">
        <v>1965</v>
      </c>
      <c r="AC115" s="258"/>
      <c r="AD115" s="258"/>
      <c r="AE115" s="258"/>
      <c r="AF115" s="259"/>
      <c r="AG115" s="260"/>
      <c r="AH115" s="259"/>
      <c r="AI115" s="259"/>
      <c r="AJ115" s="260"/>
      <c r="AK115" s="259">
        <v>26</v>
      </c>
      <c r="AL115" s="259"/>
      <c r="AM115" s="259" t="s">
        <v>3233</v>
      </c>
      <c r="AN115" s="449"/>
      <c r="AO115" s="449"/>
      <c r="AP115" s="449"/>
      <c r="AQ115" s="392" t="str">
        <f>IFERROR(VLOOKUP(BG115,#REF!,1,0),"")</f>
        <v/>
      </c>
      <c r="AS115" s="259" t="s">
        <v>3233</v>
      </c>
      <c r="AT115" s="392">
        <v>2024.02</v>
      </c>
      <c r="AW115" s="392" t="s">
        <v>3460</v>
      </c>
      <c r="BD115" s="202" t="str">
        <f t="shared" si="20"/>
        <v>싼타페1.6 2WD 프레스티지 HEV</v>
      </c>
      <c r="BE115" s="261" t="str">
        <f t="shared" si="26"/>
        <v>0016</v>
      </c>
      <c r="BF115" s="407" t="s">
        <v>988</v>
      </c>
      <c r="BG115" s="202" t="str">
        <f t="shared" si="21"/>
        <v>0016-0114</v>
      </c>
    </row>
    <row r="116" spans="1:59">
      <c r="A116" s="405">
        <v>3890</v>
      </c>
      <c r="B116" s="406">
        <v>3890</v>
      </c>
      <c r="C116" s="261" t="str">
        <f t="shared" si="22"/>
        <v>0005-0016</v>
      </c>
      <c r="D116" s="261" t="str">
        <f t="shared" si="23"/>
        <v>0005-0016-0013</v>
      </c>
      <c r="E116" s="407" t="s">
        <v>987</v>
      </c>
      <c r="F116" s="261" t="str">
        <f>TEXT(VLOOKUP(J116,'[3]1'!$B$2:$D$37,2,0),"0000")</f>
        <v>0005</v>
      </c>
      <c r="G116" s="261" t="str">
        <f t="shared" si="24"/>
        <v>0016</v>
      </c>
      <c r="H116" s="408">
        <f t="shared" si="25"/>
        <v>13</v>
      </c>
      <c r="I116" s="407" t="s">
        <v>987</v>
      </c>
      <c r="J116" s="258" t="s">
        <v>294</v>
      </c>
      <c r="K116" s="258" t="s">
        <v>2762</v>
      </c>
      <c r="L116" s="258" t="s">
        <v>3477</v>
      </c>
      <c r="M116" s="409">
        <v>41220000</v>
      </c>
      <c r="N116" s="258">
        <v>1598</v>
      </c>
      <c r="O116" s="258" t="s">
        <v>1173</v>
      </c>
      <c r="P116" s="258" t="s">
        <v>70</v>
      </c>
      <c r="Q116" s="258" t="s">
        <v>72</v>
      </c>
      <c r="R116" s="258">
        <v>5</v>
      </c>
      <c r="S116" s="410">
        <v>15</v>
      </c>
      <c r="T116" s="261">
        <v>6</v>
      </c>
      <c r="U116" s="261">
        <v>6</v>
      </c>
      <c r="V116" s="258" t="s">
        <v>1914</v>
      </c>
      <c r="W116" s="261" t="str">
        <f t="shared" si="27"/>
        <v>현대자동차싼타페1.6 2WD 프레스티지 초이스 HEV41220000</v>
      </c>
      <c r="X116" s="411">
        <f t="shared" si="28"/>
        <v>3890</v>
      </c>
      <c r="Y116" s="261">
        <v>6</v>
      </c>
      <c r="Z116" s="261">
        <v>6</v>
      </c>
      <c r="AA116" s="407" t="s">
        <v>987</v>
      </c>
      <c r="AB116" s="258" t="s">
        <v>1965</v>
      </c>
      <c r="AC116" s="258"/>
      <c r="AD116" s="258"/>
      <c r="AE116" s="258"/>
      <c r="AF116" s="259"/>
      <c r="AG116" s="260"/>
      <c r="AH116" s="259"/>
      <c r="AI116" s="259"/>
      <c r="AJ116" s="260"/>
      <c r="AK116" s="259">
        <v>26</v>
      </c>
      <c r="AL116" s="259"/>
      <c r="AM116" s="259" t="s">
        <v>3233</v>
      </c>
      <c r="AN116" s="449"/>
      <c r="AO116" s="449"/>
      <c r="AP116" s="449"/>
      <c r="AQ116" s="392" t="str">
        <f>IFERROR(VLOOKUP(BG116,#REF!,1,0),"")</f>
        <v/>
      </c>
      <c r="AS116" s="259" t="s">
        <v>3233</v>
      </c>
      <c r="AT116" s="392">
        <v>2024.02</v>
      </c>
      <c r="AW116" s="392" t="s">
        <v>3460</v>
      </c>
      <c r="BD116" s="202" t="str">
        <f t="shared" si="20"/>
        <v>싼타페1.6 2WD 프레스티지 초이스 HEV</v>
      </c>
      <c r="BE116" s="261" t="str">
        <f t="shared" si="26"/>
        <v>0016</v>
      </c>
      <c r="BF116" s="407" t="s">
        <v>987</v>
      </c>
      <c r="BG116" s="202" t="str">
        <f t="shared" si="21"/>
        <v>0016-0115</v>
      </c>
    </row>
    <row r="117" spans="1:59">
      <c r="A117" s="405">
        <v>3891</v>
      </c>
      <c r="B117" s="406">
        <v>3891</v>
      </c>
      <c r="C117" s="261" t="str">
        <f t="shared" si="22"/>
        <v>0005-0016</v>
      </c>
      <c r="D117" s="261" t="str">
        <f t="shared" si="23"/>
        <v>0005-0016-0014</v>
      </c>
      <c r="E117" s="407" t="s">
        <v>986</v>
      </c>
      <c r="F117" s="261" t="str">
        <f>TEXT(VLOOKUP(J117,'[3]1'!$B$2:$D$37,2,0),"0000")</f>
        <v>0005</v>
      </c>
      <c r="G117" s="261" t="str">
        <f t="shared" si="24"/>
        <v>0016</v>
      </c>
      <c r="H117" s="408">
        <f t="shared" si="25"/>
        <v>14</v>
      </c>
      <c r="I117" s="407" t="s">
        <v>986</v>
      </c>
      <c r="J117" s="258" t="s">
        <v>294</v>
      </c>
      <c r="K117" s="258" t="s">
        <v>2762</v>
      </c>
      <c r="L117" s="258" t="s">
        <v>3478</v>
      </c>
      <c r="M117" s="409">
        <v>39370000</v>
      </c>
      <c r="N117" s="258">
        <v>1598</v>
      </c>
      <c r="O117" s="258" t="s">
        <v>1173</v>
      </c>
      <c r="P117" s="258" t="s">
        <v>70</v>
      </c>
      <c r="Q117" s="258" t="s">
        <v>72</v>
      </c>
      <c r="R117" s="258">
        <v>5</v>
      </c>
      <c r="S117" s="410">
        <v>15</v>
      </c>
      <c r="T117" s="261">
        <v>6</v>
      </c>
      <c r="U117" s="261">
        <v>6</v>
      </c>
      <c r="V117" s="258" t="s">
        <v>1969</v>
      </c>
      <c r="W117" s="261" t="str">
        <f t="shared" si="27"/>
        <v>현대자동차싼타페1.6 AWD 익스클루시브 HEV39370000</v>
      </c>
      <c r="X117" s="411">
        <f t="shared" si="28"/>
        <v>3891</v>
      </c>
      <c r="Y117" s="261">
        <v>6</v>
      </c>
      <c r="Z117" s="261">
        <v>6</v>
      </c>
      <c r="AA117" s="407" t="s">
        <v>986</v>
      </c>
      <c r="AB117" s="258" t="s">
        <v>1965</v>
      </c>
      <c r="AC117" s="258"/>
      <c r="AD117" s="258"/>
      <c r="AE117" s="258"/>
      <c r="AF117" s="259"/>
      <c r="AG117" s="260"/>
      <c r="AH117" s="259"/>
      <c r="AI117" s="259"/>
      <c r="AJ117" s="260"/>
      <c r="AK117" s="259">
        <v>26</v>
      </c>
      <c r="AL117" s="259"/>
      <c r="AM117" s="259" t="s">
        <v>3233</v>
      </c>
      <c r="AN117" s="449"/>
      <c r="AO117" s="449"/>
      <c r="AP117" s="449"/>
      <c r="AQ117" s="392" t="str">
        <f>IFERROR(VLOOKUP(BG117,#REF!,1,0),"")</f>
        <v/>
      </c>
      <c r="AS117" s="259" t="s">
        <v>3233</v>
      </c>
      <c r="AT117" s="392">
        <v>2024.02</v>
      </c>
      <c r="AW117" s="392" t="s">
        <v>3460</v>
      </c>
      <c r="BD117" s="202" t="str">
        <f t="shared" si="20"/>
        <v>싼타페1.6 AWD 익스클루시브 HEV</v>
      </c>
      <c r="BE117" s="261" t="str">
        <f t="shared" si="26"/>
        <v>0016</v>
      </c>
      <c r="BF117" s="407" t="s">
        <v>986</v>
      </c>
      <c r="BG117" s="202" t="str">
        <f t="shared" si="21"/>
        <v>0016-0116</v>
      </c>
    </row>
    <row r="118" spans="1:59">
      <c r="A118" s="405">
        <v>3892</v>
      </c>
      <c r="B118" s="406">
        <v>3892</v>
      </c>
      <c r="C118" s="261" t="str">
        <f t="shared" si="22"/>
        <v>0005-0016</v>
      </c>
      <c r="D118" s="261" t="str">
        <f t="shared" si="23"/>
        <v>0005-0016-0015</v>
      </c>
      <c r="E118" s="407" t="s">
        <v>985</v>
      </c>
      <c r="F118" s="261" t="str">
        <f>TEXT(VLOOKUP(J118,'[3]1'!$B$2:$D$37,2,0),"0000")</f>
        <v>0005</v>
      </c>
      <c r="G118" s="261" t="str">
        <f t="shared" si="24"/>
        <v>0016</v>
      </c>
      <c r="H118" s="408">
        <f t="shared" si="25"/>
        <v>15</v>
      </c>
      <c r="I118" s="407" t="s">
        <v>985</v>
      </c>
      <c r="J118" s="258" t="s">
        <v>294</v>
      </c>
      <c r="K118" s="258" t="s">
        <v>2762</v>
      </c>
      <c r="L118" s="258" t="s">
        <v>3479</v>
      </c>
      <c r="M118" s="409">
        <v>47400000</v>
      </c>
      <c r="N118" s="258">
        <v>1598</v>
      </c>
      <c r="O118" s="258" t="s">
        <v>1173</v>
      </c>
      <c r="P118" s="258" t="s">
        <v>70</v>
      </c>
      <c r="Q118" s="258" t="s">
        <v>72</v>
      </c>
      <c r="R118" s="258">
        <v>5</v>
      </c>
      <c r="S118" s="410">
        <v>15</v>
      </c>
      <c r="T118" s="261">
        <v>6</v>
      </c>
      <c r="U118" s="261">
        <v>6</v>
      </c>
      <c r="V118" s="258" t="s">
        <v>1969</v>
      </c>
      <c r="W118" s="261" t="str">
        <f t="shared" si="27"/>
        <v>현대자동차싼타페1.6 AWD 캘리그래피 HEV47400000</v>
      </c>
      <c r="X118" s="411">
        <f t="shared" si="28"/>
        <v>3892</v>
      </c>
      <c r="Y118" s="261">
        <v>6</v>
      </c>
      <c r="Z118" s="261">
        <v>6</v>
      </c>
      <c r="AA118" s="407" t="s">
        <v>985</v>
      </c>
      <c r="AB118" s="258" t="s">
        <v>1965</v>
      </c>
      <c r="AC118" s="258"/>
      <c r="AD118" s="258"/>
      <c r="AE118" s="258"/>
      <c r="AF118" s="259"/>
      <c r="AG118" s="260"/>
      <c r="AH118" s="259"/>
      <c r="AI118" s="259"/>
      <c r="AJ118" s="260"/>
      <c r="AK118" s="259">
        <v>26</v>
      </c>
      <c r="AL118" s="259"/>
      <c r="AM118" s="259" t="s">
        <v>3233</v>
      </c>
      <c r="AN118" s="449"/>
      <c r="AO118" s="449"/>
      <c r="AP118" s="449"/>
      <c r="AQ118" s="392" t="str">
        <f>IFERROR(VLOOKUP(BG118,#REF!,1,0),"")</f>
        <v/>
      </c>
      <c r="AS118" s="259" t="s">
        <v>3233</v>
      </c>
      <c r="AT118" s="392">
        <v>2024.02</v>
      </c>
      <c r="AW118" s="392" t="s">
        <v>3460</v>
      </c>
      <c r="BD118" s="202" t="str">
        <f t="shared" si="20"/>
        <v>싼타페1.6 AWD 캘리그래피 HEV</v>
      </c>
      <c r="BE118" s="261" t="str">
        <f t="shared" si="26"/>
        <v>0016</v>
      </c>
      <c r="BF118" s="407" t="s">
        <v>985</v>
      </c>
      <c r="BG118" s="202" t="str">
        <f t="shared" si="21"/>
        <v>0016-0117</v>
      </c>
    </row>
    <row r="119" spans="1:59">
      <c r="A119" s="405">
        <v>3893</v>
      </c>
      <c r="B119" s="406">
        <v>3893</v>
      </c>
      <c r="C119" s="261" t="str">
        <f t="shared" si="22"/>
        <v>0005-0016</v>
      </c>
      <c r="D119" s="261" t="str">
        <f t="shared" si="23"/>
        <v>0005-0016-0016</v>
      </c>
      <c r="E119" s="407" t="s">
        <v>984</v>
      </c>
      <c r="F119" s="261" t="str">
        <f>TEXT(VLOOKUP(J119,'[3]1'!$B$2:$D$37,2,0),"0000")</f>
        <v>0005</v>
      </c>
      <c r="G119" s="261" t="str">
        <f t="shared" si="24"/>
        <v>0016</v>
      </c>
      <c r="H119" s="408">
        <f t="shared" si="25"/>
        <v>16</v>
      </c>
      <c r="I119" s="407" t="s">
        <v>984</v>
      </c>
      <c r="J119" s="258" t="s">
        <v>294</v>
      </c>
      <c r="K119" s="258" t="s">
        <v>2762</v>
      </c>
      <c r="L119" s="258" t="s">
        <v>3480</v>
      </c>
      <c r="M119" s="409">
        <v>42060000</v>
      </c>
      <c r="N119" s="258">
        <v>1598</v>
      </c>
      <c r="O119" s="258" t="s">
        <v>1173</v>
      </c>
      <c r="P119" s="258" t="s">
        <v>70</v>
      </c>
      <c r="Q119" s="258" t="s">
        <v>72</v>
      </c>
      <c r="R119" s="258">
        <v>5</v>
      </c>
      <c r="S119" s="410">
        <v>15</v>
      </c>
      <c r="T119" s="261">
        <v>6</v>
      </c>
      <c r="U119" s="261">
        <v>6</v>
      </c>
      <c r="V119" s="258" t="s">
        <v>1969</v>
      </c>
      <c r="W119" s="261" t="str">
        <f t="shared" si="27"/>
        <v>현대자동차싼타페1.6 AWD 프레스티지 HEV42060000</v>
      </c>
      <c r="X119" s="411">
        <f t="shared" si="28"/>
        <v>3893</v>
      </c>
      <c r="Y119" s="261">
        <v>6</v>
      </c>
      <c r="Z119" s="261">
        <v>6</v>
      </c>
      <c r="AA119" s="407" t="s">
        <v>984</v>
      </c>
      <c r="AB119" s="258" t="s">
        <v>1965</v>
      </c>
      <c r="AC119" s="258"/>
      <c r="AD119" s="258"/>
      <c r="AE119" s="258"/>
      <c r="AF119" s="259"/>
      <c r="AG119" s="260"/>
      <c r="AH119" s="259"/>
      <c r="AI119" s="259"/>
      <c r="AJ119" s="260"/>
      <c r="AK119" s="259">
        <v>26</v>
      </c>
      <c r="AL119" s="259"/>
      <c r="AM119" s="259" t="s">
        <v>3233</v>
      </c>
      <c r="AN119" s="449"/>
      <c r="AO119" s="449"/>
      <c r="AP119" s="449"/>
      <c r="AQ119" s="392" t="str">
        <f>IFERROR(VLOOKUP(BG119,#REF!,1,0),"")</f>
        <v/>
      </c>
      <c r="AS119" s="259" t="s">
        <v>3233</v>
      </c>
      <c r="AT119" s="392">
        <v>2024.02</v>
      </c>
      <c r="AW119" s="392" t="s">
        <v>3460</v>
      </c>
      <c r="BD119" s="202" t="str">
        <f t="shared" si="20"/>
        <v>싼타페1.6 AWD 프레스티지 HEV</v>
      </c>
      <c r="BE119" s="261" t="str">
        <f t="shared" si="26"/>
        <v>0016</v>
      </c>
      <c r="BF119" s="407" t="s">
        <v>984</v>
      </c>
      <c r="BG119" s="202" t="str">
        <f t="shared" si="21"/>
        <v>0016-0118</v>
      </c>
    </row>
    <row r="120" spans="1:59">
      <c r="A120" s="405">
        <v>3894</v>
      </c>
      <c r="B120" s="406">
        <v>3894</v>
      </c>
      <c r="C120" s="261" t="str">
        <f t="shared" si="22"/>
        <v>0005-0016</v>
      </c>
      <c r="D120" s="261" t="str">
        <f t="shared" si="23"/>
        <v>0005-0016-0017</v>
      </c>
      <c r="E120" s="407" t="s">
        <v>983</v>
      </c>
      <c r="F120" s="261" t="str">
        <f>TEXT(VLOOKUP(J120,'[3]1'!$B$2:$D$37,2,0),"0000")</f>
        <v>0005</v>
      </c>
      <c r="G120" s="261" t="str">
        <f t="shared" si="24"/>
        <v>0016</v>
      </c>
      <c r="H120" s="408">
        <f t="shared" si="25"/>
        <v>17</v>
      </c>
      <c r="I120" s="407" t="s">
        <v>983</v>
      </c>
      <c r="J120" s="258" t="s">
        <v>294</v>
      </c>
      <c r="K120" s="258" t="s">
        <v>2762</v>
      </c>
      <c r="L120" s="258" t="s">
        <v>3481</v>
      </c>
      <c r="M120" s="409">
        <v>43980000</v>
      </c>
      <c r="N120" s="258">
        <v>1598</v>
      </c>
      <c r="O120" s="258" t="s">
        <v>1173</v>
      </c>
      <c r="P120" s="258" t="s">
        <v>70</v>
      </c>
      <c r="Q120" s="258" t="s">
        <v>72</v>
      </c>
      <c r="R120" s="258">
        <v>5</v>
      </c>
      <c r="S120" s="410">
        <v>15</v>
      </c>
      <c r="T120" s="261">
        <v>6</v>
      </c>
      <c r="U120" s="261">
        <v>6</v>
      </c>
      <c r="V120" s="258" t="s">
        <v>1969</v>
      </c>
      <c r="W120" s="261" t="str">
        <f t="shared" si="27"/>
        <v>현대자동차싼타페1.6 AWD 프레스티지 초이스 HEV43980000</v>
      </c>
      <c r="X120" s="411">
        <f t="shared" si="28"/>
        <v>3894</v>
      </c>
      <c r="Y120" s="261">
        <v>6</v>
      </c>
      <c r="Z120" s="261">
        <v>6</v>
      </c>
      <c r="AA120" s="407" t="s">
        <v>983</v>
      </c>
      <c r="AB120" s="258" t="s">
        <v>1965</v>
      </c>
      <c r="AC120" s="258"/>
      <c r="AD120" s="258"/>
      <c r="AE120" s="258"/>
      <c r="AF120" s="259"/>
      <c r="AG120" s="260"/>
      <c r="AH120" s="259"/>
      <c r="AI120" s="259"/>
      <c r="AJ120" s="260"/>
      <c r="AK120" s="259">
        <v>26</v>
      </c>
      <c r="AL120" s="259"/>
      <c r="AM120" s="259" t="s">
        <v>3233</v>
      </c>
      <c r="AN120" s="449"/>
      <c r="AO120" s="449"/>
      <c r="AP120" s="449"/>
      <c r="AQ120" s="392" t="str">
        <f>IFERROR(VLOOKUP(BG120,#REF!,1,0),"")</f>
        <v/>
      </c>
      <c r="AS120" s="259" t="s">
        <v>3233</v>
      </c>
      <c r="AT120" s="392">
        <v>2024.02</v>
      </c>
      <c r="AW120" s="392" t="s">
        <v>3460</v>
      </c>
      <c r="BD120" s="202" t="str">
        <f t="shared" si="20"/>
        <v>싼타페1.6 AWD 프레스티지 초이스 HEV</v>
      </c>
      <c r="BE120" s="261" t="str">
        <f t="shared" si="26"/>
        <v>0016</v>
      </c>
      <c r="BF120" s="407" t="s">
        <v>983</v>
      </c>
      <c r="BG120" s="202" t="str">
        <f t="shared" si="21"/>
        <v>0016-0119</v>
      </c>
    </row>
    <row r="121" spans="1:59">
      <c r="A121" s="405">
        <v>3895</v>
      </c>
      <c r="B121" s="406">
        <v>3895</v>
      </c>
      <c r="C121" s="261" t="str">
        <f t="shared" si="22"/>
        <v>0005-0016</v>
      </c>
      <c r="D121" s="261" t="str">
        <f t="shared" si="23"/>
        <v>0005-0016-0018</v>
      </c>
      <c r="E121" s="407" t="s">
        <v>982</v>
      </c>
      <c r="F121" s="261" t="str">
        <f>TEXT(VLOOKUP(J121,'[3]1'!$B$2:$D$37,2,0),"0000")</f>
        <v>0005</v>
      </c>
      <c r="G121" s="261" t="str">
        <f t="shared" si="24"/>
        <v>0016</v>
      </c>
      <c r="H121" s="408">
        <f t="shared" si="25"/>
        <v>18</v>
      </c>
      <c r="I121" s="407" t="s">
        <v>982</v>
      </c>
      <c r="J121" s="258" t="s">
        <v>294</v>
      </c>
      <c r="K121" s="258" t="s">
        <v>2762</v>
      </c>
      <c r="L121" s="258" t="s">
        <v>3407</v>
      </c>
      <c r="M121" s="409">
        <v>31510000</v>
      </c>
      <c r="N121" s="258">
        <v>2497</v>
      </c>
      <c r="O121" s="258" t="s">
        <v>77</v>
      </c>
      <c r="P121" s="258" t="s">
        <v>70</v>
      </c>
      <c r="Q121" s="258" t="s">
        <v>72</v>
      </c>
      <c r="R121" s="258">
        <v>5</v>
      </c>
      <c r="S121" s="410">
        <v>15</v>
      </c>
      <c r="T121" s="261">
        <v>6</v>
      </c>
      <c r="U121" s="261">
        <v>6</v>
      </c>
      <c r="V121" s="258" t="s">
        <v>71</v>
      </c>
      <c r="W121" s="261" t="str">
        <f t="shared" si="27"/>
        <v>현대자동차싼타페가솔린 2.5T 익스클루시브31510000</v>
      </c>
      <c r="X121" s="411">
        <f t="shared" si="28"/>
        <v>3895</v>
      </c>
      <c r="Y121" s="261">
        <v>6</v>
      </c>
      <c r="Z121" s="261">
        <v>6</v>
      </c>
      <c r="AA121" s="407" t="s">
        <v>982</v>
      </c>
      <c r="AB121" s="258" t="s">
        <v>1965</v>
      </c>
      <c r="AC121" s="258"/>
      <c r="AD121" s="258" t="s">
        <v>2135</v>
      </c>
      <c r="AE121" s="258" t="s">
        <v>2129</v>
      </c>
      <c r="AF121" s="259"/>
      <c r="AG121" s="260"/>
      <c r="AH121" s="259"/>
      <c r="AI121" s="259"/>
      <c r="AJ121" s="260"/>
      <c r="AK121" s="259">
        <v>26</v>
      </c>
      <c r="AL121" s="259"/>
      <c r="AM121" s="259" t="s">
        <v>3233</v>
      </c>
      <c r="AN121" s="449"/>
      <c r="AO121" s="449"/>
      <c r="AP121" s="449"/>
      <c r="AQ121" s="392" t="str">
        <f>IFERROR(VLOOKUP(BG121,#REF!,1,0),"")</f>
        <v/>
      </c>
      <c r="AS121" s="259" t="s">
        <v>3233</v>
      </c>
      <c r="BD121" s="202" t="str">
        <f t="shared" si="20"/>
        <v>싼타페가솔린 2.5T 익스클루시브</v>
      </c>
      <c r="BE121" s="261" t="str">
        <f t="shared" si="26"/>
        <v>0016</v>
      </c>
      <c r="BF121" s="407" t="s">
        <v>982</v>
      </c>
      <c r="BG121" s="202" t="str">
        <f t="shared" si="21"/>
        <v>0016-0120</v>
      </c>
    </row>
    <row r="122" spans="1:59">
      <c r="A122" s="405">
        <v>3896</v>
      </c>
      <c r="B122" s="406">
        <v>3896</v>
      </c>
      <c r="C122" s="261" t="str">
        <f t="shared" si="22"/>
        <v>0005-0016</v>
      </c>
      <c r="D122" s="261" t="str">
        <f t="shared" si="23"/>
        <v>0005-0016-0019</v>
      </c>
      <c r="E122" s="407" t="s">
        <v>981</v>
      </c>
      <c r="F122" s="261" t="str">
        <f>TEXT(VLOOKUP(J122,'[3]1'!$B$2:$D$37,2,0),"0000")</f>
        <v>0005</v>
      </c>
      <c r="G122" s="261" t="str">
        <f t="shared" si="24"/>
        <v>0016</v>
      </c>
      <c r="H122" s="408">
        <f t="shared" si="25"/>
        <v>19</v>
      </c>
      <c r="I122" s="407" t="s">
        <v>981</v>
      </c>
      <c r="J122" s="258" t="s">
        <v>294</v>
      </c>
      <c r="K122" s="258" t="s">
        <v>2762</v>
      </c>
      <c r="L122" s="412" t="s">
        <v>2939</v>
      </c>
      <c r="M122" s="316">
        <v>29750000</v>
      </c>
      <c r="N122" s="266">
        <v>2497</v>
      </c>
      <c r="O122" s="258" t="s">
        <v>77</v>
      </c>
      <c r="P122" s="258" t="s">
        <v>70</v>
      </c>
      <c r="Q122" s="258" t="s">
        <v>72</v>
      </c>
      <c r="R122" s="266">
        <v>5</v>
      </c>
      <c r="S122" s="410">
        <v>15</v>
      </c>
      <c r="T122" s="261">
        <v>6</v>
      </c>
      <c r="U122" s="261">
        <v>6</v>
      </c>
      <c r="V122" s="258" t="s">
        <v>71</v>
      </c>
      <c r="W122" s="261" t="str">
        <f t="shared" si="27"/>
        <v>현대자동차싼타페가솔린 터보 2.5 2WD 프리미엄 (5인승) (A/T)29750000</v>
      </c>
      <c r="X122" s="411">
        <f t="shared" si="28"/>
        <v>3896</v>
      </c>
      <c r="Y122" s="261">
        <v>6</v>
      </c>
      <c r="Z122" s="261">
        <v>6</v>
      </c>
      <c r="AA122" s="407" t="s">
        <v>981</v>
      </c>
      <c r="AB122" s="258" t="s">
        <v>1965</v>
      </c>
      <c r="AC122" s="258"/>
      <c r="AD122" s="258" t="s">
        <v>2135</v>
      </c>
      <c r="AE122" s="258" t="s">
        <v>2129</v>
      </c>
      <c r="AF122" s="259"/>
      <c r="AG122" s="260"/>
      <c r="AH122" s="259"/>
      <c r="AI122" s="259"/>
      <c r="AJ122" s="260"/>
      <c r="AK122" s="259">
        <v>26</v>
      </c>
      <c r="AL122" s="259"/>
      <c r="AM122" s="259" t="s">
        <v>3233</v>
      </c>
      <c r="AN122" s="449"/>
      <c r="AO122" s="449"/>
      <c r="AP122" s="449"/>
      <c r="AQ122" s="392" t="str">
        <f>IFERROR(VLOOKUP(BG122,#REF!,1,0),"")</f>
        <v/>
      </c>
      <c r="AS122" s="259" t="s">
        <v>3233</v>
      </c>
      <c r="BD122" s="202" t="str">
        <f t="shared" si="20"/>
        <v>싼타페가솔린 터보 2.5 2WD 프리미엄 (5인승) (A/T)</v>
      </c>
      <c r="BE122" s="261" t="str">
        <f t="shared" si="26"/>
        <v>0016</v>
      </c>
      <c r="BF122" s="407" t="s">
        <v>981</v>
      </c>
      <c r="BG122" s="202" t="str">
        <f t="shared" si="21"/>
        <v>0016-0121</v>
      </c>
    </row>
    <row r="123" spans="1:59">
      <c r="A123" s="405">
        <v>3897</v>
      </c>
      <c r="B123" s="406">
        <v>3897</v>
      </c>
      <c r="C123" s="261" t="str">
        <f t="shared" si="22"/>
        <v>0005-0016</v>
      </c>
      <c r="D123" s="261" t="str">
        <f t="shared" si="23"/>
        <v>0005-0016-0020</v>
      </c>
      <c r="E123" s="407" t="s">
        <v>980</v>
      </c>
      <c r="F123" s="261" t="str">
        <f>TEXT(VLOOKUP(J123,'[3]1'!$B$2:$D$37,2,0),"0000")</f>
        <v>0005</v>
      </c>
      <c r="G123" s="261" t="str">
        <f t="shared" si="24"/>
        <v>0016</v>
      </c>
      <c r="H123" s="408">
        <f t="shared" si="25"/>
        <v>20</v>
      </c>
      <c r="I123" s="407" t="s">
        <v>980</v>
      </c>
      <c r="J123" s="258" t="s">
        <v>294</v>
      </c>
      <c r="K123" s="258" t="s">
        <v>2762</v>
      </c>
      <c r="L123" s="412" t="s">
        <v>2940</v>
      </c>
      <c r="M123" s="316">
        <v>33670000</v>
      </c>
      <c r="N123" s="266">
        <v>2497</v>
      </c>
      <c r="O123" s="258" t="s">
        <v>77</v>
      </c>
      <c r="P123" s="258" t="s">
        <v>70</v>
      </c>
      <c r="Q123" s="258" t="s">
        <v>72</v>
      </c>
      <c r="R123" s="266">
        <v>5</v>
      </c>
      <c r="S123" s="410">
        <v>15</v>
      </c>
      <c r="T123" s="261">
        <v>6</v>
      </c>
      <c r="U123" s="261">
        <v>6</v>
      </c>
      <c r="V123" s="258" t="s">
        <v>71</v>
      </c>
      <c r="W123" s="261" t="str">
        <f t="shared" si="27"/>
        <v>현대자동차싼타페가솔린 터보 2.5 2WD 프레스티지 (5인승) (A/T)33670000</v>
      </c>
      <c r="X123" s="411">
        <f t="shared" si="28"/>
        <v>3897</v>
      </c>
      <c r="Y123" s="261">
        <v>6</v>
      </c>
      <c r="Z123" s="261">
        <v>6</v>
      </c>
      <c r="AA123" s="407" t="s">
        <v>980</v>
      </c>
      <c r="AB123" s="258" t="s">
        <v>1965</v>
      </c>
      <c r="AC123" s="258"/>
      <c r="AD123" s="258" t="s">
        <v>2135</v>
      </c>
      <c r="AE123" s="258" t="s">
        <v>2129</v>
      </c>
      <c r="AF123" s="259"/>
      <c r="AG123" s="260"/>
      <c r="AH123" s="259"/>
      <c r="AI123" s="259"/>
      <c r="AJ123" s="260"/>
      <c r="AK123" s="259">
        <v>26</v>
      </c>
      <c r="AL123" s="259"/>
      <c r="AM123" s="259" t="s">
        <v>3233</v>
      </c>
      <c r="AN123" s="449"/>
      <c r="AO123" s="449"/>
      <c r="AP123" s="449"/>
      <c r="AQ123" s="392" t="str">
        <f>IFERROR(VLOOKUP(BG123,#REF!,1,0),"")</f>
        <v/>
      </c>
      <c r="AS123" s="259" t="s">
        <v>3233</v>
      </c>
      <c r="BD123" s="202" t="str">
        <f t="shared" si="20"/>
        <v>싼타페가솔린 터보 2.5 2WD 프레스티지 (5인승) (A/T)</v>
      </c>
      <c r="BE123" s="261" t="str">
        <f t="shared" si="26"/>
        <v>0016</v>
      </c>
      <c r="BF123" s="407" t="s">
        <v>980</v>
      </c>
      <c r="BG123" s="202" t="str">
        <f t="shared" si="21"/>
        <v>0016-0122</v>
      </c>
    </row>
    <row r="124" spans="1:59">
      <c r="A124" s="405">
        <v>3898</v>
      </c>
      <c r="B124" s="406">
        <v>3898</v>
      </c>
      <c r="C124" s="261" t="str">
        <f t="shared" si="22"/>
        <v>0005-0016</v>
      </c>
      <c r="D124" s="261" t="str">
        <f t="shared" si="23"/>
        <v>0005-0016-0021</v>
      </c>
      <c r="E124" s="407" t="s">
        <v>979</v>
      </c>
      <c r="F124" s="261" t="str">
        <f>TEXT(VLOOKUP(J124,'[3]1'!$B$2:$D$37,2,0),"0000")</f>
        <v>0005</v>
      </c>
      <c r="G124" s="261" t="str">
        <f t="shared" si="24"/>
        <v>0016</v>
      </c>
      <c r="H124" s="408">
        <f t="shared" si="25"/>
        <v>21</v>
      </c>
      <c r="I124" s="407" t="s">
        <v>979</v>
      </c>
      <c r="J124" s="258" t="s">
        <v>294</v>
      </c>
      <c r="K124" s="258" t="s">
        <v>2762</v>
      </c>
      <c r="L124" s="412" t="s">
        <v>2941</v>
      </c>
      <c r="M124" s="318">
        <v>30580000</v>
      </c>
      <c r="N124" s="266">
        <v>2497</v>
      </c>
      <c r="O124" s="258" t="s">
        <v>77</v>
      </c>
      <c r="P124" s="258" t="s">
        <v>70</v>
      </c>
      <c r="Q124" s="258" t="s">
        <v>72</v>
      </c>
      <c r="R124" s="266">
        <v>5</v>
      </c>
      <c r="S124" s="410">
        <v>15</v>
      </c>
      <c r="T124" s="261">
        <v>6</v>
      </c>
      <c r="U124" s="261">
        <v>6</v>
      </c>
      <c r="V124" s="258" t="s">
        <v>71</v>
      </c>
      <c r="W124" s="261" t="str">
        <f t="shared" si="27"/>
        <v>현대자동차싼타페가솔린 터보 2.5 2WD 프리미엄 초이스 (5인승) (A/T)30580000</v>
      </c>
      <c r="X124" s="411">
        <f t="shared" si="28"/>
        <v>3898</v>
      </c>
      <c r="Y124" s="261">
        <v>6</v>
      </c>
      <c r="Z124" s="261">
        <v>6</v>
      </c>
      <c r="AA124" s="407" t="s">
        <v>979</v>
      </c>
      <c r="AB124" s="258" t="s">
        <v>1965</v>
      </c>
      <c r="AC124" s="258"/>
      <c r="AD124" s="258" t="s">
        <v>2135</v>
      </c>
      <c r="AE124" s="258" t="s">
        <v>2129</v>
      </c>
      <c r="AF124" s="259"/>
      <c r="AG124" s="260"/>
      <c r="AH124" s="259"/>
      <c r="AI124" s="259"/>
      <c r="AJ124" s="260"/>
      <c r="AK124" s="259">
        <v>26</v>
      </c>
      <c r="AL124" s="259"/>
      <c r="AM124" s="259" t="s">
        <v>3233</v>
      </c>
      <c r="AN124" s="449"/>
      <c r="AO124" s="449"/>
      <c r="AP124" s="449"/>
      <c r="AQ124" s="392" t="str">
        <f>IFERROR(VLOOKUP(BG124,#REF!,1,0),"")</f>
        <v/>
      </c>
      <c r="AS124" s="259" t="s">
        <v>3233</v>
      </c>
      <c r="BD124" s="202" t="str">
        <f t="shared" si="20"/>
        <v>싼타페가솔린 터보 2.5 2WD 프리미엄 초이스 (5인승) (A/T)</v>
      </c>
      <c r="BE124" s="261" t="str">
        <f t="shared" si="26"/>
        <v>0016</v>
      </c>
      <c r="BF124" s="407" t="s">
        <v>979</v>
      </c>
      <c r="BG124" s="202" t="str">
        <f t="shared" si="21"/>
        <v>0016-0123</v>
      </c>
    </row>
    <row r="125" spans="1:59">
      <c r="A125" s="405">
        <v>3899</v>
      </c>
      <c r="B125" s="406">
        <v>3899</v>
      </c>
      <c r="C125" s="261" t="str">
        <f t="shared" si="22"/>
        <v>0005-0016</v>
      </c>
      <c r="D125" s="261" t="str">
        <f t="shared" si="23"/>
        <v>0005-0016-0022</v>
      </c>
      <c r="E125" s="407" t="s">
        <v>978</v>
      </c>
      <c r="F125" s="261" t="str">
        <f>TEXT(VLOOKUP(J125,'[3]1'!$B$2:$D$37,2,0),"0000")</f>
        <v>0005</v>
      </c>
      <c r="G125" s="261" t="str">
        <f t="shared" si="24"/>
        <v>0016</v>
      </c>
      <c r="H125" s="408">
        <f t="shared" si="25"/>
        <v>22</v>
      </c>
      <c r="I125" s="407" t="s">
        <v>978</v>
      </c>
      <c r="J125" s="258" t="s">
        <v>294</v>
      </c>
      <c r="K125" s="258" t="s">
        <v>2762</v>
      </c>
      <c r="L125" s="412" t="s">
        <v>2942</v>
      </c>
      <c r="M125" s="318">
        <v>38380000</v>
      </c>
      <c r="N125" s="266">
        <v>2497</v>
      </c>
      <c r="O125" s="258" t="s">
        <v>77</v>
      </c>
      <c r="P125" s="258" t="s">
        <v>70</v>
      </c>
      <c r="Q125" s="258" t="s">
        <v>72</v>
      </c>
      <c r="R125" s="266">
        <v>5</v>
      </c>
      <c r="S125" s="410">
        <v>15</v>
      </c>
      <c r="T125" s="261">
        <v>6</v>
      </c>
      <c r="U125" s="261">
        <v>6</v>
      </c>
      <c r="V125" s="258" t="s">
        <v>71</v>
      </c>
      <c r="W125" s="261" t="str">
        <f t="shared" si="27"/>
        <v>현대자동차싼타페가솔린 터보 2.5 2WD 캘리그래피 (5인승) (A/T)38380000</v>
      </c>
      <c r="X125" s="411">
        <f t="shared" si="28"/>
        <v>3899</v>
      </c>
      <c r="Y125" s="261">
        <v>6</v>
      </c>
      <c r="Z125" s="261">
        <v>6</v>
      </c>
      <c r="AA125" s="407" t="s">
        <v>978</v>
      </c>
      <c r="AB125" s="258" t="s">
        <v>1965</v>
      </c>
      <c r="AC125" s="258"/>
      <c r="AD125" s="258" t="s">
        <v>2135</v>
      </c>
      <c r="AE125" s="258" t="s">
        <v>2129</v>
      </c>
      <c r="AF125" s="259"/>
      <c r="AG125" s="260"/>
      <c r="AH125" s="259"/>
      <c r="AI125" s="259"/>
      <c r="AJ125" s="260"/>
      <c r="AK125" s="259">
        <v>26</v>
      </c>
      <c r="AL125" s="259"/>
      <c r="AM125" s="259" t="s">
        <v>3233</v>
      </c>
      <c r="AN125" s="449"/>
      <c r="AO125" s="449"/>
      <c r="AP125" s="449"/>
      <c r="AQ125" s="392" t="str">
        <f>IFERROR(VLOOKUP(BG125,#REF!,1,0),"")</f>
        <v/>
      </c>
      <c r="AS125" s="259" t="s">
        <v>3233</v>
      </c>
      <c r="BD125" s="202" t="str">
        <f t="shared" si="20"/>
        <v>싼타페가솔린 터보 2.5 2WD 캘리그래피 (5인승) (A/T)</v>
      </c>
      <c r="BE125" s="261" t="str">
        <f t="shared" si="26"/>
        <v>0016</v>
      </c>
      <c r="BF125" s="407" t="s">
        <v>978</v>
      </c>
      <c r="BG125" s="202" t="str">
        <f t="shared" si="21"/>
        <v>0016-0124</v>
      </c>
    </row>
    <row r="126" spans="1:59">
      <c r="A126" s="405">
        <v>3900</v>
      </c>
      <c r="B126" s="406">
        <v>3900</v>
      </c>
      <c r="C126" s="261" t="str">
        <f t="shared" si="22"/>
        <v>0005-0016</v>
      </c>
      <c r="D126" s="261" t="str">
        <f t="shared" si="23"/>
        <v>0005-0016-0023</v>
      </c>
      <c r="E126" s="407" t="s">
        <v>977</v>
      </c>
      <c r="F126" s="261" t="str">
        <f>TEXT(VLOOKUP(J126,'[3]1'!$B$2:$D$37,2,0),"0000")</f>
        <v>0005</v>
      </c>
      <c r="G126" s="261" t="str">
        <f t="shared" si="24"/>
        <v>0016</v>
      </c>
      <c r="H126" s="408">
        <f t="shared" si="25"/>
        <v>23</v>
      </c>
      <c r="I126" s="407" t="s">
        <v>977</v>
      </c>
      <c r="J126" s="258" t="s">
        <v>294</v>
      </c>
      <c r="K126" s="258" t="s">
        <v>2762</v>
      </c>
      <c r="L126" s="412" t="s">
        <v>2943</v>
      </c>
      <c r="M126" s="318">
        <v>31220000</v>
      </c>
      <c r="N126" s="266">
        <v>2497</v>
      </c>
      <c r="O126" s="258" t="s">
        <v>77</v>
      </c>
      <c r="P126" s="258" t="s">
        <v>70</v>
      </c>
      <c r="Q126" s="258" t="s">
        <v>72</v>
      </c>
      <c r="R126" s="266">
        <v>7</v>
      </c>
      <c r="S126" s="410">
        <v>15</v>
      </c>
      <c r="T126" s="261">
        <v>6</v>
      </c>
      <c r="U126" s="261">
        <v>6</v>
      </c>
      <c r="V126" s="258" t="s">
        <v>71</v>
      </c>
      <c r="W126" s="261" t="str">
        <f t="shared" si="27"/>
        <v>현대자동차싼타페가솔린 터보 2.5 2WD 초이스 (7인승) (A/T)31220000</v>
      </c>
      <c r="X126" s="411">
        <f t="shared" si="28"/>
        <v>3900</v>
      </c>
      <c r="Y126" s="261">
        <v>6</v>
      </c>
      <c r="Z126" s="261">
        <v>6</v>
      </c>
      <c r="AA126" s="407" t="s">
        <v>977</v>
      </c>
      <c r="AB126" s="258" t="s">
        <v>1965</v>
      </c>
      <c r="AC126" s="258"/>
      <c r="AD126" s="258" t="s">
        <v>2135</v>
      </c>
      <c r="AE126" s="258" t="s">
        <v>2129</v>
      </c>
      <c r="AF126" s="259"/>
      <c r="AG126" s="260"/>
      <c r="AH126" s="259"/>
      <c r="AI126" s="259"/>
      <c r="AJ126" s="260"/>
      <c r="AK126" s="259">
        <v>26</v>
      </c>
      <c r="AL126" s="259"/>
      <c r="AM126" s="259" t="s">
        <v>3233</v>
      </c>
      <c r="AN126" s="449"/>
      <c r="AO126" s="449"/>
      <c r="AP126" s="449"/>
      <c r="AQ126" s="392" t="str">
        <f>IFERROR(VLOOKUP(BG126,#REF!,1,0),"")</f>
        <v/>
      </c>
      <c r="AS126" s="259" t="s">
        <v>3233</v>
      </c>
      <c r="BD126" s="202" t="str">
        <f t="shared" si="20"/>
        <v>싼타페가솔린 터보 2.5 2WD 초이스 (7인승) (A/T)</v>
      </c>
      <c r="BE126" s="261" t="str">
        <f t="shared" si="26"/>
        <v>0016</v>
      </c>
      <c r="BF126" s="407" t="s">
        <v>977</v>
      </c>
      <c r="BG126" s="202" t="str">
        <f t="shared" si="21"/>
        <v>0016-0125</v>
      </c>
    </row>
    <row r="127" spans="1:59">
      <c r="A127" s="405">
        <v>3901</v>
      </c>
      <c r="B127" s="406">
        <v>3901</v>
      </c>
      <c r="C127" s="261" t="str">
        <f t="shared" si="22"/>
        <v>0005-0016</v>
      </c>
      <c r="D127" s="261" t="str">
        <f t="shared" si="23"/>
        <v>0005-0016-0024</v>
      </c>
      <c r="E127" s="407" t="s">
        <v>976</v>
      </c>
      <c r="F127" s="261" t="str">
        <f>TEXT(VLOOKUP(J127,'[3]1'!$B$2:$D$37,2,0),"0000")</f>
        <v>0005</v>
      </c>
      <c r="G127" s="261" t="str">
        <f t="shared" si="24"/>
        <v>0016</v>
      </c>
      <c r="H127" s="408">
        <f t="shared" si="25"/>
        <v>24</v>
      </c>
      <c r="I127" s="407" t="s">
        <v>976</v>
      </c>
      <c r="J127" s="258" t="s">
        <v>294</v>
      </c>
      <c r="K127" s="258" t="s">
        <v>2762</v>
      </c>
      <c r="L127" s="412" t="s">
        <v>2944</v>
      </c>
      <c r="M127" s="318">
        <v>34310000</v>
      </c>
      <c r="N127" s="266">
        <v>2497</v>
      </c>
      <c r="O127" s="258" t="s">
        <v>77</v>
      </c>
      <c r="P127" s="258" t="s">
        <v>70</v>
      </c>
      <c r="Q127" s="258" t="s">
        <v>72</v>
      </c>
      <c r="R127" s="266">
        <v>7</v>
      </c>
      <c r="S127" s="410">
        <v>15</v>
      </c>
      <c r="T127" s="261">
        <v>6</v>
      </c>
      <c r="U127" s="261">
        <v>6</v>
      </c>
      <c r="V127" s="258" t="s">
        <v>71</v>
      </c>
      <c r="W127" s="261" t="str">
        <f t="shared" si="27"/>
        <v>현대자동차싼타페가솔린 터보 2.5 2WD 프레스티지 (7인승) (A/T)34310000</v>
      </c>
      <c r="X127" s="411">
        <f t="shared" si="28"/>
        <v>3901</v>
      </c>
      <c r="Y127" s="261">
        <v>6</v>
      </c>
      <c r="Z127" s="261">
        <v>6</v>
      </c>
      <c r="AA127" s="407" t="s">
        <v>976</v>
      </c>
      <c r="AB127" s="258" t="s">
        <v>1965</v>
      </c>
      <c r="AC127" s="258"/>
      <c r="AD127" s="258" t="s">
        <v>2135</v>
      </c>
      <c r="AE127" s="258" t="s">
        <v>2129</v>
      </c>
      <c r="AF127" s="259"/>
      <c r="AG127" s="260"/>
      <c r="AH127" s="259"/>
      <c r="AI127" s="259"/>
      <c r="AJ127" s="260"/>
      <c r="AK127" s="259">
        <v>26</v>
      </c>
      <c r="AL127" s="259"/>
      <c r="AM127" s="259" t="s">
        <v>3233</v>
      </c>
      <c r="AN127" s="449"/>
      <c r="AO127" s="449"/>
      <c r="AP127" s="449"/>
      <c r="AQ127" s="392" t="str">
        <f>IFERROR(VLOOKUP(BG127,#REF!,1,0),"")</f>
        <v/>
      </c>
      <c r="AS127" s="259" t="s">
        <v>3233</v>
      </c>
      <c r="BD127" s="202" t="str">
        <f t="shared" si="20"/>
        <v>싼타페가솔린 터보 2.5 2WD 프레스티지 (7인승) (A/T)</v>
      </c>
      <c r="BE127" s="261" t="str">
        <f t="shared" si="26"/>
        <v>0016</v>
      </c>
      <c r="BF127" s="407" t="s">
        <v>976</v>
      </c>
      <c r="BG127" s="202" t="str">
        <f t="shared" si="21"/>
        <v>0016-0126</v>
      </c>
    </row>
    <row r="128" spans="1:59">
      <c r="A128" s="405">
        <v>3902</v>
      </c>
      <c r="B128" s="406">
        <v>3902</v>
      </c>
      <c r="C128" s="261" t="str">
        <f t="shared" si="22"/>
        <v>0005-0016</v>
      </c>
      <c r="D128" s="261" t="str">
        <f t="shared" si="23"/>
        <v>0005-0016-0025</v>
      </c>
      <c r="E128" s="407" t="s">
        <v>975</v>
      </c>
      <c r="F128" s="261" t="str">
        <f>TEXT(VLOOKUP(J128,'[3]1'!$B$2:$D$37,2,0),"0000")</f>
        <v>0005</v>
      </c>
      <c r="G128" s="261" t="str">
        <f t="shared" si="24"/>
        <v>0016</v>
      </c>
      <c r="H128" s="408">
        <f t="shared" si="25"/>
        <v>25</v>
      </c>
      <c r="I128" s="407" t="s">
        <v>975</v>
      </c>
      <c r="J128" s="258" t="s">
        <v>294</v>
      </c>
      <c r="K128" s="258" t="s">
        <v>2762</v>
      </c>
      <c r="L128" s="412" t="s">
        <v>2945</v>
      </c>
      <c r="M128" s="318">
        <v>31220000</v>
      </c>
      <c r="N128" s="266">
        <v>2497</v>
      </c>
      <c r="O128" s="258" t="s">
        <v>77</v>
      </c>
      <c r="P128" s="258" t="s">
        <v>70</v>
      </c>
      <c r="Q128" s="258" t="s">
        <v>72</v>
      </c>
      <c r="R128" s="266">
        <v>7</v>
      </c>
      <c r="S128" s="410">
        <v>15</v>
      </c>
      <c r="T128" s="261">
        <v>6</v>
      </c>
      <c r="U128" s="261">
        <v>6</v>
      </c>
      <c r="V128" s="258" t="s">
        <v>71</v>
      </c>
      <c r="W128" s="261" t="str">
        <f t="shared" si="27"/>
        <v>현대자동차싼타페가솔린 터보 2.5 2WD 프리미엄 초이스 (7인승) (A/T)31220000</v>
      </c>
      <c r="X128" s="411">
        <f t="shared" si="28"/>
        <v>3902</v>
      </c>
      <c r="Y128" s="261">
        <v>6</v>
      </c>
      <c r="Z128" s="261">
        <v>6</v>
      </c>
      <c r="AA128" s="407" t="s">
        <v>975</v>
      </c>
      <c r="AB128" s="258" t="s">
        <v>1965</v>
      </c>
      <c r="AC128" s="258"/>
      <c r="AD128" s="258" t="s">
        <v>2135</v>
      </c>
      <c r="AE128" s="258" t="s">
        <v>2129</v>
      </c>
      <c r="AF128" s="259"/>
      <c r="AG128" s="260"/>
      <c r="AH128" s="259"/>
      <c r="AI128" s="259"/>
      <c r="AJ128" s="260"/>
      <c r="AK128" s="259">
        <v>26</v>
      </c>
      <c r="AL128" s="259"/>
      <c r="AM128" s="259" t="s">
        <v>3233</v>
      </c>
      <c r="AN128" s="449"/>
      <c r="AO128" s="449"/>
      <c r="AP128" s="449"/>
      <c r="AQ128" s="392" t="str">
        <f>IFERROR(VLOOKUP(BG128,#REF!,1,0),"")</f>
        <v/>
      </c>
      <c r="AS128" s="259" t="s">
        <v>3233</v>
      </c>
      <c r="BD128" s="202" t="str">
        <f t="shared" si="20"/>
        <v>싼타페가솔린 터보 2.5 2WD 프리미엄 초이스 (7인승) (A/T)</v>
      </c>
      <c r="BE128" s="261" t="str">
        <f t="shared" si="26"/>
        <v>0016</v>
      </c>
      <c r="BF128" s="407" t="s">
        <v>975</v>
      </c>
      <c r="BG128" s="202" t="str">
        <f t="shared" si="21"/>
        <v>0016-0127</v>
      </c>
    </row>
    <row r="129" spans="1:59">
      <c r="A129" s="405">
        <v>3903</v>
      </c>
      <c r="B129" s="406">
        <v>3903</v>
      </c>
      <c r="C129" s="261" t="str">
        <f t="shared" si="22"/>
        <v>0005-0016</v>
      </c>
      <c r="D129" s="261" t="str">
        <f t="shared" si="23"/>
        <v>0005-0016-0026</v>
      </c>
      <c r="E129" s="407" t="s">
        <v>974</v>
      </c>
      <c r="F129" s="261" t="str">
        <f>TEXT(VLOOKUP(J129,'[3]1'!$B$2:$D$37,2,0),"0000")</f>
        <v>0005</v>
      </c>
      <c r="G129" s="261" t="str">
        <f t="shared" si="24"/>
        <v>0016</v>
      </c>
      <c r="H129" s="408">
        <f t="shared" si="25"/>
        <v>26</v>
      </c>
      <c r="I129" s="407" t="s">
        <v>974</v>
      </c>
      <c r="J129" s="258" t="s">
        <v>294</v>
      </c>
      <c r="K129" s="258" t="s">
        <v>2762</v>
      </c>
      <c r="L129" s="412" t="s">
        <v>2946</v>
      </c>
      <c r="M129" s="318">
        <v>39020000</v>
      </c>
      <c r="N129" s="266">
        <v>2497</v>
      </c>
      <c r="O129" s="258" t="s">
        <v>77</v>
      </c>
      <c r="P129" s="258" t="s">
        <v>70</v>
      </c>
      <c r="Q129" s="258" t="s">
        <v>72</v>
      </c>
      <c r="R129" s="266">
        <v>7</v>
      </c>
      <c r="S129" s="410">
        <v>15</v>
      </c>
      <c r="T129" s="261">
        <v>6</v>
      </c>
      <c r="U129" s="261">
        <v>6</v>
      </c>
      <c r="V129" s="258" t="s">
        <v>71</v>
      </c>
      <c r="W129" s="261" t="str">
        <f t="shared" si="27"/>
        <v>현대자동차싼타페가솔린 터보 2.5 2WD 캘리그래피 (7인승) (A/T)39020000</v>
      </c>
      <c r="X129" s="411">
        <f t="shared" si="28"/>
        <v>3903</v>
      </c>
      <c r="Y129" s="261">
        <v>6</v>
      </c>
      <c r="Z129" s="261">
        <v>6</v>
      </c>
      <c r="AA129" s="407" t="s">
        <v>974</v>
      </c>
      <c r="AB129" s="258" t="s">
        <v>1965</v>
      </c>
      <c r="AC129" s="258"/>
      <c r="AD129" s="258" t="s">
        <v>2135</v>
      </c>
      <c r="AE129" s="258" t="s">
        <v>2129</v>
      </c>
      <c r="AF129" s="259"/>
      <c r="AG129" s="260"/>
      <c r="AH129" s="259"/>
      <c r="AI129" s="259"/>
      <c r="AJ129" s="260"/>
      <c r="AK129" s="259">
        <v>26</v>
      </c>
      <c r="AL129" s="259"/>
      <c r="AM129" s="259" t="s">
        <v>3233</v>
      </c>
      <c r="AN129" s="449"/>
      <c r="AO129" s="449"/>
      <c r="AP129" s="449"/>
      <c r="AQ129" s="392" t="str">
        <f>IFERROR(VLOOKUP(BG129,#REF!,1,0),"")</f>
        <v/>
      </c>
      <c r="AS129" s="259" t="s">
        <v>3233</v>
      </c>
      <c r="BD129" s="202" t="str">
        <f t="shared" si="20"/>
        <v>싼타페가솔린 터보 2.5 2WD 캘리그래피 (7인승) (A/T)</v>
      </c>
      <c r="BE129" s="261" t="str">
        <f t="shared" si="26"/>
        <v>0016</v>
      </c>
      <c r="BF129" s="407" t="s">
        <v>974</v>
      </c>
      <c r="BG129" s="202" t="str">
        <f t="shared" si="21"/>
        <v>0016-0128</v>
      </c>
    </row>
    <row r="130" spans="1:59">
      <c r="A130" s="405">
        <v>3904</v>
      </c>
      <c r="B130" s="406">
        <v>3904</v>
      </c>
      <c r="C130" s="261" t="str">
        <f t="shared" si="22"/>
        <v>0005-0016</v>
      </c>
      <c r="D130" s="261" t="str">
        <f t="shared" si="23"/>
        <v>0005-0016-0027</v>
      </c>
      <c r="E130" s="407" t="s">
        <v>973</v>
      </c>
      <c r="F130" s="261" t="str">
        <f>TEXT(VLOOKUP(J130,'[3]1'!$B$2:$D$37,2,0),"0000")</f>
        <v>0005</v>
      </c>
      <c r="G130" s="261" t="str">
        <f t="shared" si="24"/>
        <v>0016</v>
      </c>
      <c r="H130" s="408">
        <f t="shared" si="25"/>
        <v>27</v>
      </c>
      <c r="I130" s="407" t="s">
        <v>973</v>
      </c>
      <c r="J130" s="258" t="s">
        <v>294</v>
      </c>
      <c r="K130" s="258" t="s">
        <v>2762</v>
      </c>
      <c r="L130" s="412" t="s">
        <v>2947</v>
      </c>
      <c r="M130" s="318">
        <v>29750000</v>
      </c>
      <c r="N130" s="266">
        <v>2497</v>
      </c>
      <c r="O130" s="258" t="s">
        <v>77</v>
      </c>
      <c r="P130" s="258" t="s">
        <v>70</v>
      </c>
      <c r="Q130" s="258" t="s">
        <v>72</v>
      </c>
      <c r="R130" s="266">
        <v>5</v>
      </c>
      <c r="S130" s="410">
        <v>15</v>
      </c>
      <c r="T130" s="261">
        <v>6</v>
      </c>
      <c r="U130" s="261">
        <v>6</v>
      </c>
      <c r="V130" s="258" t="s">
        <v>71</v>
      </c>
      <c r="W130" s="261" t="str">
        <f t="shared" si="27"/>
        <v>현대자동차싼타페가솔린 터보 2.5 4WD 프리미엄 (5인승) (A/T)29750000</v>
      </c>
      <c r="X130" s="411">
        <f t="shared" si="28"/>
        <v>3904</v>
      </c>
      <c r="Y130" s="261">
        <v>6</v>
      </c>
      <c r="Z130" s="261">
        <v>6</v>
      </c>
      <c r="AA130" s="407" t="s">
        <v>973</v>
      </c>
      <c r="AB130" s="258" t="s">
        <v>1965</v>
      </c>
      <c r="AC130" s="258"/>
      <c r="AD130" s="258" t="s">
        <v>2135</v>
      </c>
      <c r="AE130" s="258" t="s">
        <v>2129</v>
      </c>
      <c r="AF130" s="259"/>
      <c r="AG130" s="260"/>
      <c r="AH130" s="259"/>
      <c r="AI130" s="259"/>
      <c r="AJ130" s="260"/>
      <c r="AK130" s="259">
        <v>26</v>
      </c>
      <c r="AL130" s="259"/>
      <c r="AM130" s="259" t="s">
        <v>3233</v>
      </c>
      <c r="AN130" s="449"/>
      <c r="AO130" s="449"/>
      <c r="AP130" s="449"/>
      <c r="AQ130" s="392" t="str">
        <f>IFERROR(VLOOKUP(BG130,#REF!,1,0),"")</f>
        <v/>
      </c>
      <c r="AS130" s="259" t="s">
        <v>3233</v>
      </c>
      <c r="BD130" s="202" t="str">
        <f t="shared" si="20"/>
        <v>싼타페가솔린 터보 2.5 4WD 프리미엄 (5인승) (A/T)</v>
      </c>
      <c r="BE130" s="261" t="str">
        <f t="shared" si="26"/>
        <v>0016</v>
      </c>
      <c r="BF130" s="407" t="s">
        <v>973</v>
      </c>
      <c r="BG130" s="202" t="str">
        <f t="shared" si="21"/>
        <v>0016-0129</v>
      </c>
    </row>
    <row r="131" spans="1:59">
      <c r="A131" s="405">
        <v>3905</v>
      </c>
      <c r="B131" s="406">
        <v>3905</v>
      </c>
      <c r="C131" s="261" t="str">
        <f t="shared" si="22"/>
        <v>0005-0016</v>
      </c>
      <c r="D131" s="261" t="str">
        <f t="shared" si="23"/>
        <v>0005-0016-0028</v>
      </c>
      <c r="E131" s="407" t="s">
        <v>972</v>
      </c>
      <c r="F131" s="261" t="str">
        <f>TEXT(VLOOKUP(J131,'[3]1'!$B$2:$D$37,2,0),"0000")</f>
        <v>0005</v>
      </c>
      <c r="G131" s="261" t="str">
        <f t="shared" si="24"/>
        <v>0016</v>
      </c>
      <c r="H131" s="408">
        <f t="shared" si="25"/>
        <v>28</v>
      </c>
      <c r="I131" s="407" t="s">
        <v>972</v>
      </c>
      <c r="J131" s="258" t="s">
        <v>294</v>
      </c>
      <c r="K131" s="258" t="s">
        <v>2762</v>
      </c>
      <c r="L131" s="412" t="s">
        <v>2925</v>
      </c>
      <c r="M131" s="318">
        <v>33670000</v>
      </c>
      <c r="N131" s="266">
        <v>2497</v>
      </c>
      <c r="O131" s="258" t="s">
        <v>77</v>
      </c>
      <c r="P131" s="258" t="s">
        <v>70</v>
      </c>
      <c r="Q131" s="258" t="s">
        <v>72</v>
      </c>
      <c r="R131" s="266">
        <v>5</v>
      </c>
      <c r="S131" s="410">
        <v>15</v>
      </c>
      <c r="T131" s="261">
        <v>6</v>
      </c>
      <c r="U131" s="261">
        <v>6</v>
      </c>
      <c r="V131" s="258" t="s">
        <v>71</v>
      </c>
      <c r="W131" s="261" t="str">
        <f t="shared" si="27"/>
        <v>현대자동차싼타페가솔린 터보 2.5 4WD 프레스티지 (5인승) (A/T)33670000</v>
      </c>
      <c r="X131" s="411">
        <f t="shared" si="28"/>
        <v>3905</v>
      </c>
      <c r="Y131" s="261">
        <v>6</v>
      </c>
      <c r="Z131" s="261">
        <v>6</v>
      </c>
      <c r="AA131" s="407" t="s">
        <v>972</v>
      </c>
      <c r="AB131" s="258" t="s">
        <v>1965</v>
      </c>
      <c r="AC131" s="258"/>
      <c r="AD131" s="258" t="s">
        <v>2135</v>
      </c>
      <c r="AE131" s="258" t="s">
        <v>2129</v>
      </c>
      <c r="AF131" s="259"/>
      <c r="AG131" s="260"/>
      <c r="AH131" s="259"/>
      <c r="AI131" s="259"/>
      <c r="AJ131" s="260"/>
      <c r="AK131" s="259">
        <v>26</v>
      </c>
      <c r="AL131" s="259"/>
      <c r="AM131" s="259" t="s">
        <v>3233</v>
      </c>
      <c r="AN131" s="449"/>
      <c r="AO131" s="449"/>
      <c r="AP131" s="449"/>
      <c r="AQ131" s="392" t="str">
        <f>IFERROR(VLOOKUP(BG131,#REF!,1,0),"")</f>
        <v/>
      </c>
      <c r="AS131" s="259" t="s">
        <v>3233</v>
      </c>
      <c r="BD131" s="202" t="str">
        <f t="shared" si="20"/>
        <v>싼타페가솔린 터보 2.5 4WD 프레스티지 (5인승) (A/T)</v>
      </c>
      <c r="BE131" s="261" t="str">
        <f t="shared" si="26"/>
        <v>0016</v>
      </c>
      <c r="BF131" s="407" t="s">
        <v>972</v>
      </c>
      <c r="BG131" s="202" t="str">
        <f t="shared" si="21"/>
        <v>0016-0130</v>
      </c>
    </row>
    <row r="132" spans="1:59">
      <c r="A132" s="405">
        <v>3906</v>
      </c>
      <c r="B132" s="406">
        <v>3906</v>
      </c>
      <c r="C132" s="261" t="str">
        <f t="shared" si="22"/>
        <v>0005-0016</v>
      </c>
      <c r="D132" s="261" t="str">
        <f t="shared" si="23"/>
        <v>0005-0016-0029</v>
      </c>
      <c r="E132" s="407" t="s">
        <v>971</v>
      </c>
      <c r="F132" s="261" t="str">
        <f>TEXT(VLOOKUP(J132,'[3]1'!$B$2:$D$37,2,0),"0000")</f>
        <v>0005</v>
      </c>
      <c r="G132" s="261" t="str">
        <f t="shared" si="24"/>
        <v>0016</v>
      </c>
      <c r="H132" s="408">
        <f t="shared" si="25"/>
        <v>29</v>
      </c>
      <c r="I132" s="407" t="s">
        <v>971</v>
      </c>
      <c r="J132" s="258" t="s">
        <v>294</v>
      </c>
      <c r="K132" s="258" t="s">
        <v>2762</v>
      </c>
      <c r="L132" s="412" t="s">
        <v>2948</v>
      </c>
      <c r="M132" s="318">
        <v>30580000</v>
      </c>
      <c r="N132" s="266">
        <v>2497</v>
      </c>
      <c r="O132" s="258" t="s">
        <v>77</v>
      </c>
      <c r="P132" s="258" t="s">
        <v>70</v>
      </c>
      <c r="Q132" s="258" t="s">
        <v>72</v>
      </c>
      <c r="R132" s="266">
        <v>5</v>
      </c>
      <c r="S132" s="410">
        <v>15</v>
      </c>
      <c r="T132" s="261">
        <v>6</v>
      </c>
      <c r="U132" s="261">
        <v>6</v>
      </c>
      <c r="V132" s="258" t="s">
        <v>71</v>
      </c>
      <c r="W132" s="261" t="str">
        <f t="shared" si="27"/>
        <v>현대자동차싼타페가솔린 터보 2.5 4WD 프리미엄 초이스 (5인승) (A/T)30580000</v>
      </c>
      <c r="X132" s="411">
        <f t="shared" si="28"/>
        <v>3906</v>
      </c>
      <c r="Y132" s="261">
        <v>6</v>
      </c>
      <c r="Z132" s="261">
        <v>6</v>
      </c>
      <c r="AA132" s="407" t="s">
        <v>971</v>
      </c>
      <c r="AB132" s="258" t="s">
        <v>1965</v>
      </c>
      <c r="AC132" s="258"/>
      <c r="AD132" s="258" t="s">
        <v>2135</v>
      </c>
      <c r="AE132" s="258" t="s">
        <v>2129</v>
      </c>
      <c r="AF132" s="259"/>
      <c r="AG132" s="260"/>
      <c r="AH132" s="259"/>
      <c r="AI132" s="259"/>
      <c r="AJ132" s="260"/>
      <c r="AK132" s="259">
        <v>26</v>
      </c>
      <c r="AL132" s="259"/>
      <c r="AM132" s="259" t="s">
        <v>3233</v>
      </c>
      <c r="AN132" s="449"/>
      <c r="AO132" s="449"/>
      <c r="AP132" s="449"/>
      <c r="AQ132" s="392" t="str">
        <f>IFERROR(VLOOKUP(BG132,#REF!,1,0),"")</f>
        <v/>
      </c>
      <c r="AS132" s="259" t="s">
        <v>3233</v>
      </c>
      <c r="BD132" s="202" t="str">
        <f t="shared" si="20"/>
        <v>싼타페가솔린 터보 2.5 4WD 프리미엄 초이스 (5인승) (A/T)</v>
      </c>
      <c r="BE132" s="261" t="str">
        <f t="shared" si="26"/>
        <v>0016</v>
      </c>
      <c r="BF132" s="407" t="s">
        <v>971</v>
      </c>
      <c r="BG132" s="202" t="str">
        <f t="shared" si="21"/>
        <v>0016-0131</v>
      </c>
    </row>
    <row r="133" spans="1:59">
      <c r="A133" s="405">
        <v>3907</v>
      </c>
      <c r="B133" s="406">
        <v>3907</v>
      </c>
      <c r="C133" s="261" t="str">
        <f t="shared" si="22"/>
        <v>0005-0016</v>
      </c>
      <c r="D133" s="261" t="str">
        <f t="shared" si="23"/>
        <v>0005-0016-0030</v>
      </c>
      <c r="E133" s="407" t="s">
        <v>970</v>
      </c>
      <c r="F133" s="261" t="str">
        <f>TEXT(VLOOKUP(J133,'[3]1'!$B$2:$D$37,2,0),"0000")</f>
        <v>0005</v>
      </c>
      <c r="G133" s="261" t="str">
        <f t="shared" si="24"/>
        <v>0016</v>
      </c>
      <c r="H133" s="408">
        <f t="shared" si="25"/>
        <v>30</v>
      </c>
      <c r="I133" s="407" t="s">
        <v>970</v>
      </c>
      <c r="J133" s="258" t="s">
        <v>294</v>
      </c>
      <c r="K133" s="258" t="s">
        <v>2762</v>
      </c>
      <c r="L133" s="412" t="s">
        <v>2949</v>
      </c>
      <c r="M133" s="318">
        <v>38380000</v>
      </c>
      <c r="N133" s="266">
        <v>2497</v>
      </c>
      <c r="O133" s="258" t="s">
        <v>77</v>
      </c>
      <c r="P133" s="258" t="s">
        <v>70</v>
      </c>
      <c r="Q133" s="258" t="s">
        <v>72</v>
      </c>
      <c r="R133" s="266">
        <v>5</v>
      </c>
      <c r="S133" s="410">
        <v>15</v>
      </c>
      <c r="T133" s="261">
        <v>6</v>
      </c>
      <c r="U133" s="261">
        <v>6</v>
      </c>
      <c r="V133" s="258" t="s">
        <v>71</v>
      </c>
      <c r="W133" s="261" t="str">
        <f t="shared" si="27"/>
        <v>현대자동차싼타페가솔린 터보 2.5 4WD 캘리그래피 (5인승) (A/T)38380000</v>
      </c>
      <c r="X133" s="411">
        <f t="shared" si="28"/>
        <v>3907</v>
      </c>
      <c r="Y133" s="261">
        <v>6</v>
      </c>
      <c r="Z133" s="261">
        <v>6</v>
      </c>
      <c r="AA133" s="407" t="s">
        <v>970</v>
      </c>
      <c r="AB133" s="258" t="s">
        <v>1965</v>
      </c>
      <c r="AC133" s="258"/>
      <c r="AD133" s="258" t="s">
        <v>2135</v>
      </c>
      <c r="AE133" s="258" t="s">
        <v>2129</v>
      </c>
      <c r="AF133" s="259"/>
      <c r="AG133" s="260"/>
      <c r="AH133" s="259"/>
      <c r="AI133" s="259"/>
      <c r="AJ133" s="260"/>
      <c r="AK133" s="259">
        <v>26</v>
      </c>
      <c r="AL133" s="259"/>
      <c r="AM133" s="259" t="s">
        <v>3233</v>
      </c>
      <c r="AN133" s="449"/>
      <c r="AO133" s="449"/>
      <c r="AP133" s="449"/>
      <c r="AQ133" s="392" t="str">
        <f>IFERROR(VLOOKUP(BG133,#REF!,1,0),"")</f>
        <v/>
      </c>
      <c r="AS133" s="259" t="s">
        <v>3233</v>
      </c>
      <c r="BD133" s="202" t="str">
        <f t="shared" ref="BD133:BD196" si="29">K133&amp;L133</f>
        <v>싼타페가솔린 터보 2.5 4WD 캘리그래피 (5인승) (A/T)</v>
      </c>
      <c r="BE133" s="261" t="str">
        <f t="shared" si="26"/>
        <v>0016</v>
      </c>
      <c r="BF133" s="407" t="s">
        <v>970</v>
      </c>
      <c r="BG133" s="202" t="str">
        <f t="shared" ref="BG133:BG196" si="30">BE133&amp;"-"&amp;BF133</f>
        <v>0016-0132</v>
      </c>
    </row>
    <row r="134" spans="1:59">
      <c r="A134" s="405">
        <v>3908</v>
      </c>
      <c r="B134" s="406">
        <v>3908</v>
      </c>
      <c r="C134" s="261" t="str">
        <f t="shared" ref="C134:C197" si="31">TEXT(F134,"0000")&amp;"-"&amp;TEXT(G134,"0000")</f>
        <v>0005-0016</v>
      </c>
      <c r="D134" s="261" t="str">
        <f t="shared" ref="D134:D197" si="32">TEXT(F134,"0000")&amp;"-"&amp;TEXT(G134,"0000")&amp;"-"&amp;TEXT(H134,"0000")</f>
        <v>0005-0016-0031</v>
      </c>
      <c r="E134" s="407" t="s">
        <v>969</v>
      </c>
      <c r="F134" s="261" t="str">
        <f>TEXT(VLOOKUP(J134,'[3]1'!$B$2:$D$37,2,0),"0000")</f>
        <v>0005</v>
      </c>
      <c r="G134" s="261" t="str">
        <f t="shared" ref="G134:G197" si="33">IF(K134=K133,TEXT(G133,"0000"),TEXT(G133+1,"0000"))</f>
        <v>0016</v>
      </c>
      <c r="H134" s="408">
        <f t="shared" ref="H134:H197" si="34">IF(F134&amp;G134=F133&amp;G133,H133+1,1)</f>
        <v>31</v>
      </c>
      <c r="I134" s="407" t="s">
        <v>969</v>
      </c>
      <c r="J134" s="258" t="s">
        <v>294</v>
      </c>
      <c r="K134" s="258" t="s">
        <v>2762</v>
      </c>
      <c r="L134" s="412" t="s">
        <v>2950</v>
      </c>
      <c r="M134" s="318">
        <v>31220000</v>
      </c>
      <c r="N134" s="266">
        <v>2497</v>
      </c>
      <c r="O134" s="258" t="s">
        <v>77</v>
      </c>
      <c r="P134" s="258" t="s">
        <v>70</v>
      </c>
      <c r="Q134" s="258" t="s">
        <v>72</v>
      </c>
      <c r="R134" s="266">
        <v>7</v>
      </c>
      <c r="S134" s="410">
        <v>15</v>
      </c>
      <c r="T134" s="261">
        <v>6</v>
      </c>
      <c r="U134" s="261">
        <v>6</v>
      </c>
      <c r="V134" s="258" t="s">
        <v>71</v>
      </c>
      <c r="W134" s="261" t="str">
        <f t="shared" si="27"/>
        <v>현대자동차싼타페가솔린 터보 2.5 4WD 초이스 (7인승) (A/T)31220000</v>
      </c>
      <c r="X134" s="411">
        <f t="shared" si="28"/>
        <v>3908</v>
      </c>
      <c r="Y134" s="261">
        <v>6</v>
      </c>
      <c r="Z134" s="261">
        <v>6</v>
      </c>
      <c r="AA134" s="407" t="s">
        <v>969</v>
      </c>
      <c r="AB134" s="258" t="s">
        <v>1965</v>
      </c>
      <c r="AC134" s="258"/>
      <c r="AD134" s="258" t="s">
        <v>2135</v>
      </c>
      <c r="AE134" s="258" t="s">
        <v>2129</v>
      </c>
      <c r="AF134" s="259"/>
      <c r="AG134" s="260"/>
      <c r="AH134" s="259"/>
      <c r="AI134" s="259"/>
      <c r="AJ134" s="260"/>
      <c r="AK134" s="259">
        <v>26</v>
      </c>
      <c r="AL134" s="259"/>
      <c r="AM134" s="259" t="s">
        <v>3233</v>
      </c>
      <c r="AN134" s="449"/>
      <c r="AO134" s="449"/>
      <c r="AP134" s="449"/>
      <c r="AQ134" s="392" t="str">
        <f>IFERROR(VLOOKUP(BG134,#REF!,1,0),"")</f>
        <v/>
      </c>
      <c r="AS134" s="259" t="s">
        <v>3233</v>
      </c>
      <c r="BD134" s="202" t="str">
        <f t="shared" si="29"/>
        <v>싼타페가솔린 터보 2.5 4WD 초이스 (7인승) (A/T)</v>
      </c>
      <c r="BE134" s="261" t="str">
        <f t="shared" ref="BE134:BE197" si="35">IF(K133=K134,TEXT(G133,"0000"),TEXT(G133+1,"0000"))</f>
        <v>0016</v>
      </c>
      <c r="BF134" s="407" t="s">
        <v>969</v>
      </c>
      <c r="BG134" s="202" t="str">
        <f t="shared" si="30"/>
        <v>0016-0133</v>
      </c>
    </row>
    <row r="135" spans="1:59">
      <c r="A135" s="405">
        <v>3909</v>
      </c>
      <c r="B135" s="406">
        <v>3909</v>
      </c>
      <c r="C135" s="261" t="str">
        <f t="shared" si="31"/>
        <v>0005-0016</v>
      </c>
      <c r="D135" s="261" t="str">
        <f t="shared" si="32"/>
        <v>0005-0016-0032</v>
      </c>
      <c r="E135" s="407" t="s">
        <v>968</v>
      </c>
      <c r="F135" s="261" t="str">
        <f>TEXT(VLOOKUP(J135,'[3]1'!$B$2:$D$37,2,0),"0000")</f>
        <v>0005</v>
      </c>
      <c r="G135" s="261" t="str">
        <f t="shared" si="33"/>
        <v>0016</v>
      </c>
      <c r="H135" s="408">
        <f t="shared" si="34"/>
        <v>32</v>
      </c>
      <c r="I135" s="407" t="s">
        <v>968</v>
      </c>
      <c r="J135" s="258" t="s">
        <v>294</v>
      </c>
      <c r="K135" s="258" t="s">
        <v>2762</v>
      </c>
      <c r="L135" s="412" t="s">
        <v>2927</v>
      </c>
      <c r="M135" s="318">
        <v>34310000</v>
      </c>
      <c r="N135" s="266">
        <v>2497</v>
      </c>
      <c r="O135" s="258" t="s">
        <v>77</v>
      </c>
      <c r="P135" s="258" t="s">
        <v>70</v>
      </c>
      <c r="Q135" s="258" t="s">
        <v>72</v>
      </c>
      <c r="R135" s="266">
        <v>7</v>
      </c>
      <c r="S135" s="410">
        <v>15</v>
      </c>
      <c r="T135" s="261">
        <v>6</v>
      </c>
      <c r="U135" s="261">
        <v>6</v>
      </c>
      <c r="V135" s="258" t="s">
        <v>71</v>
      </c>
      <c r="W135" s="261" t="str">
        <f t="shared" ref="W135:W198" si="36">J135&amp;K135&amp;L135&amp;M135</f>
        <v>현대자동차싼타페가솔린 터보 2.5 4WD 프레스티지 (7인승) (A/T)34310000</v>
      </c>
      <c r="X135" s="411">
        <f t="shared" ref="X135:X198" si="37">B135</f>
        <v>3909</v>
      </c>
      <c r="Y135" s="261">
        <v>6</v>
      </c>
      <c r="Z135" s="261">
        <v>6</v>
      </c>
      <c r="AA135" s="407" t="s">
        <v>968</v>
      </c>
      <c r="AB135" s="258" t="s">
        <v>1965</v>
      </c>
      <c r="AC135" s="258"/>
      <c r="AD135" s="258" t="s">
        <v>2135</v>
      </c>
      <c r="AE135" s="258" t="s">
        <v>2129</v>
      </c>
      <c r="AF135" s="259"/>
      <c r="AG135" s="260"/>
      <c r="AH135" s="259"/>
      <c r="AI135" s="259"/>
      <c r="AJ135" s="260"/>
      <c r="AK135" s="259">
        <v>26</v>
      </c>
      <c r="AL135" s="259"/>
      <c r="AM135" s="259" t="s">
        <v>3233</v>
      </c>
      <c r="AN135" s="449"/>
      <c r="AO135" s="449"/>
      <c r="AP135" s="449"/>
      <c r="AQ135" s="392" t="str">
        <f>IFERROR(VLOOKUP(BG135,#REF!,1,0),"")</f>
        <v/>
      </c>
      <c r="AS135" s="259" t="s">
        <v>3233</v>
      </c>
      <c r="BD135" s="202" t="str">
        <f t="shared" si="29"/>
        <v>싼타페가솔린 터보 2.5 4WD 프레스티지 (7인승) (A/T)</v>
      </c>
      <c r="BE135" s="261" t="str">
        <f t="shared" si="35"/>
        <v>0016</v>
      </c>
      <c r="BF135" s="407" t="s">
        <v>968</v>
      </c>
      <c r="BG135" s="202" t="str">
        <f t="shared" si="30"/>
        <v>0016-0134</v>
      </c>
    </row>
    <row r="136" spans="1:59">
      <c r="A136" s="405">
        <v>3910</v>
      </c>
      <c r="B136" s="406">
        <v>3910</v>
      </c>
      <c r="C136" s="261" t="str">
        <f t="shared" si="31"/>
        <v>0005-0016</v>
      </c>
      <c r="D136" s="261" t="str">
        <f t="shared" si="32"/>
        <v>0005-0016-0033</v>
      </c>
      <c r="E136" s="407" t="s">
        <v>967</v>
      </c>
      <c r="F136" s="261" t="str">
        <f>TEXT(VLOOKUP(J136,'[3]1'!$B$2:$D$37,2,0),"0000")</f>
        <v>0005</v>
      </c>
      <c r="G136" s="261" t="str">
        <f t="shared" si="33"/>
        <v>0016</v>
      </c>
      <c r="H136" s="408">
        <f t="shared" si="34"/>
        <v>33</v>
      </c>
      <c r="I136" s="407" t="s">
        <v>967</v>
      </c>
      <c r="J136" s="258" t="s">
        <v>294</v>
      </c>
      <c r="K136" s="258" t="s">
        <v>2762</v>
      </c>
      <c r="L136" s="412" t="s">
        <v>2951</v>
      </c>
      <c r="M136" s="318">
        <v>31220000</v>
      </c>
      <c r="N136" s="266">
        <v>2497</v>
      </c>
      <c r="O136" s="258" t="s">
        <v>77</v>
      </c>
      <c r="P136" s="258" t="s">
        <v>70</v>
      </c>
      <c r="Q136" s="258" t="s">
        <v>72</v>
      </c>
      <c r="R136" s="266">
        <v>7</v>
      </c>
      <c r="S136" s="410">
        <v>15</v>
      </c>
      <c r="T136" s="261">
        <v>6</v>
      </c>
      <c r="U136" s="261">
        <v>6</v>
      </c>
      <c r="V136" s="258" t="s">
        <v>71</v>
      </c>
      <c r="W136" s="261" t="str">
        <f t="shared" si="36"/>
        <v>현대자동차싼타페가솔린 터보 2.5 4WD 프리미엄 초이스 (7인승) (A/T)31220000</v>
      </c>
      <c r="X136" s="411">
        <f t="shared" si="37"/>
        <v>3910</v>
      </c>
      <c r="Y136" s="261">
        <v>6</v>
      </c>
      <c r="Z136" s="261">
        <v>6</v>
      </c>
      <c r="AA136" s="407" t="s">
        <v>967</v>
      </c>
      <c r="AB136" s="258" t="s">
        <v>1965</v>
      </c>
      <c r="AC136" s="258"/>
      <c r="AD136" s="258" t="s">
        <v>2135</v>
      </c>
      <c r="AE136" s="258" t="s">
        <v>2129</v>
      </c>
      <c r="AF136" s="259"/>
      <c r="AG136" s="260"/>
      <c r="AH136" s="259"/>
      <c r="AI136" s="259"/>
      <c r="AJ136" s="260"/>
      <c r="AK136" s="259">
        <v>26</v>
      </c>
      <c r="AL136" s="259"/>
      <c r="AM136" s="259" t="s">
        <v>3233</v>
      </c>
      <c r="AN136" s="449"/>
      <c r="AO136" s="449"/>
      <c r="AP136" s="449"/>
      <c r="AQ136" s="392" t="str">
        <f>IFERROR(VLOOKUP(BG136,#REF!,1,0),"")</f>
        <v/>
      </c>
      <c r="AS136" s="259" t="s">
        <v>3233</v>
      </c>
      <c r="BD136" s="202" t="str">
        <f t="shared" si="29"/>
        <v>싼타페가솔린 터보 2.5 4WD 프리미엄 초이스 (7인승) (A/T)</v>
      </c>
      <c r="BE136" s="261" t="str">
        <f t="shared" si="35"/>
        <v>0016</v>
      </c>
      <c r="BF136" s="407" t="s">
        <v>967</v>
      </c>
      <c r="BG136" s="202" t="str">
        <f t="shared" si="30"/>
        <v>0016-0135</v>
      </c>
    </row>
    <row r="137" spans="1:59">
      <c r="A137" s="405">
        <v>3911</v>
      </c>
      <c r="B137" s="406">
        <v>3911</v>
      </c>
      <c r="C137" s="261" t="str">
        <f t="shared" si="31"/>
        <v>0005-0016</v>
      </c>
      <c r="D137" s="261" t="str">
        <f t="shared" si="32"/>
        <v>0005-0016-0034</v>
      </c>
      <c r="E137" s="407" t="s">
        <v>966</v>
      </c>
      <c r="F137" s="261" t="str">
        <f>TEXT(VLOOKUP(J137,'[3]1'!$B$2:$D$37,2,0),"0000")</f>
        <v>0005</v>
      </c>
      <c r="G137" s="261" t="str">
        <f t="shared" si="33"/>
        <v>0016</v>
      </c>
      <c r="H137" s="408">
        <f t="shared" si="34"/>
        <v>34</v>
      </c>
      <c r="I137" s="407" t="s">
        <v>966</v>
      </c>
      <c r="J137" s="258" t="s">
        <v>294</v>
      </c>
      <c r="K137" s="258" t="s">
        <v>2762</v>
      </c>
      <c r="L137" s="412" t="s">
        <v>2952</v>
      </c>
      <c r="M137" s="318">
        <v>39020000</v>
      </c>
      <c r="N137" s="266">
        <v>2497</v>
      </c>
      <c r="O137" s="258" t="s">
        <v>77</v>
      </c>
      <c r="P137" s="258" t="s">
        <v>70</v>
      </c>
      <c r="Q137" s="258" t="s">
        <v>72</v>
      </c>
      <c r="R137" s="266">
        <v>7</v>
      </c>
      <c r="S137" s="410">
        <v>15</v>
      </c>
      <c r="T137" s="261">
        <v>6</v>
      </c>
      <c r="U137" s="261">
        <v>6</v>
      </c>
      <c r="V137" s="258" t="s">
        <v>71</v>
      </c>
      <c r="W137" s="261" t="str">
        <f t="shared" si="36"/>
        <v>현대자동차싼타페가솔린 터보 2.5 4WD 캘리그래피 (7인승) (A/T)39020000</v>
      </c>
      <c r="X137" s="411">
        <f t="shared" si="37"/>
        <v>3911</v>
      </c>
      <c r="Y137" s="261">
        <v>6</v>
      </c>
      <c r="Z137" s="261">
        <v>6</v>
      </c>
      <c r="AA137" s="407" t="s">
        <v>966</v>
      </c>
      <c r="AB137" s="258" t="s">
        <v>1965</v>
      </c>
      <c r="AC137" s="258"/>
      <c r="AD137" s="258" t="s">
        <v>2135</v>
      </c>
      <c r="AE137" s="258" t="s">
        <v>2129</v>
      </c>
      <c r="AF137" s="259"/>
      <c r="AG137" s="260"/>
      <c r="AH137" s="259"/>
      <c r="AI137" s="259"/>
      <c r="AJ137" s="260"/>
      <c r="AK137" s="259">
        <v>26</v>
      </c>
      <c r="AL137" s="259"/>
      <c r="AM137" s="259" t="s">
        <v>3233</v>
      </c>
      <c r="AN137" s="449"/>
      <c r="AO137" s="449"/>
      <c r="AP137" s="449"/>
      <c r="AQ137" s="392" t="str">
        <f>IFERROR(VLOOKUP(BG137,#REF!,1,0),"")</f>
        <v/>
      </c>
      <c r="AS137" s="259" t="s">
        <v>3233</v>
      </c>
      <c r="BD137" s="202" t="str">
        <f t="shared" si="29"/>
        <v>싼타페가솔린 터보 2.5 4WD 캘리그래피 (7인승) (A/T)</v>
      </c>
      <c r="BE137" s="261" t="str">
        <f t="shared" si="35"/>
        <v>0016</v>
      </c>
      <c r="BF137" s="407" t="s">
        <v>966</v>
      </c>
      <c r="BG137" s="202" t="str">
        <f t="shared" si="30"/>
        <v>0016-0136</v>
      </c>
    </row>
    <row r="138" spans="1:59">
      <c r="A138" s="405">
        <v>3912</v>
      </c>
      <c r="B138" s="406">
        <v>3912</v>
      </c>
      <c r="C138" s="261" t="str">
        <f t="shared" si="31"/>
        <v>0005-0017</v>
      </c>
      <c r="D138" s="261" t="str">
        <f t="shared" si="32"/>
        <v>0005-0017-0001</v>
      </c>
      <c r="E138" s="407" t="s">
        <v>965</v>
      </c>
      <c r="F138" s="261" t="str">
        <f>TEXT(VLOOKUP(J138,'[3]1'!$B$2:$D$37,2,0),"0000")</f>
        <v>0005</v>
      </c>
      <c r="G138" s="261" t="str">
        <f t="shared" si="33"/>
        <v>0017</v>
      </c>
      <c r="H138" s="408">
        <f t="shared" si="34"/>
        <v>1</v>
      </c>
      <c r="I138" s="407" t="s">
        <v>965</v>
      </c>
      <c r="J138" s="413" t="s">
        <v>294</v>
      </c>
      <c r="K138" s="258" t="s">
        <v>2763</v>
      </c>
      <c r="L138" s="258" t="s">
        <v>2553</v>
      </c>
      <c r="M138" s="409">
        <v>30530000</v>
      </c>
      <c r="N138" s="258">
        <v>1999</v>
      </c>
      <c r="O138" s="258" t="s">
        <v>77</v>
      </c>
      <c r="P138" s="258" t="s">
        <v>73</v>
      </c>
      <c r="Q138" s="258" t="s">
        <v>72</v>
      </c>
      <c r="R138" s="258">
        <v>5</v>
      </c>
      <c r="S138" s="410">
        <v>5</v>
      </c>
      <c r="T138" s="261">
        <v>6</v>
      </c>
      <c r="U138" s="261">
        <v>6</v>
      </c>
      <c r="V138" s="258" t="s">
        <v>3331</v>
      </c>
      <c r="W138" s="261" t="str">
        <f t="shared" si="36"/>
        <v>현대자동차쏘나타 smartstreamG2.0 프리미엄 밀레니얼30530000</v>
      </c>
      <c r="X138" s="411">
        <f t="shared" si="37"/>
        <v>3912</v>
      </c>
      <c r="Y138" s="261">
        <v>6</v>
      </c>
      <c r="Z138" s="261">
        <v>6</v>
      </c>
      <c r="AA138" s="407" t="s">
        <v>965</v>
      </c>
      <c r="AB138" s="258" t="s">
        <v>3332</v>
      </c>
      <c r="AC138" s="258"/>
      <c r="AD138" s="258" t="s">
        <v>2130</v>
      </c>
      <c r="AE138" s="258" t="s">
        <v>2129</v>
      </c>
      <c r="AF138" s="259"/>
      <c r="AG138" s="260"/>
      <c r="AH138" s="259"/>
      <c r="AI138" s="259"/>
      <c r="AJ138" s="260"/>
      <c r="AK138" s="259">
        <v>26</v>
      </c>
      <c r="AL138" s="259"/>
      <c r="AM138" s="259" t="s">
        <v>93</v>
      </c>
      <c r="AN138" s="449"/>
      <c r="AO138" s="449"/>
      <c r="AP138" s="449"/>
      <c r="AQ138" s="392" t="str">
        <f>IFERROR(VLOOKUP(BG138,#REF!,1,0),"")</f>
        <v/>
      </c>
      <c r="AS138" s="259" t="s">
        <v>93</v>
      </c>
      <c r="BD138" s="202" t="str">
        <f t="shared" si="29"/>
        <v>쏘나타 smartstreamG2.0 프리미엄 밀레니얼</v>
      </c>
      <c r="BE138" s="261" t="str">
        <f t="shared" si="35"/>
        <v>0017</v>
      </c>
      <c r="BF138" s="407" t="s">
        <v>965</v>
      </c>
      <c r="BG138" s="202" t="str">
        <f t="shared" si="30"/>
        <v>0017-0137</v>
      </c>
    </row>
    <row r="139" spans="1:59">
      <c r="A139" s="405">
        <v>3913</v>
      </c>
      <c r="B139" s="406">
        <v>3913</v>
      </c>
      <c r="C139" s="261" t="str">
        <f t="shared" si="31"/>
        <v>0005-0017</v>
      </c>
      <c r="D139" s="261" t="str">
        <f t="shared" si="32"/>
        <v>0005-0017-0002</v>
      </c>
      <c r="E139" s="407" t="s">
        <v>964</v>
      </c>
      <c r="F139" s="261" t="str">
        <f>TEXT(VLOOKUP(J139,'[3]1'!$B$2:$D$37,2,0),"0000")</f>
        <v>0005</v>
      </c>
      <c r="G139" s="261" t="str">
        <f t="shared" si="33"/>
        <v>0017</v>
      </c>
      <c r="H139" s="408">
        <f t="shared" si="34"/>
        <v>2</v>
      </c>
      <c r="I139" s="407" t="s">
        <v>964</v>
      </c>
      <c r="J139" s="258" t="s">
        <v>294</v>
      </c>
      <c r="K139" s="258" t="s">
        <v>2763</v>
      </c>
      <c r="L139" s="258" t="s">
        <v>2554</v>
      </c>
      <c r="M139" s="409">
        <v>32980000</v>
      </c>
      <c r="N139" s="258">
        <v>1999</v>
      </c>
      <c r="O139" s="258" t="s">
        <v>77</v>
      </c>
      <c r="P139" s="258" t="s">
        <v>73</v>
      </c>
      <c r="Q139" s="258" t="s">
        <v>72</v>
      </c>
      <c r="R139" s="258">
        <v>9</v>
      </c>
      <c r="S139" s="410">
        <v>5</v>
      </c>
      <c r="T139" s="261">
        <v>6</v>
      </c>
      <c r="U139" s="261">
        <v>6</v>
      </c>
      <c r="V139" s="258" t="s">
        <v>71</v>
      </c>
      <c r="W139" s="261" t="str">
        <f t="shared" si="36"/>
        <v>현대자동차쏘나타 smartstreamG2.0 인스퍼레이션32980000</v>
      </c>
      <c r="X139" s="411">
        <f t="shared" si="37"/>
        <v>3913</v>
      </c>
      <c r="Y139" s="261">
        <v>6</v>
      </c>
      <c r="Z139" s="261">
        <v>6</v>
      </c>
      <c r="AA139" s="407" t="s">
        <v>964</v>
      </c>
      <c r="AB139" s="258" t="s">
        <v>73</v>
      </c>
      <c r="AC139" s="258"/>
      <c r="AD139" s="258" t="s">
        <v>2130</v>
      </c>
      <c r="AE139" s="258" t="s">
        <v>2129</v>
      </c>
      <c r="AF139" s="259"/>
      <c r="AG139" s="260"/>
      <c r="AH139" s="259"/>
      <c r="AI139" s="259"/>
      <c r="AJ139" s="260"/>
      <c r="AK139" s="259">
        <v>26</v>
      </c>
      <c r="AL139" s="259"/>
      <c r="AM139" s="259" t="s">
        <v>93</v>
      </c>
      <c r="AN139" s="449"/>
      <c r="AO139" s="449"/>
      <c r="AP139" s="449"/>
      <c r="AQ139" s="392" t="str">
        <f>IFERROR(VLOOKUP(BG139,#REF!,1,0),"")</f>
        <v/>
      </c>
      <c r="AS139" s="259" t="s">
        <v>93</v>
      </c>
      <c r="BD139" s="202" t="str">
        <f t="shared" si="29"/>
        <v>쏘나타 smartstreamG2.0 인스퍼레이션</v>
      </c>
      <c r="BE139" s="261" t="str">
        <f t="shared" si="35"/>
        <v>0017</v>
      </c>
      <c r="BF139" s="407" t="s">
        <v>964</v>
      </c>
      <c r="BG139" s="202" t="str">
        <f t="shared" si="30"/>
        <v>0017-0138</v>
      </c>
    </row>
    <row r="140" spans="1:59">
      <c r="A140" s="405">
        <v>3914</v>
      </c>
      <c r="B140" s="406">
        <v>3914</v>
      </c>
      <c r="C140" s="261" t="str">
        <f t="shared" si="31"/>
        <v>0005-0017</v>
      </c>
      <c r="D140" s="261" t="str">
        <f t="shared" si="32"/>
        <v>0005-0017-0003</v>
      </c>
      <c r="E140" s="407" t="s">
        <v>963</v>
      </c>
      <c r="F140" s="261" t="str">
        <f>TEXT(VLOOKUP(J140,'[3]1'!$B$2:$D$37,2,0),"0000")</f>
        <v>0005</v>
      </c>
      <c r="G140" s="261" t="str">
        <f t="shared" si="33"/>
        <v>0017</v>
      </c>
      <c r="H140" s="408">
        <f t="shared" si="34"/>
        <v>3</v>
      </c>
      <c r="I140" s="407" t="s">
        <v>963</v>
      </c>
      <c r="J140" s="258" t="s">
        <v>294</v>
      </c>
      <c r="K140" s="258" t="s">
        <v>2763</v>
      </c>
      <c r="L140" s="258" t="s">
        <v>2555</v>
      </c>
      <c r="M140" s="409">
        <v>26310000</v>
      </c>
      <c r="N140" s="258">
        <v>1999</v>
      </c>
      <c r="O140" s="258" t="s">
        <v>77</v>
      </c>
      <c r="P140" s="258" t="s">
        <v>73</v>
      </c>
      <c r="Q140" s="258" t="s">
        <v>72</v>
      </c>
      <c r="R140" s="258">
        <v>9</v>
      </c>
      <c r="S140" s="410">
        <v>5</v>
      </c>
      <c r="T140" s="261">
        <v>6</v>
      </c>
      <c r="U140" s="261">
        <v>6</v>
      </c>
      <c r="V140" s="258" t="s">
        <v>71</v>
      </c>
      <c r="W140" s="261" t="str">
        <f t="shared" si="36"/>
        <v>현대자동차쏘나타 smartstreamG2.0 프리미엄26310000</v>
      </c>
      <c r="X140" s="411">
        <f t="shared" si="37"/>
        <v>3914</v>
      </c>
      <c r="Y140" s="261">
        <v>6</v>
      </c>
      <c r="Z140" s="261">
        <v>6</v>
      </c>
      <c r="AA140" s="407" t="s">
        <v>963</v>
      </c>
      <c r="AB140" s="258" t="s">
        <v>73</v>
      </c>
      <c r="AC140" s="258"/>
      <c r="AD140" s="258" t="s">
        <v>2130</v>
      </c>
      <c r="AE140" s="258" t="s">
        <v>2129</v>
      </c>
      <c r="AF140" s="259"/>
      <c r="AG140" s="260"/>
      <c r="AH140" s="259"/>
      <c r="AI140" s="259"/>
      <c r="AJ140" s="260"/>
      <c r="AK140" s="259">
        <v>26</v>
      </c>
      <c r="AL140" s="259"/>
      <c r="AM140" s="259" t="s">
        <v>93</v>
      </c>
      <c r="AN140" s="449"/>
      <c r="AO140" s="449"/>
      <c r="AP140" s="449"/>
      <c r="AQ140" s="392" t="str">
        <f>IFERROR(VLOOKUP(BG140,#REF!,1,0),"")</f>
        <v/>
      </c>
      <c r="AS140" s="259" t="s">
        <v>93</v>
      </c>
      <c r="BD140" s="202" t="str">
        <f t="shared" si="29"/>
        <v>쏘나타 smartstreamG2.0 프리미엄</v>
      </c>
      <c r="BE140" s="261" t="str">
        <f t="shared" si="35"/>
        <v>0017</v>
      </c>
      <c r="BF140" s="407" t="s">
        <v>963</v>
      </c>
      <c r="BG140" s="202" t="str">
        <f t="shared" si="30"/>
        <v>0017-0139</v>
      </c>
    </row>
    <row r="141" spans="1:59">
      <c r="A141" s="405">
        <v>3915</v>
      </c>
      <c r="B141" s="406">
        <v>3915</v>
      </c>
      <c r="C141" s="261" t="str">
        <f t="shared" si="31"/>
        <v>0005-0017</v>
      </c>
      <c r="D141" s="261" t="str">
        <f t="shared" si="32"/>
        <v>0005-0017-0004</v>
      </c>
      <c r="E141" s="407" t="s">
        <v>962</v>
      </c>
      <c r="F141" s="261" t="str">
        <f>TEXT(VLOOKUP(J141,'[3]1'!$B$2:$D$37,2,0),"0000")</f>
        <v>0005</v>
      </c>
      <c r="G141" s="261" t="str">
        <f t="shared" si="33"/>
        <v>0017</v>
      </c>
      <c r="H141" s="408">
        <f t="shared" si="34"/>
        <v>4</v>
      </c>
      <c r="I141" s="407" t="s">
        <v>962</v>
      </c>
      <c r="J141" s="258" t="s">
        <v>294</v>
      </c>
      <c r="K141" s="258" t="s">
        <v>2763</v>
      </c>
      <c r="L141" s="258" t="s">
        <v>2556</v>
      </c>
      <c r="M141" s="409">
        <v>23860000</v>
      </c>
      <c r="N141" s="258">
        <v>1999</v>
      </c>
      <c r="O141" s="258" t="s">
        <v>77</v>
      </c>
      <c r="P141" s="258" t="s">
        <v>73</v>
      </c>
      <c r="Q141" s="258" t="s">
        <v>72</v>
      </c>
      <c r="R141" s="258">
        <v>9</v>
      </c>
      <c r="S141" s="410">
        <v>5</v>
      </c>
      <c r="T141" s="261">
        <v>6</v>
      </c>
      <c r="U141" s="261">
        <v>6</v>
      </c>
      <c r="V141" s="258" t="s">
        <v>71</v>
      </c>
      <c r="W141" s="261" t="str">
        <f t="shared" si="36"/>
        <v>현대자동차쏘나타 smartstreamG2.0 스마트23860000</v>
      </c>
      <c r="X141" s="411">
        <f t="shared" si="37"/>
        <v>3915</v>
      </c>
      <c r="Y141" s="261">
        <v>6</v>
      </c>
      <c r="Z141" s="261">
        <v>6</v>
      </c>
      <c r="AA141" s="407" t="s">
        <v>962</v>
      </c>
      <c r="AB141" s="258" t="s">
        <v>73</v>
      </c>
      <c r="AC141" s="258"/>
      <c r="AD141" s="258" t="s">
        <v>2130</v>
      </c>
      <c r="AE141" s="258" t="s">
        <v>2129</v>
      </c>
      <c r="AF141" s="259"/>
      <c r="AG141" s="260"/>
      <c r="AH141" s="259"/>
      <c r="AI141" s="259"/>
      <c r="AJ141" s="260"/>
      <c r="AK141" s="259">
        <v>26</v>
      </c>
      <c r="AL141" s="259"/>
      <c r="AM141" s="259" t="s">
        <v>93</v>
      </c>
      <c r="AN141" s="449"/>
      <c r="AO141" s="449"/>
      <c r="AP141" s="449"/>
      <c r="AQ141" s="392" t="str">
        <f>IFERROR(VLOOKUP(BG141,#REF!,1,0),"")</f>
        <v/>
      </c>
      <c r="AS141" s="259" t="s">
        <v>93</v>
      </c>
      <c r="BD141" s="202" t="str">
        <f t="shared" si="29"/>
        <v>쏘나타 smartstreamG2.0 스마트</v>
      </c>
      <c r="BE141" s="261" t="str">
        <f t="shared" si="35"/>
        <v>0017</v>
      </c>
      <c r="BF141" s="407" t="s">
        <v>962</v>
      </c>
      <c r="BG141" s="202" t="str">
        <f t="shared" si="30"/>
        <v>0017-0140</v>
      </c>
    </row>
    <row r="142" spans="1:59">
      <c r="A142" s="405">
        <v>3916</v>
      </c>
      <c r="B142" s="406">
        <v>3916</v>
      </c>
      <c r="C142" s="261" t="str">
        <f t="shared" si="31"/>
        <v>0005-0017</v>
      </c>
      <c r="D142" s="261" t="str">
        <f t="shared" si="32"/>
        <v>0005-0017-0005</v>
      </c>
      <c r="E142" s="407" t="s">
        <v>961</v>
      </c>
      <c r="F142" s="261" t="str">
        <f>TEXT(VLOOKUP(J142,'[3]1'!$B$2:$D$37,2,0),"0000")</f>
        <v>0005</v>
      </c>
      <c r="G142" s="261" t="str">
        <f t="shared" si="33"/>
        <v>0017</v>
      </c>
      <c r="H142" s="408">
        <f t="shared" si="34"/>
        <v>5</v>
      </c>
      <c r="I142" s="407" t="s">
        <v>961</v>
      </c>
      <c r="J142" s="258" t="s">
        <v>294</v>
      </c>
      <c r="K142" s="258" t="s">
        <v>2763</v>
      </c>
      <c r="L142" s="258" t="s">
        <v>2557</v>
      </c>
      <c r="M142" s="409">
        <v>28760000</v>
      </c>
      <c r="N142" s="258">
        <v>1999</v>
      </c>
      <c r="O142" s="258" t="s">
        <v>77</v>
      </c>
      <c r="P142" s="258" t="s">
        <v>73</v>
      </c>
      <c r="Q142" s="258" t="s">
        <v>72</v>
      </c>
      <c r="R142" s="258">
        <v>9</v>
      </c>
      <c r="S142" s="410">
        <v>5</v>
      </c>
      <c r="T142" s="261">
        <v>6</v>
      </c>
      <c r="U142" s="261">
        <v>6</v>
      </c>
      <c r="V142" s="258" t="s">
        <v>71</v>
      </c>
      <c r="W142" s="261" t="str">
        <f t="shared" si="36"/>
        <v>현대자동차쏘나타 smartstreamG2.0 프리미엄 패밀리28760000</v>
      </c>
      <c r="X142" s="411">
        <f t="shared" si="37"/>
        <v>3916</v>
      </c>
      <c r="Y142" s="261">
        <v>6</v>
      </c>
      <c r="Z142" s="261">
        <v>6</v>
      </c>
      <c r="AA142" s="407" t="s">
        <v>961</v>
      </c>
      <c r="AB142" s="258" t="s">
        <v>73</v>
      </c>
      <c r="AC142" s="258"/>
      <c r="AD142" s="258" t="s">
        <v>2130</v>
      </c>
      <c r="AE142" s="258" t="s">
        <v>2129</v>
      </c>
      <c r="AF142" s="259"/>
      <c r="AG142" s="260"/>
      <c r="AH142" s="259"/>
      <c r="AI142" s="259"/>
      <c r="AJ142" s="260"/>
      <c r="AK142" s="259">
        <v>26</v>
      </c>
      <c r="AL142" s="259"/>
      <c r="AM142" s="259" t="s">
        <v>93</v>
      </c>
      <c r="AN142" s="449"/>
      <c r="AO142" s="449"/>
      <c r="AP142" s="449"/>
      <c r="AQ142" s="392" t="str">
        <f>IFERROR(VLOOKUP(BG142,#REF!,1,0),"")</f>
        <v/>
      </c>
      <c r="AS142" s="259" t="s">
        <v>93</v>
      </c>
      <c r="BD142" s="202" t="str">
        <f t="shared" si="29"/>
        <v>쏘나타 smartstreamG2.0 프리미엄 패밀리</v>
      </c>
      <c r="BE142" s="261" t="str">
        <f t="shared" si="35"/>
        <v>0017</v>
      </c>
      <c r="BF142" s="407" t="s">
        <v>961</v>
      </c>
      <c r="BG142" s="202" t="str">
        <f t="shared" si="30"/>
        <v>0017-0141</v>
      </c>
    </row>
    <row r="143" spans="1:59">
      <c r="A143" s="405">
        <v>3917</v>
      </c>
      <c r="B143" s="406">
        <v>3917</v>
      </c>
      <c r="C143" s="261" t="str">
        <f t="shared" si="31"/>
        <v>0005-0017</v>
      </c>
      <c r="D143" s="261" t="str">
        <f t="shared" si="32"/>
        <v>0005-0017-0006</v>
      </c>
      <c r="E143" s="407" t="s">
        <v>960</v>
      </c>
      <c r="F143" s="261" t="str">
        <f>TEXT(VLOOKUP(J143,'[3]1'!$B$2:$D$37,2,0),"0000")</f>
        <v>0005</v>
      </c>
      <c r="G143" s="261" t="str">
        <f t="shared" si="33"/>
        <v>0017</v>
      </c>
      <c r="H143" s="408">
        <f t="shared" si="34"/>
        <v>6</v>
      </c>
      <c r="I143" s="407" t="s">
        <v>960</v>
      </c>
      <c r="J143" s="258" t="s">
        <v>294</v>
      </c>
      <c r="K143" s="258" t="s">
        <v>2763</v>
      </c>
      <c r="L143" s="258" t="s">
        <v>2558</v>
      </c>
      <c r="M143" s="409">
        <v>27050000</v>
      </c>
      <c r="N143" s="258">
        <v>1598</v>
      </c>
      <c r="O143" s="258" t="s">
        <v>77</v>
      </c>
      <c r="P143" s="258" t="s">
        <v>73</v>
      </c>
      <c r="Q143" s="258" t="s">
        <v>72</v>
      </c>
      <c r="R143" s="258">
        <v>9</v>
      </c>
      <c r="S143" s="410">
        <v>5</v>
      </c>
      <c r="T143" s="261">
        <v>6</v>
      </c>
      <c r="U143" s="261">
        <v>6</v>
      </c>
      <c r="V143" s="258" t="s">
        <v>71</v>
      </c>
      <c r="W143" s="261" t="str">
        <f t="shared" si="36"/>
        <v>현대자동차쏘나타 smartstream1.6 GT 프리미엄27050000</v>
      </c>
      <c r="X143" s="411">
        <f t="shared" si="37"/>
        <v>3917</v>
      </c>
      <c r="Y143" s="261">
        <v>6</v>
      </c>
      <c r="Z143" s="261">
        <v>6</v>
      </c>
      <c r="AA143" s="407" t="s">
        <v>960</v>
      </c>
      <c r="AB143" s="258" t="s">
        <v>73</v>
      </c>
      <c r="AC143" s="258"/>
      <c r="AD143" s="258" t="s">
        <v>2130</v>
      </c>
      <c r="AE143" s="258" t="s">
        <v>2129</v>
      </c>
      <c r="AF143" s="259"/>
      <c r="AG143" s="260"/>
      <c r="AH143" s="259"/>
      <c r="AI143" s="259"/>
      <c r="AJ143" s="260"/>
      <c r="AK143" s="259">
        <v>26</v>
      </c>
      <c r="AL143" s="259"/>
      <c r="AM143" s="259" t="s">
        <v>93</v>
      </c>
      <c r="AN143" s="449"/>
      <c r="AO143" s="449"/>
      <c r="AP143" s="449"/>
      <c r="AQ143" s="392" t="str">
        <f>IFERROR(VLOOKUP(BG143,#REF!,1,0),"")</f>
        <v/>
      </c>
      <c r="AS143" s="259" t="s">
        <v>93</v>
      </c>
      <c r="BD143" s="202" t="str">
        <f t="shared" si="29"/>
        <v>쏘나타 smartstream1.6 GT 프리미엄</v>
      </c>
      <c r="BE143" s="261" t="str">
        <f t="shared" si="35"/>
        <v>0017</v>
      </c>
      <c r="BF143" s="407" t="s">
        <v>960</v>
      </c>
      <c r="BG143" s="202" t="str">
        <f t="shared" si="30"/>
        <v>0017-0142</v>
      </c>
    </row>
    <row r="144" spans="1:59">
      <c r="A144" s="405">
        <v>3918</v>
      </c>
      <c r="B144" s="406">
        <v>3918</v>
      </c>
      <c r="C144" s="261" t="str">
        <f t="shared" si="31"/>
        <v>0005-0017</v>
      </c>
      <c r="D144" s="261" t="str">
        <f t="shared" si="32"/>
        <v>0005-0017-0007</v>
      </c>
      <c r="E144" s="407" t="s">
        <v>959</v>
      </c>
      <c r="F144" s="261" t="str">
        <f>TEXT(VLOOKUP(J144,'[3]1'!$B$2:$D$37,2,0),"0000")</f>
        <v>0005</v>
      </c>
      <c r="G144" s="261" t="str">
        <f t="shared" si="33"/>
        <v>0017</v>
      </c>
      <c r="H144" s="408">
        <f t="shared" si="34"/>
        <v>7</v>
      </c>
      <c r="I144" s="407" t="s">
        <v>959</v>
      </c>
      <c r="J144" s="258" t="s">
        <v>294</v>
      </c>
      <c r="K144" s="258" t="s">
        <v>2763</v>
      </c>
      <c r="L144" s="258" t="s">
        <v>2559</v>
      </c>
      <c r="M144" s="409">
        <v>31220000</v>
      </c>
      <c r="N144" s="258">
        <v>1598</v>
      </c>
      <c r="O144" s="258" t="s">
        <v>77</v>
      </c>
      <c r="P144" s="258" t="s">
        <v>73</v>
      </c>
      <c r="Q144" s="258" t="s">
        <v>72</v>
      </c>
      <c r="R144" s="258">
        <v>9</v>
      </c>
      <c r="S144" s="410">
        <v>5</v>
      </c>
      <c r="T144" s="261">
        <v>6</v>
      </c>
      <c r="U144" s="261">
        <v>6</v>
      </c>
      <c r="V144" s="258" t="s">
        <v>71</v>
      </c>
      <c r="W144" s="261" t="str">
        <f t="shared" si="36"/>
        <v>현대자동차쏘나타 smartstream1.6 GT 프리미엄 밀레니얼31220000</v>
      </c>
      <c r="X144" s="411">
        <f t="shared" si="37"/>
        <v>3918</v>
      </c>
      <c r="Y144" s="261">
        <v>6</v>
      </c>
      <c r="Z144" s="261">
        <v>6</v>
      </c>
      <c r="AA144" s="407" t="s">
        <v>959</v>
      </c>
      <c r="AB144" s="258" t="s">
        <v>73</v>
      </c>
      <c r="AC144" s="258"/>
      <c r="AD144" s="258" t="s">
        <v>2130</v>
      </c>
      <c r="AE144" s="258" t="s">
        <v>2129</v>
      </c>
      <c r="AF144" s="259"/>
      <c r="AG144" s="260"/>
      <c r="AH144" s="259"/>
      <c r="AI144" s="259"/>
      <c r="AJ144" s="260"/>
      <c r="AK144" s="259">
        <v>26</v>
      </c>
      <c r="AL144" s="259"/>
      <c r="AM144" s="259" t="s">
        <v>93</v>
      </c>
      <c r="AN144" s="449"/>
      <c r="AO144" s="449"/>
      <c r="AP144" s="449"/>
      <c r="AQ144" s="392" t="str">
        <f>IFERROR(VLOOKUP(BG144,#REF!,1,0),"")</f>
        <v/>
      </c>
      <c r="AS144" s="259" t="s">
        <v>93</v>
      </c>
      <c r="BD144" s="202" t="str">
        <f t="shared" si="29"/>
        <v>쏘나타 smartstream1.6 GT 프리미엄 밀레니얼</v>
      </c>
      <c r="BE144" s="261" t="str">
        <f t="shared" si="35"/>
        <v>0017</v>
      </c>
      <c r="BF144" s="407" t="s">
        <v>959</v>
      </c>
      <c r="BG144" s="202" t="str">
        <f t="shared" si="30"/>
        <v>0017-0143</v>
      </c>
    </row>
    <row r="145" spans="1:59">
      <c r="A145" s="405">
        <v>3919</v>
      </c>
      <c r="B145" s="406">
        <v>3919</v>
      </c>
      <c r="C145" s="261" t="str">
        <f t="shared" si="31"/>
        <v>0005-0017</v>
      </c>
      <c r="D145" s="261" t="str">
        <f t="shared" si="32"/>
        <v>0005-0017-0008</v>
      </c>
      <c r="E145" s="407" t="s">
        <v>958</v>
      </c>
      <c r="F145" s="261" t="str">
        <f>TEXT(VLOOKUP(J145,'[3]1'!$B$2:$D$37,2,0),"0000")</f>
        <v>0005</v>
      </c>
      <c r="G145" s="261" t="str">
        <f t="shared" si="33"/>
        <v>0017</v>
      </c>
      <c r="H145" s="408">
        <f t="shared" si="34"/>
        <v>8</v>
      </c>
      <c r="I145" s="407" t="s">
        <v>958</v>
      </c>
      <c r="J145" s="258" t="s">
        <v>294</v>
      </c>
      <c r="K145" s="258" t="s">
        <v>2763</v>
      </c>
      <c r="L145" s="258" t="s">
        <v>2560</v>
      </c>
      <c r="M145" s="409">
        <v>29450000</v>
      </c>
      <c r="N145" s="258">
        <v>1598</v>
      </c>
      <c r="O145" s="258" t="s">
        <v>77</v>
      </c>
      <c r="P145" s="258" t="s">
        <v>73</v>
      </c>
      <c r="Q145" s="258" t="s">
        <v>72</v>
      </c>
      <c r="R145" s="258">
        <v>5</v>
      </c>
      <c r="S145" s="410">
        <v>5</v>
      </c>
      <c r="T145" s="261">
        <v>6</v>
      </c>
      <c r="U145" s="261">
        <v>6</v>
      </c>
      <c r="V145" s="258" t="s">
        <v>3331</v>
      </c>
      <c r="W145" s="261" t="str">
        <f t="shared" si="36"/>
        <v>현대자동차쏘나타 smartstream1.6 GT 프리미엄 패밀리29450000</v>
      </c>
      <c r="X145" s="411">
        <f t="shared" si="37"/>
        <v>3919</v>
      </c>
      <c r="Y145" s="261">
        <v>6</v>
      </c>
      <c r="Z145" s="261">
        <v>6</v>
      </c>
      <c r="AA145" s="407" t="s">
        <v>958</v>
      </c>
      <c r="AB145" s="258" t="s">
        <v>3332</v>
      </c>
      <c r="AC145" s="258"/>
      <c r="AD145" s="258" t="s">
        <v>2130</v>
      </c>
      <c r="AE145" s="258" t="s">
        <v>2129</v>
      </c>
      <c r="AF145" s="259"/>
      <c r="AG145" s="260"/>
      <c r="AH145" s="259"/>
      <c r="AI145" s="259"/>
      <c r="AJ145" s="260"/>
      <c r="AK145" s="259">
        <v>26</v>
      </c>
      <c r="AL145" s="259"/>
      <c r="AM145" s="259" t="s">
        <v>93</v>
      </c>
      <c r="AN145" s="449"/>
      <c r="AO145" s="449"/>
      <c r="AP145" s="449"/>
      <c r="AQ145" s="392" t="str">
        <f>IFERROR(VLOOKUP(BG145,#REF!,1,0),"")</f>
        <v/>
      </c>
      <c r="AS145" s="259" t="s">
        <v>93</v>
      </c>
      <c r="BD145" s="202" t="str">
        <f t="shared" si="29"/>
        <v>쏘나타 smartstream1.6 GT 프리미엄 패밀리</v>
      </c>
      <c r="BE145" s="261" t="str">
        <f t="shared" si="35"/>
        <v>0017</v>
      </c>
      <c r="BF145" s="407" t="s">
        <v>958</v>
      </c>
      <c r="BG145" s="202" t="str">
        <f t="shared" si="30"/>
        <v>0017-0144</v>
      </c>
    </row>
    <row r="146" spans="1:59">
      <c r="A146" s="405">
        <v>3920</v>
      </c>
      <c r="B146" s="406">
        <v>3920</v>
      </c>
      <c r="C146" s="261" t="str">
        <f t="shared" si="31"/>
        <v>0005-0017</v>
      </c>
      <c r="D146" s="261" t="str">
        <f t="shared" si="32"/>
        <v>0005-0017-0009</v>
      </c>
      <c r="E146" s="407" t="s">
        <v>957</v>
      </c>
      <c r="F146" s="261" t="str">
        <f>TEXT(VLOOKUP(J146,'[3]1'!$B$2:$D$37,2,0),"0000")</f>
        <v>0005</v>
      </c>
      <c r="G146" s="261" t="str">
        <f t="shared" si="33"/>
        <v>0017</v>
      </c>
      <c r="H146" s="408">
        <f t="shared" si="34"/>
        <v>9</v>
      </c>
      <c r="I146" s="407" t="s">
        <v>957</v>
      </c>
      <c r="J146" s="258" t="s">
        <v>294</v>
      </c>
      <c r="K146" s="258" t="s">
        <v>2763</v>
      </c>
      <c r="L146" s="258" t="s">
        <v>2561</v>
      </c>
      <c r="M146" s="409">
        <v>33670000</v>
      </c>
      <c r="N146" s="258">
        <v>1598</v>
      </c>
      <c r="O146" s="258" t="s">
        <v>77</v>
      </c>
      <c r="P146" s="258" t="s">
        <v>73</v>
      </c>
      <c r="Q146" s="258" t="s">
        <v>72</v>
      </c>
      <c r="R146" s="258">
        <v>7</v>
      </c>
      <c r="S146" s="410">
        <v>5</v>
      </c>
      <c r="T146" s="261">
        <v>6</v>
      </c>
      <c r="U146" s="261">
        <v>6</v>
      </c>
      <c r="V146" s="258" t="s">
        <v>71</v>
      </c>
      <c r="W146" s="261" t="str">
        <f t="shared" si="36"/>
        <v>현대자동차쏘나타 smartstream1.6 GT 인스퍼레이션33670000</v>
      </c>
      <c r="X146" s="411">
        <f t="shared" si="37"/>
        <v>3920</v>
      </c>
      <c r="Y146" s="261">
        <v>6</v>
      </c>
      <c r="Z146" s="261">
        <v>6</v>
      </c>
      <c r="AA146" s="407" t="s">
        <v>957</v>
      </c>
      <c r="AB146" s="258" t="s">
        <v>73</v>
      </c>
      <c r="AC146" s="258"/>
      <c r="AD146" s="258" t="s">
        <v>2130</v>
      </c>
      <c r="AE146" s="258" t="s">
        <v>2129</v>
      </c>
      <c r="AF146" s="259"/>
      <c r="AG146" s="260"/>
      <c r="AH146" s="259"/>
      <c r="AI146" s="259"/>
      <c r="AJ146" s="260"/>
      <c r="AK146" s="259">
        <v>26</v>
      </c>
      <c r="AL146" s="259"/>
      <c r="AM146" s="259" t="s">
        <v>93</v>
      </c>
      <c r="AN146" s="449"/>
      <c r="AO146" s="449"/>
      <c r="AP146" s="449"/>
      <c r="AQ146" s="392" t="str">
        <f>IFERROR(VLOOKUP(BG146,#REF!,1,0),"")</f>
        <v/>
      </c>
      <c r="AS146" s="259" t="s">
        <v>93</v>
      </c>
      <c r="BD146" s="202" t="str">
        <f t="shared" si="29"/>
        <v>쏘나타 smartstream1.6 GT 인스퍼레이션</v>
      </c>
      <c r="BE146" s="261" t="str">
        <f t="shared" si="35"/>
        <v>0017</v>
      </c>
      <c r="BF146" s="407" t="s">
        <v>957</v>
      </c>
      <c r="BG146" s="202" t="str">
        <f t="shared" si="30"/>
        <v>0017-0145</v>
      </c>
    </row>
    <row r="147" spans="1:59">
      <c r="A147" s="405">
        <v>3921</v>
      </c>
      <c r="B147" s="406">
        <v>3921</v>
      </c>
      <c r="C147" s="261" t="str">
        <f t="shared" si="31"/>
        <v>0005-0017</v>
      </c>
      <c r="D147" s="261" t="str">
        <f t="shared" si="32"/>
        <v>0005-0017-0010</v>
      </c>
      <c r="E147" s="407" t="s">
        <v>956</v>
      </c>
      <c r="F147" s="261" t="str">
        <f>TEXT(VLOOKUP(J147,'[3]1'!$B$2:$D$37,2,0),"0000")</f>
        <v>0005</v>
      </c>
      <c r="G147" s="261" t="str">
        <f t="shared" si="33"/>
        <v>0017</v>
      </c>
      <c r="H147" s="408">
        <f t="shared" si="34"/>
        <v>10</v>
      </c>
      <c r="I147" s="407" t="s">
        <v>956</v>
      </c>
      <c r="J147" s="258" t="s">
        <v>294</v>
      </c>
      <c r="K147" s="258" t="s">
        <v>2763</v>
      </c>
      <c r="L147" s="258" t="s">
        <v>2562</v>
      </c>
      <c r="M147" s="409">
        <v>24890000</v>
      </c>
      <c r="N147" s="258">
        <v>1598</v>
      </c>
      <c r="O147" s="258" t="s">
        <v>77</v>
      </c>
      <c r="P147" s="258" t="s">
        <v>73</v>
      </c>
      <c r="Q147" s="258" t="s">
        <v>72</v>
      </c>
      <c r="R147" s="258">
        <v>5</v>
      </c>
      <c r="S147" s="410">
        <v>5</v>
      </c>
      <c r="T147" s="261">
        <v>6</v>
      </c>
      <c r="U147" s="261">
        <v>6</v>
      </c>
      <c r="V147" s="258" t="s">
        <v>3331</v>
      </c>
      <c r="W147" s="261" t="str">
        <f t="shared" si="36"/>
        <v>현대자동차쏘나타 smartstream1.6 GT 스마트24890000</v>
      </c>
      <c r="X147" s="411">
        <f t="shared" si="37"/>
        <v>3921</v>
      </c>
      <c r="Y147" s="261">
        <v>6</v>
      </c>
      <c r="Z147" s="261">
        <v>6</v>
      </c>
      <c r="AA147" s="407" t="s">
        <v>956</v>
      </c>
      <c r="AB147" s="258" t="s">
        <v>3332</v>
      </c>
      <c r="AC147" s="258"/>
      <c r="AD147" s="258" t="s">
        <v>2130</v>
      </c>
      <c r="AE147" s="258" t="s">
        <v>2129</v>
      </c>
      <c r="AF147" s="259"/>
      <c r="AG147" s="260"/>
      <c r="AH147" s="259"/>
      <c r="AI147" s="259"/>
      <c r="AJ147" s="260"/>
      <c r="AK147" s="259">
        <v>26</v>
      </c>
      <c r="AL147" s="259"/>
      <c r="AM147" s="259" t="s">
        <v>93</v>
      </c>
      <c r="AN147" s="449"/>
      <c r="AO147" s="449"/>
      <c r="AP147" s="449"/>
      <c r="AQ147" s="392" t="str">
        <f>IFERROR(VLOOKUP(BG147,#REF!,1,0),"")</f>
        <v/>
      </c>
      <c r="AS147" s="259" t="s">
        <v>93</v>
      </c>
      <c r="BD147" s="202" t="str">
        <f t="shared" si="29"/>
        <v>쏘나타 smartstream1.6 GT 스마트</v>
      </c>
      <c r="BE147" s="261" t="str">
        <f t="shared" si="35"/>
        <v>0017</v>
      </c>
      <c r="BF147" s="407" t="s">
        <v>956</v>
      </c>
      <c r="BG147" s="202" t="str">
        <f t="shared" si="30"/>
        <v>0017-0146</v>
      </c>
    </row>
    <row r="148" spans="1:59">
      <c r="A148" s="405">
        <v>3922</v>
      </c>
      <c r="B148" s="406">
        <v>3922</v>
      </c>
      <c r="C148" s="261" t="str">
        <f t="shared" si="31"/>
        <v>0005-0017</v>
      </c>
      <c r="D148" s="261" t="str">
        <f t="shared" si="32"/>
        <v>0005-0017-0011</v>
      </c>
      <c r="E148" s="407" t="s">
        <v>955</v>
      </c>
      <c r="F148" s="261" t="str">
        <f>TEXT(VLOOKUP(J148,'[3]1'!$B$2:$D$37,2,0),"0000")</f>
        <v>0005</v>
      </c>
      <c r="G148" s="261" t="str">
        <f t="shared" si="33"/>
        <v>0017</v>
      </c>
      <c r="H148" s="408">
        <f t="shared" si="34"/>
        <v>11</v>
      </c>
      <c r="I148" s="407" t="s">
        <v>955</v>
      </c>
      <c r="J148" s="413" t="s">
        <v>294</v>
      </c>
      <c r="K148" s="258" t="s">
        <v>2763</v>
      </c>
      <c r="L148" s="258" t="s">
        <v>2550</v>
      </c>
      <c r="M148" s="409">
        <v>30920000</v>
      </c>
      <c r="N148" s="258">
        <v>1999</v>
      </c>
      <c r="O148" s="258" t="s">
        <v>2137</v>
      </c>
      <c r="P148" s="258" t="s">
        <v>73</v>
      </c>
      <c r="Q148" s="258" t="s">
        <v>72</v>
      </c>
      <c r="R148" s="258">
        <v>5</v>
      </c>
      <c r="S148" s="410">
        <v>20</v>
      </c>
      <c r="T148" s="261">
        <v>6</v>
      </c>
      <c r="U148" s="261">
        <v>6</v>
      </c>
      <c r="V148" s="258" t="s">
        <v>71</v>
      </c>
      <c r="W148" s="261" t="str">
        <f t="shared" si="36"/>
        <v>현대자동차쏘나타 smartstreamLPI 2.0 프리미엄 밀레니얼30920000</v>
      </c>
      <c r="X148" s="411">
        <f t="shared" si="37"/>
        <v>3922</v>
      </c>
      <c r="Y148" s="261">
        <v>6</v>
      </c>
      <c r="Z148" s="261">
        <v>6</v>
      </c>
      <c r="AA148" s="407" t="s">
        <v>955</v>
      </c>
      <c r="AB148" s="258" t="s">
        <v>73</v>
      </c>
      <c r="AC148" s="258"/>
      <c r="AD148" s="258">
        <v>7</v>
      </c>
      <c r="AE148" s="258" t="s">
        <v>2129</v>
      </c>
      <c r="AF148" s="259"/>
      <c r="AG148" s="260"/>
      <c r="AH148" s="259"/>
      <c r="AI148" s="259"/>
      <c r="AJ148" s="260"/>
      <c r="AK148" s="259">
        <v>26</v>
      </c>
      <c r="AL148" s="259"/>
      <c r="AM148" s="259" t="s">
        <v>3234</v>
      </c>
      <c r="AN148" s="449"/>
      <c r="AO148" s="449"/>
      <c r="AP148" s="449"/>
      <c r="AQ148" s="392" t="str">
        <f>IFERROR(VLOOKUP(BG148,#REF!,1,0),"")</f>
        <v/>
      </c>
      <c r="AS148" s="259" t="s">
        <v>3234</v>
      </c>
      <c r="BD148" s="202" t="str">
        <f t="shared" si="29"/>
        <v>쏘나타 smartstreamLPI 2.0 프리미엄 밀레니얼</v>
      </c>
      <c r="BE148" s="261" t="str">
        <f t="shared" si="35"/>
        <v>0017</v>
      </c>
      <c r="BF148" s="407" t="s">
        <v>955</v>
      </c>
      <c r="BG148" s="202" t="str">
        <f t="shared" si="30"/>
        <v>0017-0147</v>
      </c>
    </row>
    <row r="149" spans="1:59">
      <c r="A149" s="405">
        <v>3923</v>
      </c>
      <c r="B149" s="406">
        <v>3923</v>
      </c>
      <c r="C149" s="261" t="str">
        <f t="shared" si="31"/>
        <v>0005-0017</v>
      </c>
      <c r="D149" s="261" t="str">
        <f t="shared" si="32"/>
        <v>0005-0017-0012</v>
      </c>
      <c r="E149" s="407" t="s">
        <v>954</v>
      </c>
      <c r="F149" s="261" t="str">
        <f>TEXT(VLOOKUP(J149,'[3]1'!$B$2:$D$37,2,0),"0000")</f>
        <v>0005</v>
      </c>
      <c r="G149" s="261" t="str">
        <f t="shared" si="33"/>
        <v>0017</v>
      </c>
      <c r="H149" s="408">
        <f t="shared" si="34"/>
        <v>12</v>
      </c>
      <c r="I149" s="407" t="s">
        <v>954</v>
      </c>
      <c r="J149" s="413" t="s">
        <v>294</v>
      </c>
      <c r="K149" s="258" t="s">
        <v>2763</v>
      </c>
      <c r="L149" s="258" t="s">
        <v>2551</v>
      </c>
      <c r="M149" s="409">
        <v>33130000</v>
      </c>
      <c r="N149" s="258">
        <v>1999</v>
      </c>
      <c r="O149" s="258" t="s">
        <v>2137</v>
      </c>
      <c r="P149" s="258" t="s">
        <v>73</v>
      </c>
      <c r="Q149" s="258" t="s">
        <v>72</v>
      </c>
      <c r="R149" s="258">
        <v>5</v>
      </c>
      <c r="S149" s="410">
        <v>20</v>
      </c>
      <c r="T149" s="261">
        <v>6</v>
      </c>
      <c r="U149" s="261">
        <v>6</v>
      </c>
      <c r="V149" s="258" t="s">
        <v>71</v>
      </c>
      <c r="W149" s="261" t="str">
        <f t="shared" si="36"/>
        <v>현대자동차쏘나타 smartstreamLPI 2.0 인스퍼레이션33130000</v>
      </c>
      <c r="X149" s="411">
        <f t="shared" si="37"/>
        <v>3923</v>
      </c>
      <c r="Y149" s="261">
        <v>6</v>
      </c>
      <c r="Z149" s="261">
        <v>6</v>
      </c>
      <c r="AA149" s="407" t="s">
        <v>954</v>
      </c>
      <c r="AB149" s="258" t="s">
        <v>73</v>
      </c>
      <c r="AC149" s="258"/>
      <c r="AD149" s="258">
        <v>7</v>
      </c>
      <c r="AE149" s="258" t="s">
        <v>2129</v>
      </c>
      <c r="AF149" s="259"/>
      <c r="AG149" s="260"/>
      <c r="AH149" s="259"/>
      <c r="AI149" s="259"/>
      <c r="AJ149" s="260"/>
      <c r="AK149" s="259">
        <v>26</v>
      </c>
      <c r="AL149" s="259"/>
      <c r="AM149" s="259" t="s">
        <v>3234</v>
      </c>
      <c r="AN149" s="449"/>
      <c r="AO149" s="449"/>
      <c r="AP149" s="449"/>
      <c r="AQ149" s="392" t="str">
        <f>IFERROR(VLOOKUP(BG149,#REF!,1,0),"")</f>
        <v/>
      </c>
      <c r="AS149" s="259" t="s">
        <v>3234</v>
      </c>
      <c r="BD149" s="202" t="str">
        <f t="shared" si="29"/>
        <v>쏘나타 smartstreamLPI 2.0 인스퍼레이션</v>
      </c>
      <c r="BE149" s="261" t="str">
        <f t="shared" si="35"/>
        <v>0017</v>
      </c>
      <c r="BF149" s="407" t="s">
        <v>954</v>
      </c>
      <c r="BG149" s="202" t="str">
        <f t="shared" si="30"/>
        <v>0017-0148</v>
      </c>
    </row>
    <row r="150" spans="1:59">
      <c r="A150" s="405">
        <v>3924</v>
      </c>
      <c r="B150" s="406">
        <v>3924</v>
      </c>
      <c r="C150" s="261" t="str">
        <f t="shared" si="31"/>
        <v>0005-0017</v>
      </c>
      <c r="D150" s="261" t="str">
        <f t="shared" si="32"/>
        <v>0005-0017-0013</v>
      </c>
      <c r="E150" s="407" t="s">
        <v>953</v>
      </c>
      <c r="F150" s="261" t="str">
        <f>TEXT(VLOOKUP(J150,'[3]1'!$B$2:$D$37,2,0),"0000")</f>
        <v>0005</v>
      </c>
      <c r="G150" s="261" t="str">
        <f t="shared" si="33"/>
        <v>0017</v>
      </c>
      <c r="H150" s="408">
        <f t="shared" si="34"/>
        <v>13</v>
      </c>
      <c r="I150" s="407" t="s">
        <v>953</v>
      </c>
      <c r="J150" s="413" t="s">
        <v>294</v>
      </c>
      <c r="K150" s="258" t="s">
        <v>2763</v>
      </c>
      <c r="L150" s="258" t="s">
        <v>2552</v>
      </c>
      <c r="M150" s="409">
        <v>26410000</v>
      </c>
      <c r="N150" s="258">
        <v>1999</v>
      </c>
      <c r="O150" s="258" t="s">
        <v>2137</v>
      </c>
      <c r="P150" s="258" t="s">
        <v>73</v>
      </c>
      <c r="Q150" s="258" t="s">
        <v>72</v>
      </c>
      <c r="R150" s="258">
        <v>5</v>
      </c>
      <c r="S150" s="410">
        <v>20</v>
      </c>
      <c r="T150" s="261">
        <v>6</v>
      </c>
      <c r="U150" s="261">
        <v>6</v>
      </c>
      <c r="V150" s="258" t="s">
        <v>71</v>
      </c>
      <c r="W150" s="261" t="str">
        <f t="shared" si="36"/>
        <v>현대자동차쏘나타 smartstreamLPI 2.0 프리미엄26410000</v>
      </c>
      <c r="X150" s="411">
        <f t="shared" si="37"/>
        <v>3924</v>
      </c>
      <c r="Y150" s="261">
        <v>6</v>
      </c>
      <c r="Z150" s="261">
        <v>6</v>
      </c>
      <c r="AA150" s="407" t="s">
        <v>953</v>
      </c>
      <c r="AB150" s="258" t="s">
        <v>73</v>
      </c>
      <c r="AC150" s="258"/>
      <c r="AD150" s="258">
        <v>7</v>
      </c>
      <c r="AE150" s="258" t="s">
        <v>2129</v>
      </c>
      <c r="AF150" s="259"/>
      <c r="AG150" s="260"/>
      <c r="AH150" s="259"/>
      <c r="AI150" s="259"/>
      <c r="AJ150" s="260"/>
      <c r="AK150" s="259">
        <v>26</v>
      </c>
      <c r="AL150" s="259"/>
      <c r="AM150" s="259" t="s">
        <v>3234</v>
      </c>
      <c r="AN150" s="449"/>
      <c r="AO150" s="449"/>
      <c r="AP150" s="449"/>
      <c r="AQ150" s="392" t="str">
        <f>IFERROR(VLOOKUP(BG150,#REF!,1,0),"")</f>
        <v/>
      </c>
      <c r="AS150" s="259" t="s">
        <v>3234</v>
      </c>
      <c r="BD150" s="202" t="str">
        <f t="shared" si="29"/>
        <v>쏘나타 smartstreamLPI 2.0 프리미엄</v>
      </c>
      <c r="BE150" s="261" t="str">
        <f t="shared" si="35"/>
        <v>0017</v>
      </c>
      <c r="BF150" s="407" t="s">
        <v>953</v>
      </c>
      <c r="BG150" s="202" t="str">
        <f t="shared" si="30"/>
        <v>0017-0149</v>
      </c>
    </row>
    <row r="151" spans="1:59">
      <c r="A151" s="405">
        <v>3925</v>
      </c>
      <c r="B151" s="406">
        <v>3925</v>
      </c>
      <c r="C151" s="261" t="str">
        <f t="shared" si="31"/>
        <v>0005-0018</v>
      </c>
      <c r="D151" s="261" t="str">
        <f t="shared" si="32"/>
        <v>0005-0018-0001</v>
      </c>
      <c r="E151" s="407" t="s">
        <v>952</v>
      </c>
      <c r="F151" s="261" t="str">
        <f>TEXT(VLOOKUP(J151,'[3]1'!$B$2:$D$37,2,0),"0000")</f>
        <v>0005</v>
      </c>
      <c r="G151" s="261" t="str">
        <f t="shared" si="33"/>
        <v>0018</v>
      </c>
      <c r="H151" s="408">
        <f t="shared" si="34"/>
        <v>1</v>
      </c>
      <c r="I151" s="407" t="s">
        <v>952</v>
      </c>
      <c r="J151" s="258" t="s">
        <v>294</v>
      </c>
      <c r="K151" s="258" t="s">
        <v>2764</v>
      </c>
      <c r="L151" s="258" t="s">
        <v>2563</v>
      </c>
      <c r="M151" s="409">
        <v>28793070</v>
      </c>
      <c r="N151" s="258">
        <v>1999</v>
      </c>
      <c r="O151" s="258" t="s">
        <v>74</v>
      </c>
      <c r="P151" s="258" t="s">
        <v>73</v>
      </c>
      <c r="Q151" s="258" t="s">
        <v>72</v>
      </c>
      <c r="R151" s="258">
        <v>5</v>
      </c>
      <c r="S151" s="410">
        <v>10</v>
      </c>
      <c r="T151" s="261">
        <v>6</v>
      </c>
      <c r="U151" s="261">
        <v>6</v>
      </c>
      <c r="V151" s="258" t="s">
        <v>1914</v>
      </c>
      <c r="W151" s="261" t="str">
        <f t="shared" si="36"/>
        <v>현대자동차쏘나타 하이브리드스마트28793070</v>
      </c>
      <c r="X151" s="411">
        <f t="shared" si="37"/>
        <v>3925</v>
      </c>
      <c r="Y151" s="261">
        <v>6</v>
      </c>
      <c r="Z151" s="261">
        <v>6</v>
      </c>
      <c r="AA151" s="407" t="s">
        <v>952</v>
      </c>
      <c r="AB151" s="258" t="s">
        <v>73</v>
      </c>
      <c r="AC151" s="258"/>
      <c r="AD151" s="258" t="s">
        <v>2132</v>
      </c>
      <c r="AE151" s="258" t="s">
        <v>2129</v>
      </c>
      <c r="AF151" s="259"/>
      <c r="AG151" s="260"/>
      <c r="AH151" s="259"/>
      <c r="AI151" s="259"/>
      <c r="AJ151" s="260"/>
      <c r="AK151" s="259">
        <v>26</v>
      </c>
      <c r="AL151" s="259"/>
      <c r="AM151" s="259" t="s">
        <v>3224</v>
      </c>
      <c r="AN151" s="449"/>
      <c r="AO151" s="449"/>
      <c r="AP151" s="449"/>
      <c r="AQ151" s="392" t="str">
        <f>IFERROR(VLOOKUP(BG151,#REF!,1,0),"")</f>
        <v/>
      </c>
      <c r="AS151" s="259" t="s">
        <v>3224</v>
      </c>
      <c r="BD151" s="202" t="str">
        <f t="shared" si="29"/>
        <v>쏘나타 하이브리드스마트</v>
      </c>
      <c r="BE151" s="261" t="str">
        <f t="shared" si="35"/>
        <v>0018</v>
      </c>
      <c r="BF151" s="407" t="s">
        <v>952</v>
      </c>
      <c r="BG151" s="202" t="str">
        <f t="shared" si="30"/>
        <v>0018-0150</v>
      </c>
    </row>
    <row r="152" spans="1:59">
      <c r="A152" s="405">
        <v>3926</v>
      </c>
      <c r="B152" s="406">
        <v>3926</v>
      </c>
      <c r="C152" s="261" t="str">
        <f t="shared" si="31"/>
        <v>0005-0018</v>
      </c>
      <c r="D152" s="261" t="str">
        <f t="shared" si="32"/>
        <v>0005-0018-0002</v>
      </c>
      <c r="E152" s="407" t="s">
        <v>951</v>
      </c>
      <c r="F152" s="261" t="str">
        <f>TEXT(VLOOKUP(J152,'[3]1'!$B$2:$D$37,2,0),"0000")</f>
        <v>0005</v>
      </c>
      <c r="G152" s="261" t="str">
        <f t="shared" si="33"/>
        <v>0018</v>
      </c>
      <c r="H152" s="408">
        <f t="shared" si="34"/>
        <v>2</v>
      </c>
      <c r="I152" s="407" t="s">
        <v>951</v>
      </c>
      <c r="J152" s="258" t="s">
        <v>294</v>
      </c>
      <c r="K152" s="258" t="s">
        <v>2764</v>
      </c>
      <c r="L152" s="258" t="s">
        <v>2515</v>
      </c>
      <c r="M152" s="409">
        <v>30957255</v>
      </c>
      <c r="N152" s="258">
        <v>1999</v>
      </c>
      <c r="O152" s="258" t="s">
        <v>74</v>
      </c>
      <c r="P152" s="258" t="s">
        <v>73</v>
      </c>
      <c r="Q152" s="258" t="s">
        <v>72</v>
      </c>
      <c r="R152" s="258">
        <v>5</v>
      </c>
      <c r="S152" s="410">
        <v>10</v>
      </c>
      <c r="T152" s="261">
        <v>6</v>
      </c>
      <c r="U152" s="261">
        <v>6</v>
      </c>
      <c r="V152" s="258" t="s">
        <v>1914</v>
      </c>
      <c r="W152" s="261" t="str">
        <f t="shared" si="36"/>
        <v>현대자동차쏘나타 하이브리드프리미엄30957255</v>
      </c>
      <c r="X152" s="411">
        <f t="shared" si="37"/>
        <v>3926</v>
      </c>
      <c r="Y152" s="261">
        <v>6</v>
      </c>
      <c r="Z152" s="261">
        <v>6</v>
      </c>
      <c r="AA152" s="407" t="s">
        <v>951</v>
      </c>
      <c r="AB152" s="258" t="s">
        <v>73</v>
      </c>
      <c r="AC152" s="258"/>
      <c r="AD152" s="258" t="s">
        <v>2132</v>
      </c>
      <c r="AE152" s="258" t="s">
        <v>2129</v>
      </c>
      <c r="AF152" s="259"/>
      <c r="AG152" s="260"/>
      <c r="AH152" s="259"/>
      <c r="AI152" s="259"/>
      <c r="AJ152" s="260"/>
      <c r="AK152" s="259">
        <v>26</v>
      </c>
      <c r="AL152" s="259"/>
      <c r="AM152" s="259" t="s">
        <v>3224</v>
      </c>
      <c r="AN152" s="449"/>
      <c r="AO152" s="449"/>
      <c r="AP152" s="449"/>
      <c r="AQ152" s="392" t="str">
        <f>IFERROR(VLOOKUP(BG152,#REF!,1,0),"")</f>
        <v/>
      </c>
      <c r="AS152" s="259" t="s">
        <v>3224</v>
      </c>
      <c r="BD152" s="202" t="str">
        <f t="shared" si="29"/>
        <v>쏘나타 하이브리드프리미엄</v>
      </c>
      <c r="BE152" s="261" t="str">
        <f t="shared" si="35"/>
        <v>0018</v>
      </c>
      <c r="BF152" s="407" t="s">
        <v>951</v>
      </c>
      <c r="BG152" s="202" t="str">
        <f t="shared" si="30"/>
        <v>0018-0151</v>
      </c>
    </row>
    <row r="153" spans="1:59">
      <c r="A153" s="405">
        <v>3927</v>
      </c>
      <c r="B153" s="406">
        <v>3927</v>
      </c>
      <c r="C153" s="261" t="str">
        <f t="shared" si="31"/>
        <v>0005-0018</v>
      </c>
      <c r="D153" s="261" t="str">
        <f t="shared" si="32"/>
        <v>0005-0018-0003</v>
      </c>
      <c r="E153" s="407" t="s">
        <v>950</v>
      </c>
      <c r="F153" s="261" t="str">
        <f>TEXT(VLOOKUP(J153,'[3]1'!$B$2:$D$37,2,0),"0000")</f>
        <v>0005</v>
      </c>
      <c r="G153" s="261" t="str">
        <f t="shared" si="33"/>
        <v>0018</v>
      </c>
      <c r="H153" s="408">
        <f t="shared" si="34"/>
        <v>3</v>
      </c>
      <c r="I153" s="407" t="s">
        <v>950</v>
      </c>
      <c r="J153" s="258" t="s">
        <v>294</v>
      </c>
      <c r="K153" s="258" t="s">
        <v>2764</v>
      </c>
      <c r="L153" s="258" t="s">
        <v>2564</v>
      </c>
      <c r="M153" s="409">
        <v>33700000</v>
      </c>
      <c r="N153" s="258">
        <v>1999</v>
      </c>
      <c r="O153" s="258" t="s">
        <v>74</v>
      </c>
      <c r="P153" s="258" t="s">
        <v>73</v>
      </c>
      <c r="Q153" s="258" t="s">
        <v>72</v>
      </c>
      <c r="R153" s="258">
        <v>3</v>
      </c>
      <c r="S153" s="410">
        <v>10</v>
      </c>
      <c r="T153" s="261">
        <v>6</v>
      </c>
      <c r="U153" s="261">
        <v>6</v>
      </c>
      <c r="V153" s="258" t="s">
        <v>1914</v>
      </c>
      <c r="W153" s="261" t="str">
        <f t="shared" si="36"/>
        <v>현대자동차쏘나타 하이브리드프리미엄 패밀리33700000</v>
      </c>
      <c r="X153" s="411">
        <f t="shared" si="37"/>
        <v>3927</v>
      </c>
      <c r="Y153" s="261">
        <v>6</v>
      </c>
      <c r="Z153" s="261">
        <v>6</v>
      </c>
      <c r="AA153" s="407" t="s">
        <v>950</v>
      </c>
      <c r="AB153" s="258" t="s">
        <v>86</v>
      </c>
      <c r="AC153" s="258"/>
      <c r="AD153" s="258" t="s">
        <v>2132</v>
      </c>
      <c r="AE153" s="258" t="s">
        <v>2129</v>
      </c>
      <c r="AF153" s="259"/>
      <c r="AG153" s="260"/>
      <c r="AH153" s="259"/>
      <c r="AI153" s="259"/>
      <c r="AJ153" s="260"/>
      <c r="AK153" s="259">
        <v>26</v>
      </c>
      <c r="AL153" s="259"/>
      <c r="AM153" s="259" t="s">
        <v>3224</v>
      </c>
      <c r="AN153" s="449"/>
      <c r="AO153" s="449"/>
      <c r="AP153" s="449"/>
      <c r="AQ153" s="392" t="str">
        <f>IFERROR(VLOOKUP(BG153,#REF!,1,0),"")</f>
        <v/>
      </c>
      <c r="AS153" s="259" t="s">
        <v>3224</v>
      </c>
      <c r="BD153" s="202" t="str">
        <f t="shared" si="29"/>
        <v>쏘나타 하이브리드프리미엄 패밀리</v>
      </c>
      <c r="BE153" s="261" t="str">
        <f t="shared" si="35"/>
        <v>0018</v>
      </c>
      <c r="BF153" s="407" t="s">
        <v>950</v>
      </c>
      <c r="BG153" s="202" t="str">
        <f t="shared" si="30"/>
        <v>0018-0152</v>
      </c>
    </row>
    <row r="154" spans="1:59">
      <c r="A154" s="405">
        <v>3928</v>
      </c>
      <c r="B154" s="406">
        <v>3928</v>
      </c>
      <c r="C154" s="261" t="str">
        <f t="shared" si="31"/>
        <v>0005-0018</v>
      </c>
      <c r="D154" s="261" t="str">
        <f t="shared" si="32"/>
        <v>0005-0018-0004</v>
      </c>
      <c r="E154" s="407" t="s">
        <v>949</v>
      </c>
      <c r="F154" s="261" t="str">
        <f>TEXT(VLOOKUP(J154,'[3]1'!$B$2:$D$37,2,0),"0000")</f>
        <v>0005</v>
      </c>
      <c r="G154" s="261" t="str">
        <f t="shared" si="33"/>
        <v>0018</v>
      </c>
      <c r="H154" s="408">
        <f t="shared" si="34"/>
        <v>4</v>
      </c>
      <c r="I154" s="407" t="s">
        <v>949</v>
      </c>
      <c r="J154" s="258" t="s">
        <v>294</v>
      </c>
      <c r="K154" s="258" t="s">
        <v>2764</v>
      </c>
      <c r="L154" s="258" t="s">
        <v>2565</v>
      </c>
      <c r="M154" s="409">
        <v>35520000</v>
      </c>
      <c r="N154" s="258">
        <v>1999</v>
      </c>
      <c r="O154" s="258" t="s">
        <v>74</v>
      </c>
      <c r="P154" s="258" t="s">
        <v>73</v>
      </c>
      <c r="Q154" s="258" t="s">
        <v>72</v>
      </c>
      <c r="R154" s="258">
        <v>5</v>
      </c>
      <c r="S154" s="410">
        <v>10</v>
      </c>
      <c r="T154" s="261">
        <v>6</v>
      </c>
      <c r="U154" s="261">
        <v>6</v>
      </c>
      <c r="V154" s="258" t="s">
        <v>1914</v>
      </c>
      <c r="W154" s="261" t="str">
        <f t="shared" si="36"/>
        <v>현대자동차쏘나타 하이브리드프리미엄 밀레니얼35520000</v>
      </c>
      <c r="X154" s="411">
        <f t="shared" si="37"/>
        <v>3928</v>
      </c>
      <c r="Y154" s="261">
        <v>6</v>
      </c>
      <c r="Z154" s="261">
        <v>6</v>
      </c>
      <c r="AA154" s="407" t="s">
        <v>949</v>
      </c>
      <c r="AB154" s="258" t="s">
        <v>73</v>
      </c>
      <c r="AC154" s="258"/>
      <c r="AD154" s="258" t="s">
        <v>2132</v>
      </c>
      <c r="AE154" s="258" t="s">
        <v>2129</v>
      </c>
      <c r="AF154" s="259"/>
      <c r="AG154" s="260"/>
      <c r="AH154" s="259"/>
      <c r="AI154" s="259"/>
      <c r="AJ154" s="260"/>
      <c r="AK154" s="259">
        <v>26</v>
      </c>
      <c r="AL154" s="259"/>
      <c r="AM154" s="259" t="s">
        <v>3224</v>
      </c>
      <c r="AN154" s="449"/>
      <c r="AO154" s="449"/>
      <c r="AP154" s="449"/>
      <c r="AQ154" s="392" t="str">
        <f>IFERROR(VLOOKUP(BG154,#REF!,1,0),"")</f>
        <v/>
      </c>
      <c r="AS154" s="259" t="s">
        <v>3224</v>
      </c>
      <c r="BD154" s="202" t="str">
        <f t="shared" si="29"/>
        <v>쏘나타 하이브리드프리미엄 밀레니얼</v>
      </c>
      <c r="BE154" s="261" t="str">
        <f t="shared" si="35"/>
        <v>0018</v>
      </c>
      <c r="BF154" s="407" t="s">
        <v>949</v>
      </c>
      <c r="BG154" s="202" t="str">
        <f t="shared" si="30"/>
        <v>0018-0153</v>
      </c>
    </row>
    <row r="155" spans="1:59">
      <c r="A155" s="405">
        <v>3929</v>
      </c>
      <c r="B155" s="406">
        <v>3929</v>
      </c>
      <c r="C155" s="261" t="str">
        <f t="shared" si="31"/>
        <v>0005-0018</v>
      </c>
      <c r="D155" s="261" t="str">
        <f t="shared" si="32"/>
        <v>0005-0018-0005</v>
      </c>
      <c r="E155" s="407" t="s">
        <v>948</v>
      </c>
      <c r="F155" s="261" t="str">
        <f>TEXT(VLOOKUP(J155,'[3]1'!$B$2:$D$37,2,0),"0000")</f>
        <v>0005</v>
      </c>
      <c r="G155" s="261" t="str">
        <f t="shared" si="33"/>
        <v>0018</v>
      </c>
      <c r="H155" s="408">
        <f t="shared" si="34"/>
        <v>5</v>
      </c>
      <c r="I155" s="407" t="s">
        <v>948</v>
      </c>
      <c r="J155" s="258" t="s">
        <v>294</v>
      </c>
      <c r="K155" s="258" t="s">
        <v>2764</v>
      </c>
      <c r="L155" s="258" t="s">
        <v>2566</v>
      </c>
      <c r="M155" s="409">
        <v>37420000</v>
      </c>
      <c r="N155" s="258">
        <v>1999</v>
      </c>
      <c r="O155" s="258" t="s">
        <v>74</v>
      </c>
      <c r="P155" s="258" t="s">
        <v>73</v>
      </c>
      <c r="Q155" s="258" t="s">
        <v>72</v>
      </c>
      <c r="R155" s="258">
        <v>5</v>
      </c>
      <c r="S155" s="410">
        <v>10</v>
      </c>
      <c r="T155" s="261">
        <v>6</v>
      </c>
      <c r="U155" s="261">
        <v>6</v>
      </c>
      <c r="V155" s="258" t="s">
        <v>1914</v>
      </c>
      <c r="W155" s="261" t="str">
        <f t="shared" si="36"/>
        <v>현대자동차쏘나타 하이브리드인스퍼레이션37420000</v>
      </c>
      <c r="X155" s="411">
        <f t="shared" si="37"/>
        <v>3929</v>
      </c>
      <c r="Y155" s="261">
        <v>6</v>
      </c>
      <c r="Z155" s="261">
        <v>6</v>
      </c>
      <c r="AA155" s="407" t="s">
        <v>948</v>
      </c>
      <c r="AB155" s="258" t="s">
        <v>3332</v>
      </c>
      <c r="AC155" s="258"/>
      <c r="AD155" s="258" t="s">
        <v>2132</v>
      </c>
      <c r="AE155" s="258" t="s">
        <v>2129</v>
      </c>
      <c r="AF155" s="259"/>
      <c r="AG155" s="260"/>
      <c r="AH155" s="259"/>
      <c r="AI155" s="259"/>
      <c r="AJ155" s="260"/>
      <c r="AK155" s="259">
        <v>26</v>
      </c>
      <c r="AL155" s="259"/>
      <c r="AM155" s="259" t="s">
        <v>3224</v>
      </c>
      <c r="AN155" s="449"/>
      <c r="AO155" s="449"/>
      <c r="AP155" s="449"/>
      <c r="AQ155" s="392" t="str">
        <f>IFERROR(VLOOKUP(BG155,#REF!,1,0),"")</f>
        <v/>
      </c>
      <c r="AS155" s="259" t="s">
        <v>3224</v>
      </c>
      <c r="BD155" s="202" t="str">
        <f t="shared" si="29"/>
        <v>쏘나타 하이브리드인스퍼레이션</v>
      </c>
      <c r="BE155" s="261" t="str">
        <f t="shared" si="35"/>
        <v>0018</v>
      </c>
      <c r="BF155" s="407" t="s">
        <v>948</v>
      </c>
      <c r="BG155" s="202" t="str">
        <f t="shared" si="30"/>
        <v>0018-0154</v>
      </c>
    </row>
    <row r="156" spans="1:59">
      <c r="A156" s="405">
        <v>3930</v>
      </c>
      <c r="B156" s="406">
        <v>3930</v>
      </c>
      <c r="C156" s="261" t="str">
        <f t="shared" si="31"/>
        <v>0005-0019</v>
      </c>
      <c r="D156" s="261" t="str">
        <f t="shared" si="32"/>
        <v>0005-0019-0001</v>
      </c>
      <c r="E156" s="407" t="s">
        <v>947</v>
      </c>
      <c r="F156" s="261" t="str">
        <f>TEXT(VLOOKUP(J156,'[3]1'!$B$2:$D$37,2,0),"0000")</f>
        <v>0005</v>
      </c>
      <c r="G156" s="261" t="str">
        <f t="shared" si="33"/>
        <v>0019</v>
      </c>
      <c r="H156" s="408">
        <f t="shared" si="34"/>
        <v>1</v>
      </c>
      <c r="I156" s="407" t="s">
        <v>947</v>
      </c>
      <c r="J156" s="258" t="s">
        <v>294</v>
      </c>
      <c r="K156" s="258" t="s">
        <v>2765</v>
      </c>
      <c r="L156" s="258" t="s">
        <v>2567</v>
      </c>
      <c r="M156" s="409">
        <v>77500000</v>
      </c>
      <c r="N156" s="258">
        <v>2497</v>
      </c>
      <c r="O156" s="258" t="s">
        <v>78</v>
      </c>
      <c r="P156" s="258" t="s">
        <v>2890</v>
      </c>
      <c r="Q156" s="258" t="s">
        <v>72</v>
      </c>
      <c r="R156" s="258">
        <v>11</v>
      </c>
      <c r="S156" s="410">
        <v>20</v>
      </c>
      <c r="T156" s="261">
        <v>6</v>
      </c>
      <c r="U156" s="261">
        <v>6</v>
      </c>
      <c r="V156" s="258" t="s">
        <v>3993</v>
      </c>
      <c r="W156" s="261" t="str">
        <f t="shared" si="36"/>
        <v>현대자동차쏠라티투어 럭셔리 11인승77500000</v>
      </c>
      <c r="X156" s="411">
        <f t="shared" si="37"/>
        <v>3930</v>
      </c>
      <c r="Y156" s="261">
        <v>6</v>
      </c>
      <c r="Z156" s="261">
        <v>6</v>
      </c>
      <c r="AA156" s="407" t="s">
        <v>947</v>
      </c>
      <c r="AB156" s="258" t="e">
        <v>#N/A</v>
      </c>
      <c r="AC156" s="258"/>
      <c r="AD156" s="258" t="s">
        <v>2135</v>
      </c>
      <c r="AE156" s="258" t="s">
        <v>2129</v>
      </c>
      <c r="AF156" s="259"/>
      <c r="AG156" s="260"/>
      <c r="AH156" s="259"/>
      <c r="AI156" s="259"/>
      <c r="AJ156" s="260"/>
      <c r="AK156" s="259">
        <v>26</v>
      </c>
      <c r="AL156" s="259"/>
      <c r="AM156" s="259" t="s">
        <v>3234</v>
      </c>
      <c r="AN156" s="449"/>
      <c r="AO156" s="449"/>
      <c r="AP156" s="449"/>
      <c r="AQ156" s="392" t="str">
        <f>IFERROR(VLOOKUP(BG156,#REF!,1,0),"")</f>
        <v/>
      </c>
      <c r="AS156" s="259" t="s">
        <v>3234</v>
      </c>
      <c r="BD156" s="202" t="str">
        <f t="shared" si="29"/>
        <v>쏠라티투어 럭셔리 11인승</v>
      </c>
      <c r="BE156" s="261" t="str">
        <f t="shared" si="35"/>
        <v>0019</v>
      </c>
      <c r="BF156" s="407" t="s">
        <v>947</v>
      </c>
      <c r="BG156" s="202" t="str">
        <f t="shared" si="30"/>
        <v>0019-0155</v>
      </c>
    </row>
    <row r="157" spans="1:59">
      <c r="A157" s="405">
        <v>3931</v>
      </c>
      <c r="B157" s="406">
        <v>3931</v>
      </c>
      <c r="C157" s="261" t="str">
        <f t="shared" si="31"/>
        <v>0005-0019</v>
      </c>
      <c r="D157" s="261" t="str">
        <f t="shared" si="32"/>
        <v>0005-0019-0002</v>
      </c>
      <c r="E157" s="407" t="s">
        <v>946</v>
      </c>
      <c r="F157" s="261" t="str">
        <f>TEXT(VLOOKUP(J157,'[3]1'!$B$2:$D$37,2,0),"0000")</f>
        <v>0005</v>
      </c>
      <c r="G157" s="261" t="str">
        <f t="shared" si="33"/>
        <v>0019</v>
      </c>
      <c r="H157" s="408">
        <f t="shared" si="34"/>
        <v>2</v>
      </c>
      <c r="I157" s="407" t="s">
        <v>946</v>
      </c>
      <c r="J157" s="258" t="s">
        <v>294</v>
      </c>
      <c r="K157" s="258" t="s">
        <v>2765</v>
      </c>
      <c r="L157" s="258" t="s">
        <v>2568</v>
      </c>
      <c r="M157" s="409">
        <v>139300000</v>
      </c>
      <c r="N157" s="258">
        <v>2497</v>
      </c>
      <c r="O157" s="258" t="s">
        <v>78</v>
      </c>
      <c r="P157" s="258" t="s">
        <v>2890</v>
      </c>
      <c r="Q157" s="258" t="s">
        <v>72</v>
      </c>
      <c r="R157" s="258">
        <v>11</v>
      </c>
      <c r="S157" s="410">
        <v>20</v>
      </c>
      <c r="T157" s="261">
        <v>6</v>
      </c>
      <c r="U157" s="261">
        <v>6</v>
      </c>
      <c r="V157" s="258" t="s">
        <v>3993</v>
      </c>
      <c r="W157" s="261" t="str">
        <f t="shared" si="36"/>
        <v>현대자동차쏠라티리무진 럭셔리 11인승139300000</v>
      </c>
      <c r="X157" s="411">
        <f t="shared" si="37"/>
        <v>3931</v>
      </c>
      <c r="Y157" s="261">
        <v>6</v>
      </c>
      <c r="Z157" s="261">
        <v>6</v>
      </c>
      <c r="AA157" s="407" t="s">
        <v>946</v>
      </c>
      <c r="AB157" s="258" t="e">
        <v>#N/A</v>
      </c>
      <c r="AC157" s="258"/>
      <c r="AD157" s="258" t="s">
        <v>2135</v>
      </c>
      <c r="AE157" s="258" t="s">
        <v>2129</v>
      </c>
      <c r="AF157" s="259"/>
      <c r="AG157" s="260"/>
      <c r="AH157" s="259"/>
      <c r="AI157" s="259"/>
      <c r="AJ157" s="260"/>
      <c r="AK157" s="259">
        <v>26</v>
      </c>
      <c r="AL157" s="259"/>
      <c r="AM157" s="259" t="s">
        <v>3234</v>
      </c>
      <c r="AN157" s="449"/>
      <c r="AO157" s="449"/>
      <c r="AP157" s="449"/>
      <c r="AQ157" s="392" t="str">
        <f>IFERROR(VLOOKUP(BG157,#REF!,1,0),"")</f>
        <v/>
      </c>
      <c r="AS157" s="259" t="s">
        <v>3234</v>
      </c>
      <c r="BD157" s="202" t="str">
        <f t="shared" si="29"/>
        <v>쏠라티리무진 럭셔리 11인승</v>
      </c>
      <c r="BE157" s="261" t="str">
        <f t="shared" si="35"/>
        <v>0019</v>
      </c>
      <c r="BF157" s="407" t="s">
        <v>946</v>
      </c>
      <c r="BG157" s="202" t="str">
        <f t="shared" si="30"/>
        <v>0019-0156</v>
      </c>
    </row>
    <row r="158" spans="1:59">
      <c r="A158" s="405">
        <v>3932</v>
      </c>
      <c r="B158" s="406">
        <v>3932</v>
      </c>
      <c r="C158" s="261" t="str">
        <f t="shared" si="31"/>
        <v>0005-0019</v>
      </c>
      <c r="D158" s="261" t="str">
        <f t="shared" si="32"/>
        <v>0005-0019-0003</v>
      </c>
      <c r="E158" s="407" t="s">
        <v>945</v>
      </c>
      <c r="F158" s="261" t="str">
        <f>TEXT(VLOOKUP(J158,'[3]1'!$B$2:$D$37,2,0),"0000")</f>
        <v>0005</v>
      </c>
      <c r="G158" s="261" t="str">
        <f t="shared" si="33"/>
        <v>0019</v>
      </c>
      <c r="H158" s="408">
        <f t="shared" si="34"/>
        <v>3</v>
      </c>
      <c r="I158" s="407" t="s">
        <v>945</v>
      </c>
      <c r="J158" s="258" t="s">
        <v>294</v>
      </c>
      <c r="K158" s="258" t="s">
        <v>2765</v>
      </c>
      <c r="L158" s="258" t="s">
        <v>2569</v>
      </c>
      <c r="M158" s="409">
        <v>56950000</v>
      </c>
      <c r="N158" s="258">
        <v>2497</v>
      </c>
      <c r="O158" s="258" t="s">
        <v>78</v>
      </c>
      <c r="P158" s="258" t="s">
        <v>2890</v>
      </c>
      <c r="Q158" s="258" t="s">
        <v>72</v>
      </c>
      <c r="R158" s="258">
        <v>14</v>
      </c>
      <c r="S158" s="410">
        <v>20</v>
      </c>
      <c r="T158" s="261">
        <v>6</v>
      </c>
      <c r="U158" s="261">
        <v>6</v>
      </c>
      <c r="V158" s="258" t="s">
        <v>3993</v>
      </c>
      <c r="W158" s="261" t="str">
        <f t="shared" si="36"/>
        <v>현대자동차쏠라티디럭스 14인승 (전중문)56950000</v>
      </c>
      <c r="X158" s="411">
        <f t="shared" si="37"/>
        <v>3932</v>
      </c>
      <c r="Y158" s="261">
        <v>6</v>
      </c>
      <c r="Z158" s="261">
        <v>6</v>
      </c>
      <c r="AA158" s="407" t="s">
        <v>945</v>
      </c>
      <c r="AB158" s="258" t="e">
        <v>#N/A</v>
      </c>
      <c r="AC158" s="258"/>
      <c r="AD158" s="258" t="s">
        <v>2135</v>
      </c>
      <c r="AE158" s="258" t="s">
        <v>2129</v>
      </c>
      <c r="AF158" s="259"/>
      <c r="AG158" s="260"/>
      <c r="AH158" s="259"/>
      <c r="AI158" s="259"/>
      <c r="AJ158" s="260"/>
      <c r="AK158" s="259">
        <v>26</v>
      </c>
      <c r="AL158" s="259"/>
      <c r="AM158" s="259" t="s">
        <v>3234</v>
      </c>
      <c r="AN158" s="449"/>
      <c r="AO158" s="449"/>
      <c r="AP158" s="449"/>
      <c r="AQ158" s="392" t="str">
        <f>IFERROR(VLOOKUP(BG158,#REF!,1,0),"")</f>
        <v/>
      </c>
      <c r="AS158" s="259" t="s">
        <v>3234</v>
      </c>
      <c r="BD158" s="202" t="str">
        <f t="shared" si="29"/>
        <v>쏠라티디럭스 14인승 (전중문)</v>
      </c>
      <c r="BE158" s="261" t="str">
        <f t="shared" si="35"/>
        <v>0019</v>
      </c>
      <c r="BF158" s="407" t="s">
        <v>945</v>
      </c>
      <c r="BG158" s="202" t="str">
        <f t="shared" si="30"/>
        <v>0019-0157</v>
      </c>
    </row>
    <row r="159" spans="1:59">
      <c r="A159" s="405">
        <v>3933</v>
      </c>
      <c r="B159" s="406">
        <v>3933</v>
      </c>
      <c r="C159" s="261" t="str">
        <f t="shared" si="31"/>
        <v>0005-0019</v>
      </c>
      <c r="D159" s="261" t="str">
        <f t="shared" si="32"/>
        <v>0005-0019-0004</v>
      </c>
      <c r="E159" s="407" t="s">
        <v>944</v>
      </c>
      <c r="F159" s="261" t="str">
        <f>TEXT(VLOOKUP(J159,'[3]1'!$B$2:$D$37,2,0),"0000")</f>
        <v>0005</v>
      </c>
      <c r="G159" s="261" t="str">
        <f t="shared" si="33"/>
        <v>0019</v>
      </c>
      <c r="H159" s="408">
        <f t="shared" si="34"/>
        <v>4</v>
      </c>
      <c r="I159" s="407" t="s">
        <v>944</v>
      </c>
      <c r="J159" s="258" t="s">
        <v>294</v>
      </c>
      <c r="K159" s="258" t="s">
        <v>2765</v>
      </c>
      <c r="L159" s="258" t="s">
        <v>2570</v>
      </c>
      <c r="M159" s="409">
        <v>57320000</v>
      </c>
      <c r="N159" s="258">
        <v>2497</v>
      </c>
      <c r="O159" s="258" t="s">
        <v>78</v>
      </c>
      <c r="P159" s="258" t="s">
        <v>2890</v>
      </c>
      <c r="Q159" s="258" t="s">
        <v>72</v>
      </c>
      <c r="R159" s="258">
        <v>15</v>
      </c>
      <c r="S159" s="410">
        <v>20</v>
      </c>
      <c r="T159" s="261">
        <v>6</v>
      </c>
      <c r="U159" s="261">
        <v>6</v>
      </c>
      <c r="V159" s="258" t="s">
        <v>3993</v>
      </c>
      <c r="W159" s="261" t="str">
        <f t="shared" si="36"/>
        <v>현대자동차쏠라티디럭스 15인승 (전중문)57320000</v>
      </c>
      <c r="X159" s="411">
        <f t="shared" si="37"/>
        <v>3933</v>
      </c>
      <c r="Y159" s="261">
        <v>6</v>
      </c>
      <c r="Z159" s="261">
        <v>6</v>
      </c>
      <c r="AA159" s="407" t="s">
        <v>944</v>
      </c>
      <c r="AB159" s="258" t="e">
        <v>#N/A</v>
      </c>
      <c r="AC159" s="258"/>
      <c r="AD159" s="258" t="s">
        <v>2135</v>
      </c>
      <c r="AE159" s="258" t="s">
        <v>2129</v>
      </c>
      <c r="AF159" s="259"/>
      <c r="AG159" s="260"/>
      <c r="AH159" s="259"/>
      <c r="AI159" s="259"/>
      <c r="AJ159" s="260"/>
      <c r="AK159" s="259">
        <v>26</v>
      </c>
      <c r="AL159" s="259"/>
      <c r="AM159" s="259" t="s">
        <v>3234</v>
      </c>
      <c r="AN159" s="449"/>
      <c r="AO159" s="449"/>
      <c r="AP159" s="449"/>
      <c r="AQ159" s="392" t="str">
        <f>IFERROR(VLOOKUP(BG159,#REF!,1,0),"")</f>
        <v/>
      </c>
      <c r="AS159" s="259" t="s">
        <v>3234</v>
      </c>
      <c r="BD159" s="202" t="str">
        <f t="shared" si="29"/>
        <v>쏠라티디럭스 15인승 (전중문)</v>
      </c>
      <c r="BE159" s="261" t="str">
        <f t="shared" si="35"/>
        <v>0019</v>
      </c>
      <c r="BF159" s="407" t="s">
        <v>944</v>
      </c>
      <c r="BG159" s="202" t="str">
        <f t="shared" si="30"/>
        <v>0019-0158</v>
      </c>
    </row>
    <row r="160" spans="1:59">
      <c r="A160" s="405">
        <v>3934</v>
      </c>
      <c r="B160" s="406">
        <v>3934</v>
      </c>
      <c r="C160" s="261" t="str">
        <f t="shared" si="31"/>
        <v>0005-0019</v>
      </c>
      <c r="D160" s="261" t="str">
        <f t="shared" si="32"/>
        <v>0005-0019-0005</v>
      </c>
      <c r="E160" s="407" t="s">
        <v>943</v>
      </c>
      <c r="F160" s="261" t="str">
        <f>TEXT(VLOOKUP(J160,'[3]1'!$B$2:$D$37,2,0),"0000")</f>
        <v>0005</v>
      </c>
      <c r="G160" s="261" t="str">
        <f t="shared" si="33"/>
        <v>0019</v>
      </c>
      <c r="H160" s="408">
        <f t="shared" si="34"/>
        <v>5</v>
      </c>
      <c r="I160" s="407" t="s">
        <v>943</v>
      </c>
      <c r="J160" s="258" t="s">
        <v>294</v>
      </c>
      <c r="K160" s="258" t="s">
        <v>2765</v>
      </c>
      <c r="L160" s="258" t="s">
        <v>2571</v>
      </c>
      <c r="M160" s="409">
        <v>57630000</v>
      </c>
      <c r="N160" s="258">
        <v>2497</v>
      </c>
      <c r="O160" s="258" t="s">
        <v>78</v>
      </c>
      <c r="P160" s="258" t="s">
        <v>2890</v>
      </c>
      <c r="Q160" s="258" t="s">
        <v>72</v>
      </c>
      <c r="R160" s="258">
        <v>16</v>
      </c>
      <c r="S160" s="410">
        <v>20</v>
      </c>
      <c r="T160" s="261">
        <v>6</v>
      </c>
      <c r="U160" s="261">
        <v>6</v>
      </c>
      <c r="V160" s="258" t="s">
        <v>3993</v>
      </c>
      <c r="W160" s="261" t="str">
        <f t="shared" si="36"/>
        <v>현대자동차쏠라티디럭스 16인승 (전중문)57630000</v>
      </c>
      <c r="X160" s="411">
        <f t="shared" si="37"/>
        <v>3934</v>
      </c>
      <c r="Y160" s="261">
        <v>6</v>
      </c>
      <c r="Z160" s="261">
        <v>6</v>
      </c>
      <c r="AA160" s="407" t="s">
        <v>943</v>
      </c>
      <c r="AB160" s="258" t="e">
        <v>#N/A</v>
      </c>
      <c r="AC160" s="258"/>
      <c r="AD160" s="258" t="s">
        <v>2135</v>
      </c>
      <c r="AE160" s="258" t="s">
        <v>2129</v>
      </c>
      <c r="AF160" s="259"/>
      <c r="AG160" s="260"/>
      <c r="AH160" s="259"/>
      <c r="AI160" s="259"/>
      <c r="AJ160" s="260"/>
      <c r="AK160" s="259">
        <v>26</v>
      </c>
      <c r="AL160" s="259"/>
      <c r="AM160" s="259" t="s">
        <v>3234</v>
      </c>
      <c r="AN160" s="449"/>
      <c r="AO160" s="449"/>
      <c r="AP160" s="449"/>
      <c r="AQ160" s="392" t="str">
        <f>IFERROR(VLOOKUP(BG160,#REF!,1,0),"")</f>
        <v/>
      </c>
      <c r="AS160" s="259" t="s">
        <v>3234</v>
      </c>
      <c r="BD160" s="202" t="str">
        <f t="shared" si="29"/>
        <v>쏠라티디럭스 16인승 (전중문)</v>
      </c>
      <c r="BE160" s="261" t="str">
        <f t="shared" si="35"/>
        <v>0019</v>
      </c>
      <c r="BF160" s="407" t="s">
        <v>943</v>
      </c>
      <c r="BG160" s="202" t="str">
        <f t="shared" si="30"/>
        <v>0019-0159</v>
      </c>
    </row>
    <row r="161" spans="1:59">
      <c r="A161" s="405">
        <v>3935</v>
      </c>
      <c r="B161" s="406">
        <v>3935</v>
      </c>
      <c r="C161" s="261" t="str">
        <f t="shared" si="31"/>
        <v>0005-0019</v>
      </c>
      <c r="D161" s="261" t="str">
        <f t="shared" si="32"/>
        <v>0005-0019-0006</v>
      </c>
      <c r="E161" s="407" t="s">
        <v>942</v>
      </c>
      <c r="F161" s="261" t="str">
        <f>TEXT(VLOOKUP(J161,'[3]1'!$B$2:$D$37,2,0),"0000")</f>
        <v>0005</v>
      </c>
      <c r="G161" s="261" t="str">
        <f t="shared" si="33"/>
        <v>0019</v>
      </c>
      <c r="H161" s="408">
        <f t="shared" si="34"/>
        <v>6</v>
      </c>
      <c r="I161" s="407" t="s">
        <v>942</v>
      </c>
      <c r="J161" s="258" t="s">
        <v>294</v>
      </c>
      <c r="K161" s="258" t="s">
        <v>2765</v>
      </c>
      <c r="L161" s="258" t="s">
        <v>2572</v>
      </c>
      <c r="M161" s="409">
        <v>55820000</v>
      </c>
      <c r="N161" s="258">
        <v>2497</v>
      </c>
      <c r="O161" s="258" t="s">
        <v>78</v>
      </c>
      <c r="P161" s="258" t="s">
        <v>2890</v>
      </c>
      <c r="Q161" s="258" t="s">
        <v>72</v>
      </c>
      <c r="R161" s="258">
        <v>14</v>
      </c>
      <c r="S161" s="410">
        <v>20</v>
      </c>
      <c r="T161" s="261">
        <v>6</v>
      </c>
      <c r="U161" s="261">
        <v>6</v>
      </c>
      <c r="V161" s="258" t="s">
        <v>3993</v>
      </c>
      <c r="W161" s="261" t="str">
        <f t="shared" si="36"/>
        <v>현대자동차쏠라티스탠다드 14인승 (전중문)55820000</v>
      </c>
      <c r="X161" s="411">
        <f t="shared" si="37"/>
        <v>3935</v>
      </c>
      <c r="Y161" s="261">
        <v>6</v>
      </c>
      <c r="Z161" s="261">
        <v>6</v>
      </c>
      <c r="AA161" s="407" t="s">
        <v>942</v>
      </c>
      <c r="AB161" s="258" t="e">
        <v>#N/A</v>
      </c>
      <c r="AC161" s="258"/>
      <c r="AD161" s="258" t="s">
        <v>2135</v>
      </c>
      <c r="AE161" s="258" t="s">
        <v>2129</v>
      </c>
      <c r="AF161" s="259"/>
      <c r="AG161" s="260"/>
      <c r="AH161" s="259"/>
      <c r="AI161" s="259"/>
      <c r="AJ161" s="260"/>
      <c r="AK161" s="259">
        <v>26</v>
      </c>
      <c r="AL161" s="259"/>
      <c r="AM161" s="259" t="s">
        <v>3234</v>
      </c>
      <c r="AN161" s="449"/>
      <c r="AO161" s="449"/>
      <c r="AP161" s="449"/>
      <c r="AQ161" s="392" t="str">
        <f>IFERROR(VLOOKUP(BG161,#REF!,1,0),"")</f>
        <v/>
      </c>
      <c r="AS161" s="259" t="s">
        <v>3234</v>
      </c>
      <c r="BD161" s="202" t="str">
        <f t="shared" si="29"/>
        <v>쏠라티스탠다드 14인승 (전중문)</v>
      </c>
      <c r="BE161" s="261" t="str">
        <f t="shared" si="35"/>
        <v>0019</v>
      </c>
      <c r="BF161" s="407" t="s">
        <v>942</v>
      </c>
      <c r="BG161" s="202" t="str">
        <f t="shared" si="30"/>
        <v>0019-0160</v>
      </c>
    </row>
    <row r="162" spans="1:59">
      <c r="A162" s="405">
        <v>3936</v>
      </c>
      <c r="B162" s="406">
        <v>3936</v>
      </c>
      <c r="C162" s="261" t="str">
        <f t="shared" si="31"/>
        <v>0005-0019</v>
      </c>
      <c r="D162" s="261" t="str">
        <f t="shared" si="32"/>
        <v>0005-0019-0007</v>
      </c>
      <c r="E162" s="407" t="s">
        <v>941</v>
      </c>
      <c r="F162" s="261" t="str">
        <f>TEXT(VLOOKUP(J162,'[3]1'!$B$2:$D$37,2,0),"0000")</f>
        <v>0005</v>
      </c>
      <c r="G162" s="261" t="str">
        <f t="shared" si="33"/>
        <v>0019</v>
      </c>
      <c r="H162" s="408">
        <f t="shared" si="34"/>
        <v>7</v>
      </c>
      <c r="I162" s="407" t="s">
        <v>941</v>
      </c>
      <c r="J162" s="258" t="s">
        <v>294</v>
      </c>
      <c r="K162" s="258" t="s">
        <v>2765</v>
      </c>
      <c r="L162" s="258" t="s">
        <v>2573</v>
      </c>
      <c r="M162" s="409">
        <v>63770000</v>
      </c>
      <c r="N162" s="258">
        <v>2497</v>
      </c>
      <c r="O162" s="258" t="s">
        <v>78</v>
      </c>
      <c r="P162" s="258" t="s">
        <v>2890</v>
      </c>
      <c r="Q162" s="258" t="s">
        <v>72</v>
      </c>
      <c r="R162" s="258">
        <v>15</v>
      </c>
      <c r="S162" s="410">
        <v>20</v>
      </c>
      <c r="T162" s="261">
        <v>6</v>
      </c>
      <c r="U162" s="261">
        <v>6</v>
      </c>
      <c r="V162" s="258" t="s">
        <v>3993</v>
      </c>
      <c r="W162" s="261" t="str">
        <f t="shared" si="36"/>
        <v>현대자동차쏠라티럭셔리 15인승 (전중문)63770000</v>
      </c>
      <c r="X162" s="411">
        <f t="shared" si="37"/>
        <v>3936</v>
      </c>
      <c r="Y162" s="261">
        <v>6</v>
      </c>
      <c r="Z162" s="261">
        <v>6</v>
      </c>
      <c r="AA162" s="407" t="s">
        <v>941</v>
      </c>
      <c r="AB162" s="258" t="e">
        <v>#N/A</v>
      </c>
      <c r="AC162" s="258"/>
      <c r="AD162" s="258" t="s">
        <v>2135</v>
      </c>
      <c r="AE162" s="258" t="s">
        <v>2129</v>
      </c>
      <c r="AF162" s="259"/>
      <c r="AG162" s="260"/>
      <c r="AH162" s="259"/>
      <c r="AI162" s="259"/>
      <c r="AJ162" s="260"/>
      <c r="AK162" s="259">
        <v>26</v>
      </c>
      <c r="AL162" s="259"/>
      <c r="AM162" s="259" t="s">
        <v>3234</v>
      </c>
      <c r="AN162" s="449"/>
      <c r="AO162" s="449"/>
      <c r="AP162" s="449"/>
      <c r="AQ162" s="392" t="str">
        <f>IFERROR(VLOOKUP(BG162,#REF!,1,0),"")</f>
        <v/>
      </c>
      <c r="AS162" s="259" t="s">
        <v>3234</v>
      </c>
      <c r="BD162" s="202" t="str">
        <f t="shared" si="29"/>
        <v>쏠라티럭셔리 15인승 (전중문)</v>
      </c>
      <c r="BE162" s="261" t="str">
        <f t="shared" si="35"/>
        <v>0019</v>
      </c>
      <c r="BF162" s="407" t="s">
        <v>941</v>
      </c>
      <c r="BG162" s="202" t="str">
        <f t="shared" si="30"/>
        <v>0019-0161</v>
      </c>
    </row>
    <row r="163" spans="1:59">
      <c r="A163" s="405">
        <v>3937</v>
      </c>
      <c r="B163" s="406">
        <v>3937</v>
      </c>
      <c r="C163" s="261" t="str">
        <f t="shared" si="31"/>
        <v>0005-0019</v>
      </c>
      <c r="D163" s="261" t="str">
        <f t="shared" si="32"/>
        <v>0005-0019-0008</v>
      </c>
      <c r="E163" s="407" t="s">
        <v>940</v>
      </c>
      <c r="F163" s="261" t="str">
        <f>TEXT(VLOOKUP(J163,'[3]1'!$B$2:$D$37,2,0),"0000")</f>
        <v>0005</v>
      </c>
      <c r="G163" s="261" t="str">
        <f t="shared" si="33"/>
        <v>0019</v>
      </c>
      <c r="H163" s="408">
        <f t="shared" si="34"/>
        <v>8</v>
      </c>
      <c r="I163" s="407" t="s">
        <v>940</v>
      </c>
      <c r="J163" s="258" t="s">
        <v>294</v>
      </c>
      <c r="K163" s="258" t="s">
        <v>2765</v>
      </c>
      <c r="L163" s="258" t="s">
        <v>2574</v>
      </c>
      <c r="M163" s="409">
        <v>58900000</v>
      </c>
      <c r="N163" s="258">
        <v>2497</v>
      </c>
      <c r="O163" s="258" t="s">
        <v>78</v>
      </c>
      <c r="P163" s="258" t="s">
        <v>2890</v>
      </c>
      <c r="Q163" s="258" t="s">
        <v>72</v>
      </c>
      <c r="R163" s="258">
        <v>5</v>
      </c>
      <c r="S163" s="410">
        <v>20</v>
      </c>
      <c r="T163" s="261">
        <v>6</v>
      </c>
      <c r="U163" s="261">
        <v>6</v>
      </c>
      <c r="V163" s="258" t="s">
        <v>71</v>
      </c>
      <c r="W163" s="261" t="str">
        <f t="shared" si="36"/>
        <v>현대자동차쏠라티럭셔리 14인승 (전중문)58900000</v>
      </c>
      <c r="X163" s="411">
        <f t="shared" si="37"/>
        <v>3937</v>
      </c>
      <c r="Y163" s="261">
        <v>6</v>
      </c>
      <c r="Z163" s="261">
        <v>6</v>
      </c>
      <c r="AA163" s="407" t="s">
        <v>940</v>
      </c>
      <c r="AB163" s="258" t="s">
        <v>73</v>
      </c>
      <c r="AC163" s="258"/>
      <c r="AD163" s="258" t="s">
        <v>2135</v>
      </c>
      <c r="AE163" s="258" t="s">
        <v>2129</v>
      </c>
      <c r="AF163" s="259"/>
      <c r="AG163" s="260"/>
      <c r="AH163" s="259"/>
      <c r="AI163" s="259"/>
      <c r="AJ163" s="260"/>
      <c r="AK163" s="259">
        <v>26</v>
      </c>
      <c r="AL163" s="259"/>
      <c r="AM163" s="259" t="s">
        <v>3234</v>
      </c>
      <c r="AN163" s="449"/>
      <c r="AO163" s="449"/>
      <c r="AP163" s="449"/>
      <c r="AQ163" s="392" t="str">
        <f>IFERROR(VLOOKUP(BG163,#REF!,1,0),"")</f>
        <v/>
      </c>
      <c r="AS163" s="259" t="s">
        <v>3234</v>
      </c>
      <c r="BD163" s="202" t="str">
        <f t="shared" si="29"/>
        <v>쏠라티럭셔리 14인승 (전중문)</v>
      </c>
      <c r="BE163" s="261" t="str">
        <f t="shared" si="35"/>
        <v>0019</v>
      </c>
      <c r="BF163" s="407" t="s">
        <v>940</v>
      </c>
      <c r="BG163" s="202" t="str">
        <f t="shared" si="30"/>
        <v>0019-0162</v>
      </c>
    </row>
    <row r="164" spans="1:59">
      <c r="A164" s="405">
        <v>3938</v>
      </c>
      <c r="B164" s="406">
        <v>3938</v>
      </c>
      <c r="C164" s="261" t="str">
        <f t="shared" si="31"/>
        <v>0005-0019</v>
      </c>
      <c r="D164" s="261" t="str">
        <f t="shared" si="32"/>
        <v>0005-0019-0009</v>
      </c>
      <c r="E164" s="407" t="s">
        <v>939</v>
      </c>
      <c r="F164" s="261" t="str">
        <f>TEXT(VLOOKUP(J164,'[3]1'!$B$2:$D$37,2,0),"0000")</f>
        <v>0005</v>
      </c>
      <c r="G164" s="261" t="str">
        <f t="shared" si="33"/>
        <v>0019</v>
      </c>
      <c r="H164" s="408">
        <f t="shared" si="34"/>
        <v>9</v>
      </c>
      <c r="I164" s="407" t="s">
        <v>939</v>
      </c>
      <c r="J164" s="258" t="s">
        <v>294</v>
      </c>
      <c r="K164" s="258" t="s">
        <v>2765</v>
      </c>
      <c r="L164" s="258" t="s">
        <v>2575</v>
      </c>
      <c r="M164" s="409">
        <v>56190000</v>
      </c>
      <c r="N164" s="258">
        <v>2497</v>
      </c>
      <c r="O164" s="258" t="s">
        <v>78</v>
      </c>
      <c r="P164" s="258" t="s">
        <v>2890</v>
      </c>
      <c r="Q164" s="258" t="s">
        <v>72</v>
      </c>
      <c r="R164" s="258">
        <v>7</v>
      </c>
      <c r="S164" s="410">
        <v>20</v>
      </c>
      <c r="T164" s="261">
        <v>6</v>
      </c>
      <c r="U164" s="261">
        <v>6</v>
      </c>
      <c r="V164" s="258" t="s">
        <v>71</v>
      </c>
      <c r="W164" s="261" t="str">
        <f t="shared" si="36"/>
        <v>현대자동차쏠라티스탠다드 15인승 (전중문)56190000</v>
      </c>
      <c r="X164" s="411">
        <f t="shared" si="37"/>
        <v>3938</v>
      </c>
      <c r="Y164" s="261">
        <v>6</v>
      </c>
      <c r="Z164" s="261">
        <v>6</v>
      </c>
      <c r="AA164" s="407" t="s">
        <v>939</v>
      </c>
      <c r="AB164" s="258" t="s">
        <v>73</v>
      </c>
      <c r="AC164" s="258"/>
      <c r="AD164" s="258" t="s">
        <v>2135</v>
      </c>
      <c r="AE164" s="258" t="s">
        <v>2129</v>
      </c>
      <c r="AF164" s="259"/>
      <c r="AG164" s="260"/>
      <c r="AH164" s="259"/>
      <c r="AI164" s="259"/>
      <c r="AJ164" s="260"/>
      <c r="AK164" s="259">
        <v>26</v>
      </c>
      <c r="AL164" s="259"/>
      <c r="AM164" s="259" t="s">
        <v>3234</v>
      </c>
      <c r="AN164" s="449"/>
      <c r="AO164" s="449"/>
      <c r="AP164" s="449"/>
      <c r="AQ164" s="392" t="str">
        <f>IFERROR(VLOOKUP(BG164,#REF!,1,0),"")</f>
        <v/>
      </c>
      <c r="AS164" s="259" t="s">
        <v>3234</v>
      </c>
      <c r="BD164" s="202" t="str">
        <f t="shared" si="29"/>
        <v>쏠라티스탠다드 15인승 (전중문)</v>
      </c>
      <c r="BE164" s="261" t="str">
        <f t="shared" si="35"/>
        <v>0019</v>
      </c>
      <c r="BF164" s="407" t="s">
        <v>939</v>
      </c>
      <c r="BG164" s="202" t="str">
        <f t="shared" si="30"/>
        <v>0019-0163</v>
      </c>
    </row>
    <row r="165" spans="1:59">
      <c r="A165" s="405">
        <v>3939</v>
      </c>
      <c r="B165" s="406">
        <v>3939</v>
      </c>
      <c r="C165" s="261" t="str">
        <f t="shared" si="31"/>
        <v>0005-0020</v>
      </c>
      <c r="D165" s="261" t="str">
        <f t="shared" si="32"/>
        <v>0005-0020-0001</v>
      </c>
      <c r="E165" s="407" t="s">
        <v>938</v>
      </c>
      <c r="F165" s="261" t="str">
        <f>TEXT(VLOOKUP(J165,'[3]1'!$B$2:$D$37,2,0),"0000")</f>
        <v>0005</v>
      </c>
      <c r="G165" s="261" t="str">
        <f t="shared" si="33"/>
        <v>0020</v>
      </c>
      <c r="H165" s="408">
        <f t="shared" si="34"/>
        <v>1</v>
      </c>
      <c r="I165" s="407" t="s">
        <v>938</v>
      </c>
      <c r="J165" s="258" t="s">
        <v>294</v>
      </c>
      <c r="K165" s="258" t="s">
        <v>2766</v>
      </c>
      <c r="L165" s="258" t="s">
        <v>2576</v>
      </c>
      <c r="M165" s="409">
        <v>24530000</v>
      </c>
      <c r="N165" s="258">
        <v>1598</v>
      </c>
      <c r="O165" s="258" t="s">
        <v>77</v>
      </c>
      <c r="P165" s="258" t="s">
        <v>73</v>
      </c>
      <c r="Q165" s="258" t="s">
        <v>72</v>
      </c>
      <c r="R165" s="258">
        <v>4</v>
      </c>
      <c r="S165" s="410">
        <v>6</v>
      </c>
      <c r="T165" s="261">
        <v>6</v>
      </c>
      <c r="U165" s="261">
        <v>6</v>
      </c>
      <c r="V165" s="258" t="s">
        <v>71</v>
      </c>
      <c r="W165" s="261" t="str">
        <f t="shared" si="36"/>
        <v>현대자동차아반떼올뉴 아반떼 1.6 인스퍼레이션24530000</v>
      </c>
      <c r="X165" s="411">
        <f t="shared" si="37"/>
        <v>3939</v>
      </c>
      <c r="Y165" s="261">
        <v>6</v>
      </c>
      <c r="Z165" s="261">
        <v>6</v>
      </c>
      <c r="AA165" s="407" t="s">
        <v>938</v>
      </c>
      <c r="AB165" s="258" t="s">
        <v>73</v>
      </c>
      <c r="AC165" s="258"/>
      <c r="AD165" s="258" t="s">
        <v>2130</v>
      </c>
      <c r="AE165" s="258" t="s">
        <v>2129</v>
      </c>
      <c r="AF165" s="259"/>
      <c r="AG165" s="260"/>
      <c r="AH165" s="259"/>
      <c r="AI165" s="259"/>
      <c r="AJ165" s="260"/>
      <c r="AK165" s="259">
        <v>26</v>
      </c>
      <c r="AL165" s="259"/>
      <c r="AM165" s="259" t="s">
        <v>3223</v>
      </c>
      <c r="AN165" s="449"/>
      <c r="AO165" s="449"/>
      <c r="AP165" s="449"/>
      <c r="AQ165" s="392" t="str">
        <f>IFERROR(VLOOKUP(BG165,#REF!,1,0),"")</f>
        <v/>
      </c>
      <c r="AS165" s="259" t="s">
        <v>150</v>
      </c>
      <c r="BD165" s="202" t="str">
        <f t="shared" si="29"/>
        <v>아반떼올뉴 아반떼 1.6 인스퍼레이션</v>
      </c>
      <c r="BE165" s="261" t="str">
        <f t="shared" si="35"/>
        <v>0020</v>
      </c>
      <c r="BF165" s="407" t="s">
        <v>938</v>
      </c>
      <c r="BG165" s="202" t="str">
        <f t="shared" si="30"/>
        <v>0020-0164</v>
      </c>
    </row>
    <row r="166" spans="1:59">
      <c r="A166" s="405">
        <v>3940</v>
      </c>
      <c r="B166" s="406">
        <v>3940</v>
      </c>
      <c r="C166" s="261" t="str">
        <f t="shared" si="31"/>
        <v>0005-0020</v>
      </c>
      <c r="D166" s="261" t="str">
        <f t="shared" si="32"/>
        <v>0005-0020-0002</v>
      </c>
      <c r="E166" s="407" t="s">
        <v>937</v>
      </c>
      <c r="F166" s="261" t="str">
        <f>TEXT(VLOOKUP(J166,'[3]1'!$B$2:$D$37,2,0),"0000")</f>
        <v>0005</v>
      </c>
      <c r="G166" s="261" t="str">
        <f t="shared" si="33"/>
        <v>0020</v>
      </c>
      <c r="H166" s="408">
        <f t="shared" si="34"/>
        <v>2</v>
      </c>
      <c r="I166" s="407" t="s">
        <v>937</v>
      </c>
      <c r="J166" s="258" t="s">
        <v>294</v>
      </c>
      <c r="K166" s="258" t="s">
        <v>2766</v>
      </c>
      <c r="L166" s="258" t="s">
        <v>2577</v>
      </c>
      <c r="M166" s="409">
        <v>17170000</v>
      </c>
      <c r="N166" s="258">
        <v>1598</v>
      </c>
      <c r="O166" s="258" t="s">
        <v>77</v>
      </c>
      <c r="P166" s="258" t="s">
        <v>73</v>
      </c>
      <c r="Q166" s="258" t="s">
        <v>72</v>
      </c>
      <c r="R166" s="258">
        <v>5</v>
      </c>
      <c r="S166" s="410">
        <v>6</v>
      </c>
      <c r="T166" s="261">
        <v>6</v>
      </c>
      <c r="U166" s="261">
        <v>6</v>
      </c>
      <c r="V166" s="258" t="s">
        <v>3329</v>
      </c>
      <c r="W166" s="261" t="str">
        <f t="shared" si="36"/>
        <v>현대자동차아반떼올뉴 아반떼 1.6 스마트17170000</v>
      </c>
      <c r="X166" s="411">
        <f t="shared" si="37"/>
        <v>3940</v>
      </c>
      <c r="Y166" s="261">
        <v>6</v>
      </c>
      <c r="Z166" s="261">
        <v>6</v>
      </c>
      <c r="AA166" s="407" t="s">
        <v>937</v>
      </c>
      <c r="AB166" s="258" t="s">
        <v>3332</v>
      </c>
      <c r="AC166" s="258"/>
      <c r="AD166" s="258" t="s">
        <v>2130</v>
      </c>
      <c r="AE166" s="258" t="s">
        <v>2129</v>
      </c>
      <c r="AF166" s="259"/>
      <c r="AG166" s="260"/>
      <c r="AH166" s="259"/>
      <c r="AI166" s="259"/>
      <c r="AJ166" s="260"/>
      <c r="AK166" s="259">
        <v>26</v>
      </c>
      <c r="AL166" s="259"/>
      <c r="AM166" s="259" t="s">
        <v>3223</v>
      </c>
      <c r="AN166" s="449"/>
      <c r="AO166" s="449"/>
      <c r="AP166" s="449"/>
      <c r="AQ166" s="392" t="str">
        <f>IFERROR(VLOOKUP(BG166,#REF!,1,0),"")</f>
        <v/>
      </c>
      <c r="AS166" s="259" t="s">
        <v>150</v>
      </c>
      <c r="BD166" s="202" t="str">
        <f t="shared" si="29"/>
        <v>아반떼올뉴 아반떼 1.6 스마트</v>
      </c>
      <c r="BE166" s="261" t="str">
        <f t="shared" si="35"/>
        <v>0020</v>
      </c>
      <c r="BF166" s="407" t="s">
        <v>937</v>
      </c>
      <c r="BG166" s="202" t="str">
        <f t="shared" si="30"/>
        <v>0020-0165</v>
      </c>
    </row>
    <row r="167" spans="1:59">
      <c r="A167" s="405">
        <v>3941</v>
      </c>
      <c r="B167" s="406">
        <v>3941</v>
      </c>
      <c r="C167" s="261" t="str">
        <f t="shared" si="31"/>
        <v>0005-0020</v>
      </c>
      <c r="D167" s="261" t="str">
        <f t="shared" si="32"/>
        <v>0005-0020-0003</v>
      </c>
      <c r="E167" s="407" t="s">
        <v>936</v>
      </c>
      <c r="F167" s="261" t="str">
        <f>TEXT(VLOOKUP(J167,'[3]1'!$B$2:$D$37,2,0),"0000")</f>
        <v>0005</v>
      </c>
      <c r="G167" s="261" t="str">
        <f t="shared" si="33"/>
        <v>0020</v>
      </c>
      <c r="H167" s="408">
        <f t="shared" si="34"/>
        <v>3</v>
      </c>
      <c r="I167" s="407" t="s">
        <v>936</v>
      </c>
      <c r="J167" s="258" t="s">
        <v>294</v>
      </c>
      <c r="K167" s="258" t="s">
        <v>2766</v>
      </c>
      <c r="L167" s="258" t="s">
        <v>2578</v>
      </c>
      <c r="M167" s="409">
        <v>19480000</v>
      </c>
      <c r="N167" s="258">
        <v>1598</v>
      </c>
      <c r="O167" s="258" t="s">
        <v>77</v>
      </c>
      <c r="P167" s="258" t="s">
        <v>73</v>
      </c>
      <c r="Q167" s="258" t="s">
        <v>72</v>
      </c>
      <c r="R167" s="258">
        <v>5</v>
      </c>
      <c r="S167" s="410">
        <v>6</v>
      </c>
      <c r="T167" s="261">
        <v>6</v>
      </c>
      <c r="U167" s="261">
        <v>6</v>
      </c>
      <c r="V167" s="258" t="s">
        <v>3329</v>
      </c>
      <c r="W167" s="261" t="str">
        <f t="shared" si="36"/>
        <v>현대자동차아반떼올뉴 아반떼 1.6 모던19480000</v>
      </c>
      <c r="X167" s="411">
        <f t="shared" si="37"/>
        <v>3941</v>
      </c>
      <c r="Y167" s="261">
        <v>6</v>
      </c>
      <c r="Z167" s="261">
        <v>6</v>
      </c>
      <c r="AA167" s="407" t="s">
        <v>936</v>
      </c>
      <c r="AB167" s="258" t="s">
        <v>3332</v>
      </c>
      <c r="AC167" s="258"/>
      <c r="AD167" s="258" t="s">
        <v>2130</v>
      </c>
      <c r="AE167" s="258" t="s">
        <v>2129</v>
      </c>
      <c r="AF167" s="259"/>
      <c r="AG167" s="260"/>
      <c r="AH167" s="259"/>
      <c r="AI167" s="259"/>
      <c r="AJ167" s="260"/>
      <c r="AK167" s="259">
        <v>26</v>
      </c>
      <c r="AL167" s="259"/>
      <c r="AM167" s="259" t="s">
        <v>3223</v>
      </c>
      <c r="AN167" s="449"/>
      <c r="AO167" s="449"/>
      <c r="AP167" s="449"/>
      <c r="AQ167" s="392" t="str">
        <f>IFERROR(VLOOKUP(BG167,#REF!,1,0),"")</f>
        <v/>
      </c>
      <c r="AS167" s="259" t="s">
        <v>150</v>
      </c>
      <c r="BD167" s="202" t="str">
        <f t="shared" si="29"/>
        <v>아반떼올뉴 아반떼 1.6 모던</v>
      </c>
      <c r="BE167" s="261" t="str">
        <f t="shared" si="35"/>
        <v>0020</v>
      </c>
      <c r="BF167" s="407" t="s">
        <v>936</v>
      </c>
      <c r="BG167" s="202" t="str">
        <f t="shared" si="30"/>
        <v>0020-0166</v>
      </c>
    </row>
    <row r="168" spans="1:59">
      <c r="A168" s="405">
        <v>3942</v>
      </c>
      <c r="B168" s="406">
        <v>3942</v>
      </c>
      <c r="C168" s="261" t="str">
        <f t="shared" si="31"/>
        <v>0005-0020</v>
      </c>
      <c r="D168" s="261" t="str">
        <f t="shared" si="32"/>
        <v>0005-0020-0004</v>
      </c>
      <c r="E168" s="407" t="s">
        <v>935</v>
      </c>
      <c r="F168" s="261" t="str">
        <f>TEXT(VLOOKUP(J168,'[3]1'!$B$2:$D$37,2,0),"0000")</f>
        <v>0005</v>
      </c>
      <c r="G168" s="261" t="str">
        <f t="shared" si="33"/>
        <v>0020</v>
      </c>
      <c r="H168" s="408">
        <f t="shared" si="34"/>
        <v>4</v>
      </c>
      <c r="I168" s="407" t="s">
        <v>935</v>
      </c>
      <c r="J168" s="258" t="s">
        <v>294</v>
      </c>
      <c r="K168" s="258" t="s">
        <v>2766</v>
      </c>
      <c r="L168" s="258" t="s">
        <v>2906</v>
      </c>
      <c r="M168" s="409">
        <v>23750000</v>
      </c>
      <c r="N168" s="258">
        <v>1598</v>
      </c>
      <c r="O168" s="258" t="s">
        <v>77</v>
      </c>
      <c r="P168" s="258" t="s">
        <v>73</v>
      </c>
      <c r="Q168" s="258" t="s">
        <v>72</v>
      </c>
      <c r="R168" s="258">
        <v>5</v>
      </c>
      <c r="S168" s="410">
        <v>6</v>
      </c>
      <c r="T168" s="261">
        <v>6</v>
      </c>
      <c r="U168" s="261">
        <v>6</v>
      </c>
      <c r="V168" s="258" t="s">
        <v>71</v>
      </c>
      <c r="W168" s="261" t="str">
        <f t="shared" si="36"/>
        <v>현대자동차아반떼1.6터보(N라인) 스포츠 A/T23750000</v>
      </c>
      <c r="X168" s="411">
        <f t="shared" si="37"/>
        <v>3942</v>
      </c>
      <c r="Y168" s="261">
        <v>6</v>
      </c>
      <c r="Z168" s="261">
        <v>6</v>
      </c>
      <c r="AA168" s="407" t="s">
        <v>935</v>
      </c>
      <c r="AB168" s="414" t="s">
        <v>73</v>
      </c>
      <c r="AC168" s="258"/>
      <c r="AD168" s="258">
        <v>2</v>
      </c>
      <c r="AE168" s="258">
        <v>0</v>
      </c>
      <c r="AF168" s="259"/>
      <c r="AG168" s="260"/>
      <c r="AH168" s="259"/>
      <c r="AI168" s="259"/>
      <c r="AJ168" s="260"/>
      <c r="AK168" s="259">
        <v>26</v>
      </c>
      <c r="AL168" s="259"/>
      <c r="AM168" s="259" t="s">
        <v>3223</v>
      </c>
      <c r="AN168" s="449"/>
      <c r="AO168" s="449"/>
      <c r="AP168" s="449"/>
      <c r="AQ168" s="392" t="str">
        <f>IFERROR(VLOOKUP(BG168,#REF!,1,0),"")</f>
        <v/>
      </c>
      <c r="AS168" s="259" t="s">
        <v>150</v>
      </c>
      <c r="BD168" s="202" t="str">
        <f t="shared" si="29"/>
        <v>아반떼1.6터보(N라인) 스포츠 A/T</v>
      </c>
      <c r="BE168" s="261" t="str">
        <f t="shared" si="35"/>
        <v>0020</v>
      </c>
      <c r="BF168" s="407" t="s">
        <v>935</v>
      </c>
      <c r="BG168" s="202" t="str">
        <f t="shared" si="30"/>
        <v>0020-0167</v>
      </c>
    </row>
    <row r="169" spans="1:59">
      <c r="A169" s="405">
        <v>3943</v>
      </c>
      <c r="B169" s="406">
        <v>3943</v>
      </c>
      <c r="C169" s="261" t="str">
        <f t="shared" si="31"/>
        <v>0005-0020</v>
      </c>
      <c r="D169" s="261" t="str">
        <f t="shared" si="32"/>
        <v>0005-0020-0005</v>
      </c>
      <c r="E169" s="407" t="s">
        <v>934</v>
      </c>
      <c r="F169" s="261" t="str">
        <f>TEXT(VLOOKUP(J169,'[3]1'!$B$2:$D$37,2,0),"0000")</f>
        <v>0005</v>
      </c>
      <c r="G169" s="261" t="str">
        <f t="shared" si="33"/>
        <v>0020</v>
      </c>
      <c r="H169" s="408">
        <f t="shared" si="34"/>
        <v>5</v>
      </c>
      <c r="I169" s="407" t="s">
        <v>934</v>
      </c>
      <c r="J169" s="258" t="s">
        <v>294</v>
      </c>
      <c r="K169" s="258" t="s">
        <v>2766</v>
      </c>
      <c r="L169" s="266" t="s">
        <v>2935</v>
      </c>
      <c r="M169" s="316">
        <v>15700000</v>
      </c>
      <c r="N169" s="266">
        <v>1598</v>
      </c>
      <c r="O169" s="258" t="s">
        <v>77</v>
      </c>
      <c r="P169" s="258" t="s">
        <v>73</v>
      </c>
      <c r="Q169" s="258" t="s">
        <v>72</v>
      </c>
      <c r="R169" s="258">
        <v>5</v>
      </c>
      <c r="S169" s="410">
        <v>6</v>
      </c>
      <c r="T169" s="261">
        <v>6</v>
      </c>
      <c r="U169" s="261">
        <v>6</v>
      </c>
      <c r="V169" s="258" t="s">
        <v>71</v>
      </c>
      <c r="W169" s="261" t="str">
        <f t="shared" si="36"/>
        <v>현대자동차아반떼1.6 가솔린 터보 스마트 M/T15700000</v>
      </c>
      <c r="X169" s="411">
        <f t="shared" si="37"/>
        <v>3943</v>
      </c>
      <c r="Y169" s="261">
        <v>6</v>
      </c>
      <c r="Z169" s="261">
        <v>6</v>
      </c>
      <c r="AA169" s="407" t="s">
        <v>934</v>
      </c>
      <c r="AB169" s="414" t="s">
        <v>73</v>
      </c>
      <c r="AC169" s="258"/>
      <c r="AD169" s="258" t="s">
        <v>2130</v>
      </c>
      <c r="AE169" s="258" t="s">
        <v>2129</v>
      </c>
      <c r="AF169" s="259"/>
      <c r="AG169" s="260"/>
      <c r="AH169" s="259"/>
      <c r="AI169" s="259"/>
      <c r="AJ169" s="260"/>
      <c r="AK169" s="259">
        <v>26</v>
      </c>
      <c r="AL169" s="259"/>
      <c r="AM169" s="259" t="s">
        <v>3223</v>
      </c>
      <c r="AN169" s="449"/>
      <c r="AO169" s="449"/>
      <c r="AP169" s="449"/>
      <c r="AQ169" s="392" t="str">
        <f>IFERROR(VLOOKUP(BG169,#REF!,1,0),"")</f>
        <v/>
      </c>
      <c r="AS169" s="259" t="s">
        <v>150</v>
      </c>
      <c r="BD169" s="202" t="str">
        <f t="shared" si="29"/>
        <v>아반떼1.6 가솔린 터보 스마트 M/T</v>
      </c>
      <c r="BE169" s="261" t="str">
        <f t="shared" si="35"/>
        <v>0020</v>
      </c>
      <c r="BF169" s="407" t="s">
        <v>934</v>
      </c>
      <c r="BG169" s="202" t="str">
        <f t="shared" si="30"/>
        <v>0020-0168</v>
      </c>
    </row>
    <row r="170" spans="1:59">
      <c r="A170" s="405">
        <v>3944</v>
      </c>
      <c r="B170" s="406">
        <v>3944</v>
      </c>
      <c r="C170" s="261" t="str">
        <f t="shared" si="31"/>
        <v>0005-0020</v>
      </c>
      <c r="D170" s="261" t="str">
        <f t="shared" si="32"/>
        <v>0005-0020-0006</v>
      </c>
      <c r="E170" s="407" t="s">
        <v>933</v>
      </c>
      <c r="F170" s="261" t="str">
        <f>TEXT(VLOOKUP(J170,'[3]1'!$B$2:$D$37,2,0),"0000")</f>
        <v>0005</v>
      </c>
      <c r="G170" s="261" t="str">
        <f t="shared" si="33"/>
        <v>0020</v>
      </c>
      <c r="H170" s="408">
        <f t="shared" si="34"/>
        <v>6</v>
      </c>
      <c r="I170" s="407" t="s">
        <v>933</v>
      </c>
      <c r="J170" s="258" t="s">
        <v>294</v>
      </c>
      <c r="K170" s="258" t="s">
        <v>2766</v>
      </c>
      <c r="L170" s="266" t="s">
        <v>2936</v>
      </c>
      <c r="M170" s="316">
        <v>21790000</v>
      </c>
      <c r="N170" s="266">
        <v>1598</v>
      </c>
      <c r="O170" s="258" t="s">
        <v>77</v>
      </c>
      <c r="P170" s="258" t="s">
        <v>73</v>
      </c>
      <c r="Q170" s="258" t="s">
        <v>72</v>
      </c>
      <c r="R170" s="258">
        <v>5</v>
      </c>
      <c r="S170" s="410">
        <v>6</v>
      </c>
      <c r="T170" s="261">
        <v>6</v>
      </c>
      <c r="U170" s="261">
        <v>6</v>
      </c>
      <c r="V170" s="258" t="s">
        <v>71</v>
      </c>
      <c r="W170" s="261" t="str">
        <f t="shared" si="36"/>
        <v>현대자동차아반떼1.6가솔린 터보 N스포츠 M/T21790000</v>
      </c>
      <c r="X170" s="411">
        <f t="shared" si="37"/>
        <v>3944</v>
      </c>
      <c r="Y170" s="261">
        <v>6</v>
      </c>
      <c r="Z170" s="261">
        <v>6</v>
      </c>
      <c r="AA170" s="407" t="s">
        <v>933</v>
      </c>
      <c r="AB170" s="414" t="s">
        <v>73</v>
      </c>
      <c r="AC170" s="258"/>
      <c r="AD170" s="258" t="s">
        <v>2130</v>
      </c>
      <c r="AE170" s="258" t="s">
        <v>2129</v>
      </c>
      <c r="AF170" s="259"/>
      <c r="AG170" s="260"/>
      <c r="AH170" s="259"/>
      <c r="AI170" s="259"/>
      <c r="AJ170" s="260"/>
      <c r="AK170" s="259">
        <v>26</v>
      </c>
      <c r="AL170" s="259"/>
      <c r="AM170" s="259" t="s">
        <v>3223</v>
      </c>
      <c r="AN170" s="449"/>
      <c r="AO170" s="449"/>
      <c r="AP170" s="449"/>
      <c r="AQ170" s="392" t="str">
        <f>IFERROR(VLOOKUP(BG170,#REF!,1,0),"")</f>
        <v/>
      </c>
      <c r="AS170" s="259" t="s">
        <v>150</v>
      </c>
      <c r="BD170" s="202" t="str">
        <f t="shared" si="29"/>
        <v>아반떼1.6가솔린 터보 N스포츠 M/T</v>
      </c>
      <c r="BE170" s="261" t="str">
        <f t="shared" si="35"/>
        <v>0020</v>
      </c>
      <c r="BF170" s="407" t="s">
        <v>933</v>
      </c>
      <c r="BG170" s="202" t="str">
        <f t="shared" si="30"/>
        <v>0020-0169</v>
      </c>
    </row>
    <row r="171" spans="1:59">
      <c r="A171" s="405">
        <v>3945</v>
      </c>
      <c r="B171" s="406">
        <v>3945</v>
      </c>
      <c r="C171" s="261" t="str">
        <f t="shared" si="31"/>
        <v>0005-0020</v>
      </c>
      <c r="D171" s="261" t="str">
        <f t="shared" si="32"/>
        <v>0005-0020-0007</v>
      </c>
      <c r="E171" s="407" t="s">
        <v>932</v>
      </c>
      <c r="F171" s="261" t="str">
        <f>TEXT(VLOOKUP(J171,'[3]1'!$B$2:$D$37,2,0),"0000")</f>
        <v>0005</v>
      </c>
      <c r="G171" s="261" t="str">
        <f t="shared" si="33"/>
        <v>0020</v>
      </c>
      <c r="H171" s="408">
        <f t="shared" si="34"/>
        <v>7</v>
      </c>
      <c r="I171" s="407" t="s">
        <v>932</v>
      </c>
      <c r="J171" s="258" t="s">
        <v>294</v>
      </c>
      <c r="K171" s="258" t="s">
        <v>2766</v>
      </c>
      <c r="L171" s="266" t="s">
        <v>2937</v>
      </c>
      <c r="M171" s="316">
        <v>23750000</v>
      </c>
      <c r="N171" s="266">
        <v>1598</v>
      </c>
      <c r="O171" s="258" t="s">
        <v>77</v>
      </c>
      <c r="P171" s="258" t="s">
        <v>73</v>
      </c>
      <c r="Q171" s="258" t="s">
        <v>72</v>
      </c>
      <c r="R171" s="258">
        <v>5</v>
      </c>
      <c r="S171" s="410">
        <v>6</v>
      </c>
      <c r="T171" s="261">
        <v>6</v>
      </c>
      <c r="U171" s="261">
        <v>6</v>
      </c>
      <c r="V171" s="258" t="s">
        <v>71</v>
      </c>
      <c r="W171" s="261" t="str">
        <f t="shared" si="36"/>
        <v>현대자동차아반떼1.6가솔린 터보 N 스포츠 A/T23750000</v>
      </c>
      <c r="X171" s="411">
        <f t="shared" si="37"/>
        <v>3945</v>
      </c>
      <c r="Y171" s="261">
        <v>6</v>
      </c>
      <c r="Z171" s="261">
        <v>6</v>
      </c>
      <c r="AA171" s="407" t="s">
        <v>932</v>
      </c>
      <c r="AB171" s="414" t="s">
        <v>73</v>
      </c>
      <c r="AC171" s="258"/>
      <c r="AD171" s="258">
        <v>2</v>
      </c>
      <c r="AE171" s="258">
        <v>0</v>
      </c>
      <c r="AF171" s="259"/>
      <c r="AG171" s="260"/>
      <c r="AH171" s="259"/>
      <c r="AI171" s="259"/>
      <c r="AJ171" s="260"/>
      <c r="AK171" s="259">
        <v>26</v>
      </c>
      <c r="AL171" s="259"/>
      <c r="AM171" s="259" t="s">
        <v>3223</v>
      </c>
      <c r="AN171" s="449"/>
      <c r="AO171" s="449"/>
      <c r="AP171" s="449"/>
      <c r="AQ171" s="392" t="str">
        <f>IFERROR(VLOOKUP(BG171,#REF!,1,0),"")</f>
        <v/>
      </c>
      <c r="AS171" s="259" t="s">
        <v>150</v>
      </c>
      <c r="BD171" s="202" t="str">
        <f t="shared" si="29"/>
        <v>아반떼1.6가솔린 터보 N 스포츠 A/T</v>
      </c>
      <c r="BE171" s="261" t="str">
        <f t="shared" si="35"/>
        <v>0020</v>
      </c>
      <c r="BF171" s="407" t="s">
        <v>932</v>
      </c>
      <c r="BG171" s="202" t="str">
        <f t="shared" si="30"/>
        <v>0020-0170</v>
      </c>
    </row>
    <row r="172" spans="1:59">
      <c r="A172" s="405">
        <v>3946</v>
      </c>
      <c r="B172" s="406">
        <v>3946</v>
      </c>
      <c r="C172" s="261" t="str">
        <f t="shared" si="31"/>
        <v>0005-0020</v>
      </c>
      <c r="D172" s="261" t="str">
        <f t="shared" si="32"/>
        <v>0005-0020-0008</v>
      </c>
      <c r="E172" s="407" t="s">
        <v>931</v>
      </c>
      <c r="F172" s="261" t="str">
        <f>TEXT(VLOOKUP(J172,'[3]1'!$B$2:$D$37,2,0),"0000")</f>
        <v>0005</v>
      </c>
      <c r="G172" s="261" t="str">
        <f t="shared" si="33"/>
        <v>0020</v>
      </c>
      <c r="H172" s="408">
        <f t="shared" si="34"/>
        <v>8</v>
      </c>
      <c r="I172" s="407" t="s">
        <v>931</v>
      </c>
      <c r="J172" s="258" t="s">
        <v>294</v>
      </c>
      <c r="K172" s="258" t="s">
        <v>2766</v>
      </c>
      <c r="L172" s="266" t="s">
        <v>2938</v>
      </c>
      <c r="M172" s="316">
        <v>27790000</v>
      </c>
      <c r="N172" s="266">
        <v>1598</v>
      </c>
      <c r="O172" s="258" t="s">
        <v>77</v>
      </c>
      <c r="P172" s="258" t="s">
        <v>73</v>
      </c>
      <c r="Q172" s="258" t="s">
        <v>72</v>
      </c>
      <c r="R172" s="258">
        <v>6</v>
      </c>
      <c r="S172" s="410">
        <v>6</v>
      </c>
      <c r="T172" s="261">
        <v>6</v>
      </c>
      <c r="U172" s="261">
        <v>6</v>
      </c>
      <c r="V172" s="258" t="s">
        <v>71</v>
      </c>
      <c r="W172" s="261" t="str">
        <f t="shared" si="36"/>
        <v>현대자동차아반떼1.6가솔린 터보 N 인스퍼레이션 A/T27790000</v>
      </c>
      <c r="X172" s="411">
        <f t="shared" si="37"/>
        <v>3946</v>
      </c>
      <c r="Y172" s="261">
        <v>6</v>
      </c>
      <c r="Z172" s="261">
        <v>6</v>
      </c>
      <c r="AA172" s="407" t="s">
        <v>931</v>
      </c>
      <c r="AB172" s="414" t="s">
        <v>73</v>
      </c>
      <c r="AC172" s="258"/>
      <c r="AD172" s="258" t="s">
        <v>2130</v>
      </c>
      <c r="AE172" s="258" t="s">
        <v>2129</v>
      </c>
      <c r="AF172" s="259"/>
      <c r="AG172" s="260"/>
      <c r="AH172" s="259"/>
      <c r="AI172" s="259"/>
      <c r="AJ172" s="260"/>
      <c r="AK172" s="259">
        <v>26</v>
      </c>
      <c r="AL172" s="259"/>
      <c r="AM172" s="259" t="s">
        <v>3223</v>
      </c>
      <c r="AN172" s="449"/>
      <c r="AO172" s="449"/>
      <c r="AP172" s="449"/>
      <c r="AQ172" s="392" t="str">
        <f>IFERROR(VLOOKUP(BG172,#REF!,1,0),"")</f>
        <v/>
      </c>
      <c r="AS172" s="259" t="s">
        <v>150</v>
      </c>
      <c r="BD172" s="202" t="str">
        <f t="shared" si="29"/>
        <v>아반떼1.6가솔린 터보 N 인스퍼레이션 A/T</v>
      </c>
      <c r="BE172" s="261" t="str">
        <f t="shared" si="35"/>
        <v>0020</v>
      </c>
      <c r="BF172" s="407" t="s">
        <v>931</v>
      </c>
      <c r="BG172" s="202" t="str">
        <f t="shared" si="30"/>
        <v>0020-0171</v>
      </c>
    </row>
    <row r="173" spans="1:59">
      <c r="A173" s="405">
        <v>3947</v>
      </c>
      <c r="B173" s="406">
        <v>3947</v>
      </c>
      <c r="C173" s="261" t="str">
        <f t="shared" si="31"/>
        <v>0005-0020</v>
      </c>
      <c r="D173" s="261" t="str">
        <f t="shared" si="32"/>
        <v>0005-0020-0009</v>
      </c>
      <c r="E173" s="407" t="s">
        <v>930</v>
      </c>
      <c r="F173" s="261" t="str">
        <f>TEXT(VLOOKUP(J173,'[3]1'!$B$2:$D$37,2,0),"0000")</f>
        <v>0005</v>
      </c>
      <c r="G173" s="261" t="str">
        <f t="shared" si="33"/>
        <v>0020</v>
      </c>
      <c r="H173" s="408">
        <f t="shared" si="34"/>
        <v>9</v>
      </c>
      <c r="I173" s="407" t="s">
        <v>930</v>
      </c>
      <c r="J173" s="258" t="s">
        <v>294</v>
      </c>
      <c r="K173" s="413" t="s">
        <v>2766</v>
      </c>
      <c r="L173" s="413" t="s">
        <v>2788</v>
      </c>
      <c r="M173" s="415">
        <v>28140000</v>
      </c>
      <c r="N173" s="416">
        <v>1580</v>
      </c>
      <c r="O173" s="413" t="s">
        <v>74</v>
      </c>
      <c r="P173" s="413" t="s">
        <v>73</v>
      </c>
      <c r="Q173" s="413" t="s">
        <v>72</v>
      </c>
      <c r="R173" s="416">
        <v>5</v>
      </c>
      <c r="S173" s="410">
        <v>2</v>
      </c>
      <c r="T173" s="261">
        <v>6</v>
      </c>
      <c r="U173" s="261">
        <v>6</v>
      </c>
      <c r="V173" s="258" t="s">
        <v>1914</v>
      </c>
      <c r="W173" s="261" t="str">
        <f t="shared" si="36"/>
        <v>현대자동차아반떼G1.6 하이브리드 인스퍼레이션28140000</v>
      </c>
      <c r="X173" s="411">
        <f t="shared" si="37"/>
        <v>3947</v>
      </c>
      <c r="Y173" s="261">
        <v>6</v>
      </c>
      <c r="Z173" s="261">
        <v>6</v>
      </c>
      <c r="AA173" s="407" t="s">
        <v>930</v>
      </c>
      <c r="AB173" s="258" t="s">
        <v>1431</v>
      </c>
      <c r="AC173" s="258"/>
      <c r="AD173" s="258">
        <v>4</v>
      </c>
      <c r="AE173" s="258">
        <v>0</v>
      </c>
      <c r="AF173" s="259"/>
      <c r="AG173" s="260"/>
      <c r="AH173" s="259"/>
      <c r="AI173" s="259"/>
      <c r="AJ173" s="260"/>
      <c r="AK173" s="259">
        <v>26</v>
      </c>
      <c r="AL173" s="259"/>
      <c r="AM173" s="259" t="s">
        <v>3223</v>
      </c>
      <c r="AN173" s="449"/>
      <c r="AO173" s="449"/>
      <c r="AP173" s="449"/>
      <c r="AQ173" s="392" t="str">
        <f>IFERROR(VLOOKUP(BG173,#REF!,1,0),"")</f>
        <v/>
      </c>
      <c r="AS173" s="259" t="s">
        <v>3223</v>
      </c>
      <c r="BD173" s="202" t="str">
        <f t="shared" si="29"/>
        <v>아반떼G1.6 하이브리드 인스퍼레이션</v>
      </c>
      <c r="BE173" s="261" t="str">
        <f t="shared" si="35"/>
        <v>0020</v>
      </c>
      <c r="BF173" s="407" t="s">
        <v>930</v>
      </c>
      <c r="BG173" s="202" t="str">
        <f t="shared" si="30"/>
        <v>0020-0172</v>
      </c>
    </row>
    <row r="174" spans="1:59">
      <c r="A174" s="405">
        <v>3948</v>
      </c>
      <c r="B174" s="406">
        <v>3948</v>
      </c>
      <c r="C174" s="261" t="str">
        <f t="shared" si="31"/>
        <v>0005-0020</v>
      </c>
      <c r="D174" s="261" t="str">
        <f t="shared" si="32"/>
        <v>0005-0020-0010</v>
      </c>
      <c r="E174" s="407" t="s">
        <v>929</v>
      </c>
      <c r="F174" s="261" t="str">
        <f>TEXT(VLOOKUP(J174,'[3]1'!$B$2:$D$37,2,0),"0000")</f>
        <v>0005</v>
      </c>
      <c r="G174" s="261" t="str">
        <f t="shared" si="33"/>
        <v>0020</v>
      </c>
      <c r="H174" s="408">
        <f t="shared" si="34"/>
        <v>10</v>
      </c>
      <c r="I174" s="407" t="s">
        <v>929</v>
      </c>
      <c r="J174" s="258" t="s">
        <v>294</v>
      </c>
      <c r="K174" s="413" t="s">
        <v>2766</v>
      </c>
      <c r="L174" s="413" t="s">
        <v>2789</v>
      </c>
      <c r="M174" s="415">
        <v>23770000</v>
      </c>
      <c r="N174" s="416">
        <v>1580</v>
      </c>
      <c r="O174" s="413" t="s">
        <v>74</v>
      </c>
      <c r="P174" s="413" t="s">
        <v>73</v>
      </c>
      <c r="Q174" s="413" t="s">
        <v>72</v>
      </c>
      <c r="R174" s="416">
        <v>5</v>
      </c>
      <c r="S174" s="410">
        <v>2</v>
      </c>
      <c r="T174" s="261">
        <v>6</v>
      </c>
      <c r="U174" s="261">
        <v>6</v>
      </c>
      <c r="V174" s="258" t="s">
        <v>1914</v>
      </c>
      <c r="W174" s="261" t="str">
        <f t="shared" si="36"/>
        <v>현대자동차아반떼G1.6 하이브리드 모던23770000</v>
      </c>
      <c r="X174" s="411">
        <f t="shared" si="37"/>
        <v>3948</v>
      </c>
      <c r="Y174" s="261">
        <v>6</v>
      </c>
      <c r="Z174" s="261">
        <v>6</v>
      </c>
      <c r="AA174" s="407" t="s">
        <v>929</v>
      </c>
      <c r="AB174" s="258" t="s">
        <v>1431</v>
      </c>
      <c r="AC174" s="258"/>
      <c r="AD174" s="258">
        <v>4</v>
      </c>
      <c r="AE174" s="258">
        <v>0</v>
      </c>
      <c r="AF174" s="259"/>
      <c r="AG174" s="260"/>
      <c r="AH174" s="259"/>
      <c r="AI174" s="259"/>
      <c r="AJ174" s="260"/>
      <c r="AK174" s="259">
        <v>26</v>
      </c>
      <c r="AL174" s="259"/>
      <c r="AM174" s="259" t="s">
        <v>3223</v>
      </c>
      <c r="AN174" s="449"/>
      <c r="AO174" s="449"/>
      <c r="AP174" s="449"/>
      <c r="AQ174" s="392" t="str">
        <f>IFERROR(VLOOKUP(BG174,#REF!,1,0),"")</f>
        <v/>
      </c>
      <c r="AS174" s="259" t="s">
        <v>3223</v>
      </c>
      <c r="BD174" s="202" t="str">
        <f t="shared" si="29"/>
        <v>아반떼G1.6 하이브리드 모던</v>
      </c>
      <c r="BE174" s="261" t="str">
        <f t="shared" si="35"/>
        <v>0020</v>
      </c>
      <c r="BF174" s="407" t="s">
        <v>929</v>
      </c>
      <c r="BG174" s="202" t="str">
        <f t="shared" si="30"/>
        <v>0020-0173</v>
      </c>
    </row>
    <row r="175" spans="1:59">
      <c r="A175" s="405">
        <v>3949</v>
      </c>
      <c r="B175" s="406">
        <v>3949</v>
      </c>
      <c r="C175" s="261" t="str">
        <f t="shared" si="31"/>
        <v>0005-0020</v>
      </c>
      <c r="D175" s="261" t="str">
        <f t="shared" si="32"/>
        <v>0005-0020-0011</v>
      </c>
      <c r="E175" s="407" t="s">
        <v>928</v>
      </c>
      <c r="F175" s="261" t="str">
        <f>TEXT(VLOOKUP(J175,'[3]1'!$B$2:$D$37,2,0),"0000")</f>
        <v>0005</v>
      </c>
      <c r="G175" s="261" t="str">
        <f t="shared" si="33"/>
        <v>0020</v>
      </c>
      <c r="H175" s="408">
        <f t="shared" si="34"/>
        <v>11</v>
      </c>
      <c r="I175" s="407" t="s">
        <v>928</v>
      </c>
      <c r="J175" s="258" t="s">
        <v>294</v>
      </c>
      <c r="K175" s="413" t="s">
        <v>2766</v>
      </c>
      <c r="L175" s="413" t="s">
        <v>2790</v>
      </c>
      <c r="M175" s="415">
        <v>21990000</v>
      </c>
      <c r="N175" s="416">
        <v>1580</v>
      </c>
      <c r="O175" s="413" t="s">
        <v>74</v>
      </c>
      <c r="P175" s="413" t="s">
        <v>73</v>
      </c>
      <c r="Q175" s="413" t="s">
        <v>72</v>
      </c>
      <c r="R175" s="416">
        <v>5</v>
      </c>
      <c r="S175" s="410">
        <v>2</v>
      </c>
      <c r="T175" s="261">
        <v>6</v>
      </c>
      <c r="U175" s="261">
        <v>6</v>
      </c>
      <c r="V175" s="258" t="s">
        <v>1914</v>
      </c>
      <c r="W175" s="261" t="str">
        <f t="shared" si="36"/>
        <v>현대자동차아반떼G1.6 하이브리드 스마트21990000</v>
      </c>
      <c r="X175" s="411">
        <f t="shared" si="37"/>
        <v>3949</v>
      </c>
      <c r="Y175" s="261">
        <v>6</v>
      </c>
      <c r="Z175" s="261">
        <v>6</v>
      </c>
      <c r="AA175" s="407" t="s">
        <v>928</v>
      </c>
      <c r="AB175" s="258" t="s">
        <v>1431</v>
      </c>
      <c r="AC175" s="258"/>
      <c r="AD175" s="258">
        <v>4</v>
      </c>
      <c r="AE175" s="258">
        <v>0</v>
      </c>
      <c r="AF175" s="259"/>
      <c r="AG175" s="260"/>
      <c r="AH175" s="259"/>
      <c r="AI175" s="259"/>
      <c r="AJ175" s="260"/>
      <c r="AK175" s="259">
        <v>26</v>
      </c>
      <c r="AL175" s="259"/>
      <c r="AM175" s="259" t="s">
        <v>3223</v>
      </c>
      <c r="AN175" s="449"/>
      <c r="AO175" s="449"/>
      <c r="AP175" s="449"/>
      <c r="AQ175" s="392" t="str">
        <f>IFERROR(VLOOKUP(BG175,#REF!,1,0),"")</f>
        <v/>
      </c>
      <c r="AS175" s="259" t="s">
        <v>3223</v>
      </c>
      <c r="BD175" s="202" t="str">
        <f t="shared" si="29"/>
        <v>아반떼G1.6 하이브리드 스마트</v>
      </c>
      <c r="BE175" s="261" t="str">
        <f t="shared" si="35"/>
        <v>0020</v>
      </c>
      <c r="BF175" s="407" t="s">
        <v>928</v>
      </c>
      <c r="BG175" s="202" t="str">
        <f t="shared" si="30"/>
        <v>0020-0174</v>
      </c>
    </row>
    <row r="176" spans="1:59">
      <c r="A176" s="405">
        <v>3950</v>
      </c>
      <c r="B176" s="406">
        <v>3950</v>
      </c>
      <c r="C176" s="261" t="str">
        <f t="shared" si="31"/>
        <v>0005-0021</v>
      </c>
      <c r="D176" s="261" t="str">
        <f t="shared" si="32"/>
        <v>0005-0021-0001</v>
      </c>
      <c r="E176" s="407" t="s">
        <v>927</v>
      </c>
      <c r="F176" s="261" t="str">
        <f>TEXT(VLOOKUP(J176,'[3]1'!$B$2:$D$37,2,0),"0000")</f>
        <v>0005</v>
      </c>
      <c r="G176" s="261" t="str">
        <f t="shared" si="33"/>
        <v>0021</v>
      </c>
      <c r="H176" s="408">
        <f t="shared" si="34"/>
        <v>1</v>
      </c>
      <c r="I176" s="407" t="s">
        <v>927</v>
      </c>
      <c r="J176" s="258" t="s">
        <v>294</v>
      </c>
      <c r="K176" s="258" t="s">
        <v>2767</v>
      </c>
      <c r="L176" s="266" t="s">
        <v>2959</v>
      </c>
      <c r="M176" s="316">
        <v>20310000</v>
      </c>
      <c r="N176" s="266">
        <v>1598</v>
      </c>
      <c r="O176" s="258" t="s">
        <v>77</v>
      </c>
      <c r="P176" s="413" t="s">
        <v>73</v>
      </c>
      <c r="Q176" s="413" t="s">
        <v>72</v>
      </c>
      <c r="R176" s="266">
        <v>5</v>
      </c>
      <c r="S176" s="410">
        <v>8</v>
      </c>
      <c r="T176" s="261">
        <v>6</v>
      </c>
      <c r="U176" s="261">
        <v>6</v>
      </c>
      <c r="V176" s="258" t="s">
        <v>71</v>
      </c>
      <c r="W176" s="261" t="str">
        <f t="shared" si="36"/>
        <v>현대자동차코나가솔린 터보 1.6 모던 2wd a/t20310000</v>
      </c>
      <c r="X176" s="411">
        <f t="shared" si="37"/>
        <v>3950</v>
      </c>
      <c r="Y176" s="261">
        <v>6</v>
      </c>
      <c r="Z176" s="261">
        <v>6</v>
      </c>
      <c r="AA176" s="407" t="s">
        <v>927</v>
      </c>
      <c r="AB176" s="258" t="s">
        <v>1431</v>
      </c>
      <c r="AC176" s="258"/>
      <c r="AD176" s="258">
        <v>3</v>
      </c>
      <c r="AE176" s="258">
        <v>0</v>
      </c>
      <c r="AF176" s="259"/>
      <c r="AG176" s="260"/>
      <c r="AH176" s="259"/>
      <c r="AI176" s="259"/>
      <c r="AJ176" s="260"/>
      <c r="AK176" s="259">
        <v>26</v>
      </c>
      <c r="AL176" s="259"/>
      <c r="AM176" s="259" t="s">
        <v>3231</v>
      </c>
      <c r="AN176" s="449"/>
      <c r="AO176" s="449"/>
      <c r="AP176" s="449"/>
      <c r="AQ176" s="392" t="str">
        <f>IFERROR(VLOOKUP(BG176,#REF!,1,0),"")</f>
        <v/>
      </c>
      <c r="AS176" s="259" t="s">
        <v>3231</v>
      </c>
      <c r="BD176" s="202" t="str">
        <f t="shared" si="29"/>
        <v>코나가솔린 터보 1.6 모던 2wd a/t</v>
      </c>
      <c r="BE176" s="261" t="str">
        <f t="shared" si="35"/>
        <v>0021</v>
      </c>
      <c r="BF176" s="407" t="s">
        <v>927</v>
      </c>
      <c r="BG176" s="202" t="str">
        <f t="shared" si="30"/>
        <v>0021-0175</v>
      </c>
    </row>
    <row r="177" spans="1:59">
      <c r="A177" s="405">
        <v>3951</v>
      </c>
      <c r="B177" s="406">
        <v>3951</v>
      </c>
      <c r="C177" s="261" t="str">
        <f t="shared" si="31"/>
        <v>0005-0021</v>
      </c>
      <c r="D177" s="261" t="str">
        <f t="shared" si="32"/>
        <v>0005-0021-0002</v>
      </c>
      <c r="E177" s="407" t="s">
        <v>926</v>
      </c>
      <c r="F177" s="261" t="str">
        <f>TEXT(VLOOKUP(J177,'[3]1'!$B$2:$D$37,2,0),"0000")</f>
        <v>0005</v>
      </c>
      <c r="G177" s="261" t="str">
        <f t="shared" si="33"/>
        <v>0021</v>
      </c>
      <c r="H177" s="408">
        <f t="shared" si="34"/>
        <v>2</v>
      </c>
      <c r="I177" s="407" t="s">
        <v>926</v>
      </c>
      <c r="J177" s="258" t="s">
        <v>294</v>
      </c>
      <c r="K177" s="258" t="s">
        <v>2767</v>
      </c>
      <c r="L177" s="266" t="s">
        <v>2960</v>
      </c>
      <c r="M177" s="316">
        <v>22440000</v>
      </c>
      <c r="N177" s="266">
        <v>1598</v>
      </c>
      <c r="O177" s="258" t="s">
        <v>77</v>
      </c>
      <c r="P177" s="413" t="s">
        <v>73</v>
      </c>
      <c r="Q177" s="413" t="s">
        <v>72</v>
      </c>
      <c r="R177" s="266">
        <v>5</v>
      </c>
      <c r="S177" s="410">
        <v>8</v>
      </c>
      <c r="T177" s="261">
        <v>6</v>
      </c>
      <c r="U177" s="261">
        <v>6</v>
      </c>
      <c r="V177" s="258" t="s">
        <v>71</v>
      </c>
      <c r="W177" s="261" t="str">
        <f t="shared" si="36"/>
        <v>현대자동차코나가솔린 터보 1.6 스마트 2wd a/t22440000</v>
      </c>
      <c r="X177" s="411">
        <f t="shared" si="37"/>
        <v>3951</v>
      </c>
      <c r="Y177" s="261">
        <v>6</v>
      </c>
      <c r="Z177" s="261">
        <v>6</v>
      </c>
      <c r="AA177" s="407" t="s">
        <v>926</v>
      </c>
      <c r="AB177" s="258" t="s">
        <v>1431</v>
      </c>
      <c r="AC177" s="258"/>
      <c r="AD177" s="258">
        <v>3</v>
      </c>
      <c r="AE177" s="258">
        <v>0</v>
      </c>
      <c r="AF177" s="259"/>
      <c r="AG177" s="260"/>
      <c r="AH177" s="259"/>
      <c r="AI177" s="259"/>
      <c r="AJ177" s="260"/>
      <c r="AK177" s="259">
        <v>26</v>
      </c>
      <c r="AL177" s="259"/>
      <c r="AM177" s="259" t="s">
        <v>3231</v>
      </c>
      <c r="AN177" s="449"/>
      <c r="AO177" s="449"/>
      <c r="AP177" s="449"/>
      <c r="AQ177" s="392" t="str">
        <f>IFERROR(VLOOKUP(BG177,#REF!,1,0),"")</f>
        <v/>
      </c>
      <c r="AS177" s="259" t="s">
        <v>3231</v>
      </c>
      <c r="BD177" s="202" t="str">
        <f t="shared" si="29"/>
        <v>코나가솔린 터보 1.6 스마트 2wd a/t</v>
      </c>
      <c r="BE177" s="261" t="str">
        <f t="shared" si="35"/>
        <v>0021</v>
      </c>
      <c r="BF177" s="407" t="s">
        <v>926</v>
      </c>
      <c r="BG177" s="202" t="str">
        <f t="shared" si="30"/>
        <v>0021-0176</v>
      </c>
    </row>
    <row r="178" spans="1:59">
      <c r="A178" s="405">
        <v>3952</v>
      </c>
      <c r="B178" s="406">
        <v>3952</v>
      </c>
      <c r="C178" s="261" t="str">
        <f t="shared" si="31"/>
        <v>0005-0021</v>
      </c>
      <c r="D178" s="261" t="str">
        <f t="shared" si="32"/>
        <v>0005-0021-0003</v>
      </c>
      <c r="E178" s="407" t="s">
        <v>925</v>
      </c>
      <c r="F178" s="261" t="str">
        <f>TEXT(VLOOKUP(J178,'[3]1'!$B$2:$D$37,2,0),"0000")</f>
        <v>0005</v>
      </c>
      <c r="G178" s="261" t="str">
        <f t="shared" si="33"/>
        <v>0021</v>
      </c>
      <c r="H178" s="408">
        <f t="shared" si="34"/>
        <v>3</v>
      </c>
      <c r="I178" s="407" t="s">
        <v>925</v>
      </c>
      <c r="J178" s="258" t="s">
        <v>294</v>
      </c>
      <c r="K178" s="258" t="s">
        <v>2767</v>
      </c>
      <c r="L178" s="266" t="s">
        <v>2961</v>
      </c>
      <c r="M178" s="316">
        <v>27160000</v>
      </c>
      <c r="N178" s="266">
        <v>1598</v>
      </c>
      <c r="O178" s="258" t="s">
        <v>77</v>
      </c>
      <c r="P178" s="413" t="s">
        <v>73</v>
      </c>
      <c r="Q178" s="413" t="s">
        <v>72</v>
      </c>
      <c r="R178" s="266">
        <v>5</v>
      </c>
      <c r="S178" s="410">
        <v>8</v>
      </c>
      <c r="T178" s="261">
        <v>6</v>
      </c>
      <c r="U178" s="261">
        <v>6</v>
      </c>
      <c r="V178" s="258" t="s">
        <v>71</v>
      </c>
      <c r="W178" s="261" t="str">
        <f t="shared" si="36"/>
        <v>현대자동차코나가솔린 터보 1.6 인스퍼레이션 2wd a/t27160000</v>
      </c>
      <c r="X178" s="411">
        <f t="shared" si="37"/>
        <v>3952</v>
      </c>
      <c r="Y178" s="261">
        <v>6</v>
      </c>
      <c r="Z178" s="261">
        <v>6</v>
      </c>
      <c r="AA178" s="407" t="s">
        <v>925</v>
      </c>
      <c r="AB178" s="258" t="s">
        <v>1431</v>
      </c>
      <c r="AC178" s="258"/>
      <c r="AD178" s="258">
        <v>3</v>
      </c>
      <c r="AE178" s="258">
        <v>0</v>
      </c>
      <c r="AF178" s="259"/>
      <c r="AG178" s="260"/>
      <c r="AH178" s="259"/>
      <c r="AI178" s="259"/>
      <c r="AJ178" s="260"/>
      <c r="AK178" s="259">
        <v>26</v>
      </c>
      <c r="AL178" s="259"/>
      <c r="AM178" s="259" t="s">
        <v>3231</v>
      </c>
      <c r="AN178" s="449"/>
      <c r="AO178" s="449"/>
      <c r="AP178" s="449"/>
      <c r="AQ178" s="392" t="str">
        <f>IFERROR(VLOOKUP(BG178,#REF!,1,0),"")</f>
        <v/>
      </c>
      <c r="AS178" s="259" t="s">
        <v>3231</v>
      </c>
      <c r="BD178" s="202" t="str">
        <f t="shared" si="29"/>
        <v>코나가솔린 터보 1.6 인스퍼레이션 2wd a/t</v>
      </c>
      <c r="BE178" s="261" t="str">
        <f t="shared" si="35"/>
        <v>0021</v>
      </c>
      <c r="BF178" s="407" t="s">
        <v>925</v>
      </c>
      <c r="BG178" s="202" t="str">
        <f t="shared" si="30"/>
        <v>0021-0177</v>
      </c>
    </row>
    <row r="179" spans="1:59">
      <c r="A179" s="405">
        <v>3953</v>
      </c>
      <c r="B179" s="406">
        <v>3953</v>
      </c>
      <c r="C179" s="261" t="str">
        <f t="shared" si="31"/>
        <v>0005-0021</v>
      </c>
      <c r="D179" s="261" t="str">
        <f t="shared" si="32"/>
        <v>0005-0021-0004</v>
      </c>
      <c r="E179" s="407" t="s">
        <v>924</v>
      </c>
      <c r="F179" s="261" t="str">
        <f>TEXT(VLOOKUP(J179,'[3]1'!$B$2:$D$37,2,0),"0000")</f>
        <v>0005</v>
      </c>
      <c r="G179" s="261" t="str">
        <f t="shared" si="33"/>
        <v>0021</v>
      </c>
      <c r="H179" s="408">
        <f t="shared" si="34"/>
        <v>4</v>
      </c>
      <c r="I179" s="407" t="s">
        <v>924</v>
      </c>
      <c r="J179" s="258" t="s">
        <v>294</v>
      </c>
      <c r="K179" s="258" t="s">
        <v>2767</v>
      </c>
      <c r="L179" s="266" t="s">
        <v>2962</v>
      </c>
      <c r="M179" s="316">
        <v>22130000</v>
      </c>
      <c r="N179" s="266">
        <v>1598</v>
      </c>
      <c r="O179" s="258" t="s">
        <v>77</v>
      </c>
      <c r="P179" s="413" t="s">
        <v>73</v>
      </c>
      <c r="Q179" s="413" t="s">
        <v>72</v>
      </c>
      <c r="R179" s="266">
        <v>5</v>
      </c>
      <c r="S179" s="410">
        <v>8</v>
      </c>
      <c r="T179" s="261">
        <v>6</v>
      </c>
      <c r="U179" s="261">
        <v>6</v>
      </c>
      <c r="V179" s="258" t="s">
        <v>71</v>
      </c>
      <c r="W179" s="261" t="str">
        <f t="shared" si="36"/>
        <v>현대자동차코나가솔린 터보 1.6 스마트 4wd A/T22130000</v>
      </c>
      <c r="X179" s="411">
        <f t="shared" si="37"/>
        <v>3953</v>
      </c>
      <c r="Y179" s="261">
        <v>6</v>
      </c>
      <c r="Z179" s="261">
        <v>6</v>
      </c>
      <c r="AA179" s="407" t="s">
        <v>924</v>
      </c>
      <c r="AB179" s="258" t="s">
        <v>1431</v>
      </c>
      <c r="AC179" s="258"/>
      <c r="AD179" s="258">
        <v>3</v>
      </c>
      <c r="AE179" s="258">
        <v>0</v>
      </c>
      <c r="AF179" s="259"/>
      <c r="AG179" s="260"/>
      <c r="AH179" s="259"/>
      <c r="AI179" s="259"/>
      <c r="AJ179" s="260"/>
      <c r="AK179" s="259">
        <v>26</v>
      </c>
      <c r="AL179" s="259"/>
      <c r="AM179" s="259" t="s">
        <v>3231</v>
      </c>
      <c r="AN179" s="449"/>
      <c r="AO179" s="449"/>
      <c r="AP179" s="449"/>
      <c r="AQ179" s="392" t="str">
        <f>IFERROR(VLOOKUP(BG179,#REF!,1,0),"")</f>
        <v/>
      </c>
      <c r="AS179" s="259" t="s">
        <v>3231</v>
      </c>
      <c r="BD179" s="202" t="str">
        <f t="shared" si="29"/>
        <v>코나가솔린 터보 1.6 스마트 4wd A/T</v>
      </c>
      <c r="BE179" s="261" t="str">
        <f t="shared" si="35"/>
        <v>0021</v>
      </c>
      <c r="BF179" s="407" t="s">
        <v>924</v>
      </c>
      <c r="BG179" s="202" t="str">
        <f t="shared" si="30"/>
        <v>0021-0178</v>
      </c>
    </row>
    <row r="180" spans="1:59">
      <c r="A180" s="405">
        <v>3954</v>
      </c>
      <c r="B180" s="406">
        <v>3954</v>
      </c>
      <c r="C180" s="261" t="str">
        <f t="shared" si="31"/>
        <v>0005-0021</v>
      </c>
      <c r="D180" s="261" t="str">
        <f t="shared" si="32"/>
        <v>0005-0021-0005</v>
      </c>
      <c r="E180" s="407" t="s">
        <v>923</v>
      </c>
      <c r="F180" s="261" t="str">
        <f>TEXT(VLOOKUP(J180,'[3]1'!$B$2:$D$37,2,0),"0000")</f>
        <v>0005</v>
      </c>
      <c r="G180" s="261" t="str">
        <f t="shared" si="33"/>
        <v>0021</v>
      </c>
      <c r="H180" s="408">
        <f t="shared" si="34"/>
        <v>5</v>
      </c>
      <c r="I180" s="407" t="s">
        <v>923</v>
      </c>
      <c r="J180" s="258" t="s">
        <v>294</v>
      </c>
      <c r="K180" s="258" t="s">
        <v>2767</v>
      </c>
      <c r="L180" s="266" t="s">
        <v>2963</v>
      </c>
      <c r="M180" s="316">
        <v>24260000</v>
      </c>
      <c r="N180" s="266">
        <v>1598</v>
      </c>
      <c r="O180" s="258" t="s">
        <v>77</v>
      </c>
      <c r="P180" s="413" t="s">
        <v>73</v>
      </c>
      <c r="Q180" s="413" t="s">
        <v>72</v>
      </c>
      <c r="R180" s="266">
        <v>5</v>
      </c>
      <c r="S180" s="410">
        <v>8</v>
      </c>
      <c r="T180" s="261">
        <v>6</v>
      </c>
      <c r="U180" s="261">
        <v>6</v>
      </c>
      <c r="V180" s="258" t="s">
        <v>71</v>
      </c>
      <c r="W180" s="261" t="str">
        <f t="shared" si="36"/>
        <v>현대자동차코나가솔린 터보 1.6 모던 4WD A/T24260000</v>
      </c>
      <c r="X180" s="411">
        <f t="shared" si="37"/>
        <v>3954</v>
      </c>
      <c r="Y180" s="261">
        <v>6</v>
      </c>
      <c r="Z180" s="261">
        <v>6</v>
      </c>
      <c r="AA180" s="407" t="s">
        <v>923</v>
      </c>
      <c r="AB180" s="258" t="s">
        <v>1431</v>
      </c>
      <c r="AC180" s="258"/>
      <c r="AD180" s="258">
        <v>3</v>
      </c>
      <c r="AE180" s="258">
        <v>0</v>
      </c>
      <c r="AF180" s="259"/>
      <c r="AG180" s="260"/>
      <c r="AH180" s="259"/>
      <c r="AI180" s="259"/>
      <c r="AJ180" s="260"/>
      <c r="AK180" s="259">
        <v>26</v>
      </c>
      <c r="AL180" s="259"/>
      <c r="AM180" s="259" t="s">
        <v>3231</v>
      </c>
      <c r="AN180" s="449"/>
      <c r="AO180" s="449"/>
      <c r="AP180" s="449"/>
      <c r="AQ180" s="392" t="str">
        <f>IFERROR(VLOOKUP(BG180,#REF!,1,0),"")</f>
        <v/>
      </c>
      <c r="AS180" s="259" t="s">
        <v>3231</v>
      </c>
      <c r="BD180" s="202" t="str">
        <f t="shared" si="29"/>
        <v>코나가솔린 터보 1.6 모던 4WD A/T</v>
      </c>
      <c r="BE180" s="261" t="str">
        <f t="shared" si="35"/>
        <v>0021</v>
      </c>
      <c r="BF180" s="407" t="s">
        <v>923</v>
      </c>
      <c r="BG180" s="202" t="str">
        <f t="shared" si="30"/>
        <v>0021-0179</v>
      </c>
    </row>
    <row r="181" spans="1:59">
      <c r="A181" s="405">
        <v>3955</v>
      </c>
      <c r="B181" s="406">
        <v>3955</v>
      </c>
      <c r="C181" s="261" t="str">
        <f t="shared" si="31"/>
        <v>0005-0021</v>
      </c>
      <c r="D181" s="261" t="str">
        <f t="shared" si="32"/>
        <v>0005-0021-0006</v>
      </c>
      <c r="E181" s="407" t="s">
        <v>922</v>
      </c>
      <c r="F181" s="261" t="str">
        <f>TEXT(VLOOKUP(J181,'[3]1'!$B$2:$D$37,2,0),"0000")</f>
        <v>0005</v>
      </c>
      <c r="G181" s="261" t="str">
        <f t="shared" si="33"/>
        <v>0021</v>
      </c>
      <c r="H181" s="408">
        <f t="shared" si="34"/>
        <v>6</v>
      </c>
      <c r="I181" s="407" t="s">
        <v>922</v>
      </c>
      <c r="J181" s="258" t="s">
        <v>294</v>
      </c>
      <c r="K181" s="258" t="s">
        <v>2767</v>
      </c>
      <c r="L181" s="266" t="s">
        <v>2964</v>
      </c>
      <c r="M181" s="316">
        <v>28980000</v>
      </c>
      <c r="N181" s="266">
        <v>1598</v>
      </c>
      <c r="O181" s="258" t="s">
        <v>77</v>
      </c>
      <c r="P181" s="413" t="s">
        <v>73</v>
      </c>
      <c r="Q181" s="413" t="s">
        <v>72</v>
      </c>
      <c r="R181" s="266">
        <v>5</v>
      </c>
      <c r="S181" s="410">
        <v>8</v>
      </c>
      <c r="T181" s="261">
        <v>6</v>
      </c>
      <c r="U181" s="261">
        <v>6</v>
      </c>
      <c r="V181" s="258" t="s">
        <v>71</v>
      </c>
      <c r="W181" s="261" t="str">
        <f t="shared" si="36"/>
        <v>현대자동차코나가솔린 터보 1.6 인스퍼레이션 4wd a/t28980000</v>
      </c>
      <c r="X181" s="411">
        <f t="shared" si="37"/>
        <v>3955</v>
      </c>
      <c r="Y181" s="261">
        <v>6</v>
      </c>
      <c r="Z181" s="261">
        <v>6</v>
      </c>
      <c r="AA181" s="407" t="s">
        <v>922</v>
      </c>
      <c r="AB181" s="258" t="s">
        <v>1431</v>
      </c>
      <c r="AC181" s="258"/>
      <c r="AD181" s="258">
        <v>3</v>
      </c>
      <c r="AE181" s="258">
        <v>0</v>
      </c>
      <c r="AF181" s="259"/>
      <c r="AG181" s="260"/>
      <c r="AH181" s="259"/>
      <c r="AI181" s="259"/>
      <c r="AJ181" s="260"/>
      <c r="AK181" s="259">
        <v>26</v>
      </c>
      <c r="AL181" s="259"/>
      <c r="AM181" s="259" t="s">
        <v>3231</v>
      </c>
      <c r="AN181" s="449"/>
      <c r="AO181" s="449"/>
      <c r="AP181" s="449"/>
      <c r="AQ181" s="392" t="str">
        <f>IFERROR(VLOOKUP(BG181,#REF!,1,0),"")</f>
        <v/>
      </c>
      <c r="AS181" s="259" t="s">
        <v>3231</v>
      </c>
      <c r="BD181" s="202" t="str">
        <f t="shared" si="29"/>
        <v>코나가솔린 터보 1.6 인스퍼레이션 4wd a/t</v>
      </c>
      <c r="BE181" s="261" t="str">
        <f t="shared" si="35"/>
        <v>0021</v>
      </c>
      <c r="BF181" s="407" t="s">
        <v>922</v>
      </c>
      <c r="BG181" s="202" t="str">
        <f t="shared" si="30"/>
        <v>0021-0180</v>
      </c>
    </row>
    <row r="182" spans="1:59">
      <c r="A182" s="405">
        <v>3956</v>
      </c>
      <c r="B182" s="406">
        <v>3956</v>
      </c>
      <c r="C182" s="261" t="str">
        <f t="shared" si="31"/>
        <v>0005-0021</v>
      </c>
      <c r="D182" s="261" t="str">
        <f t="shared" si="32"/>
        <v>0005-0021-0007</v>
      </c>
      <c r="E182" s="407" t="s">
        <v>921</v>
      </c>
      <c r="F182" s="261" t="str">
        <f>TEXT(VLOOKUP(J182,'[3]1'!$B$2:$D$37,2,0),"0000")</f>
        <v>0005</v>
      </c>
      <c r="G182" s="261" t="str">
        <f t="shared" si="33"/>
        <v>0021</v>
      </c>
      <c r="H182" s="408">
        <f t="shared" si="34"/>
        <v>7</v>
      </c>
      <c r="I182" s="407" t="s">
        <v>921</v>
      </c>
      <c r="J182" s="258" t="s">
        <v>294</v>
      </c>
      <c r="K182" s="258" t="s">
        <v>2767</v>
      </c>
      <c r="L182" s="266" t="s">
        <v>2965</v>
      </c>
      <c r="M182" s="316">
        <v>24600000</v>
      </c>
      <c r="N182" s="266">
        <v>1598</v>
      </c>
      <c r="O182" s="258" t="s">
        <v>77</v>
      </c>
      <c r="P182" s="413" t="s">
        <v>73</v>
      </c>
      <c r="Q182" s="413" t="s">
        <v>72</v>
      </c>
      <c r="R182" s="266">
        <v>5</v>
      </c>
      <c r="S182" s="410">
        <v>8</v>
      </c>
      <c r="T182" s="261">
        <v>6</v>
      </c>
      <c r="U182" s="261">
        <v>6</v>
      </c>
      <c r="V182" s="258" t="s">
        <v>71</v>
      </c>
      <c r="W182" s="261" t="str">
        <f t="shared" si="36"/>
        <v>현대자동차코나가솔린 터보 1.6 N모던 2WD A/T24600000</v>
      </c>
      <c r="X182" s="411">
        <f t="shared" si="37"/>
        <v>3956</v>
      </c>
      <c r="Y182" s="261">
        <v>6</v>
      </c>
      <c r="Z182" s="261">
        <v>6</v>
      </c>
      <c r="AA182" s="407" t="s">
        <v>921</v>
      </c>
      <c r="AB182" s="258" t="s">
        <v>1431</v>
      </c>
      <c r="AC182" s="258"/>
      <c r="AD182" s="258">
        <v>3</v>
      </c>
      <c r="AE182" s="258">
        <v>0</v>
      </c>
      <c r="AF182" s="259"/>
      <c r="AG182" s="260"/>
      <c r="AH182" s="259"/>
      <c r="AI182" s="259"/>
      <c r="AJ182" s="260"/>
      <c r="AK182" s="259">
        <v>26</v>
      </c>
      <c r="AL182" s="259"/>
      <c r="AM182" s="259" t="s">
        <v>3231</v>
      </c>
      <c r="AN182" s="449"/>
      <c r="AO182" s="449"/>
      <c r="AP182" s="449"/>
      <c r="AQ182" s="392" t="str">
        <f>IFERROR(VLOOKUP(BG182,#REF!,1,0),"")</f>
        <v/>
      </c>
      <c r="AS182" s="259" t="s">
        <v>3231</v>
      </c>
      <c r="BD182" s="202" t="str">
        <f t="shared" si="29"/>
        <v>코나가솔린 터보 1.6 N모던 2WD A/T</v>
      </c>
      <c r="BE182" s="261" t="str">
        <f t="shared" si="35"/>
        <v>0021</v>
      </c>
      <c r="BF182" s="407" t="s">
        <v>921</v>
      </c>
      <c r="BG182" s="202" t="str">
        <f t="shared" si="30"/>
        <v>0021-0181</v>
      </c>
    </row>
    <row r="183" spans="1:59">
      <c r="A183" s="405">
        <v>3957</v>
      </c>
      <c r="B183" s="406">
        <v>3957</v>
      </c>
      <c r="C183" s="261" t="str">
        <f t="shared" si="31"/>
        <v>0005-0021</v>
      </c>
      <c r="D183" s="261" t="str">
        <f t="shared" si="32"/>
        <v>0005-0021-0008</v>
      </c>
      <c r="E183" s="407" t="s">
        <v>920</v>
      </c>
      <c r="F183" s="261" t="str">
        <f>TEXT(VLOOKUP(J183,'[3]1'!$B$2:$D$37,2,0),"0000")</f>
        <v>0005</v>
      </c>
      <c r="G183" s="261" t="str">
        <f t="shared" si="33"/>
        <v>0021</v>
      </c>
      <c r="H183" s="408">
        <f t="shared" si="34"/>
        <v>8</v>
      </c>
      <c r="I183" s="407" t="s">
        <v>920</v>
      </c>
      <c r="J183" s="258" t="s">
        <v>294</v>
      </c>
      <c r="K183" s="258" t="s">
        <v>2767</v>
      </c>
      <c r="L183" s="266" t="s">
        <v>2966</v>
      </c>
      <c r="M183" s="316">
        <v>28150000</v>
      </c>
      <c r="N183" s="266">
        <v>1598</v>
      </c>
      <c r="O183" s="258" t="s">
        <v>77</v>
      </c>
      <c r="P183" s="413" t="s">
        <v>73</v>
      </c>
      <c r="Q183" s="413" t="s">
        <v>72</v>
      </c>
      <c r="R183" s="266">
        <v>5</v>
      </c>
      <c r="S183" s="410">
        <v>8</v>
      </c>
      <c r="T183" s="261">
        <v>6</v>
      </c>
      <c r="U183" s="261">
        <v>6</v>
      </c>
      <c r="V183" s="258" t="s">
        <v>71</v>
      </c>
      <c r="W183" s="261" t="str">
        <f t="shared" si="36"/>
        <v>현대자동차코나가솔린 터보 1.6N 인스퍼레이션 2wD a/t28150000</v>
      </c>
      <c r="X183" s="411">
        <f t="shared" si="37"/>
        <v>3957</v>
      </c>
      <c r="Y183" s="261">
        <v>6</v>
      </c>
      <c r="Z183" s="261">
        <v>6</v>
      </c>
      <c r="AA183" s="407" t="s">
        <v>920</v>
      </c>
      <c r="AB183" s="258" t="s">
        <v>1431</v>
      </c>
      <c r="AC183" s="258"/>
      <c r="AD183" s="258">
        <v>3</v>
      </c>
      <c r="AE183" s="258">
        <v>0</v>
      </c>
      <c r="AF183" s="259"/>
      <c r="AG183" s="260"/>
      <c r="AH183" s="259"/>
      <c r="AI183" s="259"/>
      <c r="AJ183" s="260"/>
      <c r="AK183" s="259">
        <v>26</v>
      </c>
      <c r="AL183" s="259"/>
      <c r="AM183" s="259" t="s">
        <v>3231</v>
      </c>
      <c r="AN183" s="449"/>
      <c r="AO183" s="449"/>
      <c r="AP183" s="449"/>
      <c r="AQ183" s="392" t="str">
        <f>IFERROR(VLOOKUP(BG183,#REF!,1,0),"")</f>
        <v/>
      </c>
      <c r="AS183" s="259" t="s">
        <v>3231</v>
      </c>
      <c r="BD183" s="202" t="str">
        <f t="shared" si="29"/>
        <v>코나가솔린 터보 1.6N 인스퍼레이션 2wD a/t</v>
      </c>
      <c r="BE183" s="261" t="str">
        <f t="shared" si="35"/>
        <v>0021</v>
      </c>
      <c r="BF183" s="407" t="s">
        <v>920</v>
      </c>
      <c r="BG183" s="202" t="str">
        <f t="shared" si="30"/>
        <v>0021-0182</v>
      </c>
    </row>
    <row r="184" spans="1:59">
      <c r="A184" s="405">
        <v>3958</v>
      </c>
      <c r="B184" s="406">
        <v>3958</v>
      </c>
      <c r="C184" s="261" t="str">
        <f t="shared" si="31"/>
        <v>0005-0021</v>
      </c>
      <c r="D184" s="261" t="str">
        <f t="shared" si="32"/>
        <v>0005-0021-0009</v>
      </c>
      <c r="E184" s="407" t="s">
        <v>919</v>
      </c>
      <c r="F184" s="261" t="str">
        <f>TEXT(VLOOKUP(J184,'[3]1'!$B$2:$D$37,2,0),"0000")</f>
        <v>0005</v>
      </c>
      <c r="G184" s="261" t="str">
        <f t="shared" si="33"/>
        <v>0021</v>
      </c>
      <c r="H184" s="408">
        <f t="shared" si="34"/>
        <v>9</v>
      </c>
      <c r="I184" s="407" t="s">
        <v>919</v>
      </c>
      <c r="J184" s="258" t="s">
        <v>294</v>
      </c>
      <c r="K184" s="258" t="s">
        <v>2767</v>
      </c>
      <c r="L184" s="266" t="s">
        <v>2967</v>
      </c>
      <c r="M184" s="316">
        <v>26420000</v>
      </c>
      <c r="N184" s="266">
        <v>1598</v>
      </c>
      <c r="O184" s="258" t="s">
        <v>77</v>
      </c>
      <c r="P184" s="413" t="s">
        <v>73</v>
      </c>
      <c r="Q184" s="413" t="s">
        <v>72</v>
      </c>
      <c r="R184" s="266">
        <v>5</v>
      </c>
      <c r="S184" s="410">
        <v>8</v>
      </c>
      <c r="T184" s="261">
        <v>6</v>
      </c>
      <c r="U184" s="261">
        <v>6</v>
      </c>
      <c r="V184" s="258" t="s">
        <v>71</v>
      </c>
      <c r="W184" s="261" t="str">
        <f t="shared" si="36"/>
        <v>현대자동차코나가솔린 터보 1.6 N모던 4WD A/T26420000</v>
      </c>
      <c r="X184" s="411">
        <f t="shared" si="37"/>
        <v>3958</v>
      </c>
      <c r="Y184" s="261">
        <v>6</v>
      </c>
      <c r="Z184" s="261">
        <v>6</v>
      </c>
      <c r="AA184" s="407" t="s">
        <v>919</v>
      </c>
      <c r="AB184" s="258" t="s">
        <v>1431</v>
      </c>
      <c r="AC184" s="258"/>
      <c r="AD184" s="258">
        <v>3</v>
      </c>
      <c r="AE184" s="258">
        <v>0</v>
      </c>
      <c r="AF184" s="259"/>
      <c r="AG184" s="260"/>
      <c r="AH184" s="259"/>
      <c r="AI184" s="259"/>
      <c r="AJ184" s="260"/>
      <c r="AK184" s="259">
        <v>26</v>
      </c>
      <c r="AL184" s="259"/>
      <c r="AM184" s="259" t="s">
        <v>3231</v>
      </c>
      <c r="AN184" s="449"/>
      <c r="AO184" s="449"/>
      <c r="AP184" s="449"/>
      <c r="AQ184" s="392" t="str">
        <f>IFERROR(VLOOKUP(BG184,#REF!,1,0),"")</f>
        <v/>
      </c>
      <c r="AS184" s="259" t="s">
        <v>3231</v>
      </c>
      <c r="BD184" s="202" t="str">
        <f t="shared" si="29"/>
        <v>코나가솔린 터보 1.6 N모던 4WD A/T</v>
      </c>
      <c r="BE184" s="261" t="str">
        <f t="shared" si="35"/>
        <v>0021</v>
      </c>
      <c r="BF184" s="407" t="s">
        <v>919</v>
      </c>
      <c r="BG184" s="202" t="str">
        <f t="shared" si="30"/>
        <v>0021-0183</v>
      </c>
    </row>
    <row r="185" spans="1:59">
      <c r="A185" s="405">
        <v>3959</v>
      </c>
      <c r="B185" s="406">
        <v>3959</v>
      </c>
      <c r="C185" s="261" t="str">
        <f t="shared" si="31"/>
        <v>0005-0021</v>
      </c>
      <c r="D185" s="261" t="str">
        <f t="shared" si="32"/>
        <v>0005-0021-0010</v>
      </c>
      <c r="E185" s="407" t="s">
        <v>918</v>
      </c>
      <c r="F185" s="261" t="str">
        <f>TEXT(VLOOKUP(J185,'[3]1'!$B$2:$D$37,2,0),"0000")</f>
        <v>0005</v>
      </c>
      <c r="G185" s="261" t="str">
        <f t="shared" si="33"/>
        <v>0021</v>
      </c>
      <c r="H185" s="408">
        <f t="shared" si="34"/>
        <v>10</v>
      </c>
      <c r="I185" s="407" t="s">
        <v>918</v>
      </c>
      <c r="J185" s="258" t="s">
        <v>294</v>
      </c>
      <c r="K185" s="258" t="s">
        <v>2767</v>
      </c>
      <c r="L185" s="266" t="s">
        <v>2968</v>
      </c>
      <c r="M185" s="316">
        <v>29970000</v>
      </c>
      <c r="N185" s="266">
        <v>1598</v>
      </c>
      <c r="O185" s="258" t="s">
        <v>77</v>
      </c>
      <c r="P185" s="413" t="s">
        <v>73</v>
      </c>
      <c r="Q185" s="413" t="s">
        <v>72</v>
      </c>
      <c r="R185" s="266">
        <v>5</v>
      </c>
      <c r="S185" s="410">
        <v>8</v>
      </c>
      <c r="T185" s="261">
        <v>6</v>
      </c>
      <c r="U185" s="261">
        <v>6</v>
      </c>
      <c r="V185" s="258" t="s">
        <v>71</v>
      </c>
      <c r="W185" s="261" t="str">
        <f t="shared" si="36"/>
        <v>현대자동차코나가솔린 터보 1.6N 인스퍼레이션 4wd a/t29970000</v>
      </c>
      <c r="X185" s="411">
        <f t="shared" si="37"/>
        <v>3959</v>
      </c>
      <c r="Y185" s="261">
        <v>6</v>
      </c>
      <c r="Z185" s="261">
        <v>6</v>
      </c>
      <c r="AA185" s="407" t="s">
        <v>918</v>
      </c>
      <c r="AB185" s="258" t="s">
        <v>1431</v>
      </c>
      <c r="AC185" s="258"/>
      <c r="AD185" s="258">
        <v>3</v>
      </c>
      <c r="AE185" s="258">
        <v>0</v>
      </c>
      <c r="AF185" s="259"/>
      <c r="AG185" s="260"/>
      <c r="AH185" s="259"/>
      <c r="AI185" s="259"/>
      <c r="AJ185" s="260"/>
      <c r="AK185" s="259">
        <v>26</v>
      </c>
      <c r="AL185" s="259"/>
      <c r="AM185" s="259" t="s">
        <v>3231</v>
      </c>
      <c r="AN185" s="449"/>
      <c r="AO185" s="449"/>
      <c r="AP185" s="449"/>
      <c r="AQ185" s="392" t="str">
        <f>IFERROR(VLOOKUP(BG185,#REF!,1,0),"")</f>
        <v/>
      </c>
      <c r="AS185" s="259" t="s">
        <v>3231</v>
      </c>
      <c r="BD185" s="202" t="str">
        <f t="shared" si="29"/>
        <v>코나가솔린 터보 1.6N 인스퍼레이션 4wd a/t</v>
      </c>
      <c r="BE185" s="261" t="str">
        <f t="shared" si="35"/>
        <v>0021</v>
      </c>
      <c r="BF185" s="407" t="s">
        <v>918</v>
      </c>
      <c r="BG185" s="202" t="str">
        <f t="shared" si="30"/>
        <v>0021-0184</v>
      </c>
    </row>
    <row r="186" spans="1:59">
      <c r="A186" s="405">
        <v>3960</v>
      </c>
      <c r="B186" s="406">
        <v>3960</v>
      </c>
      <c r="C186" s="261" t="str">
        <f t="shared" si="31"/>
        <v>0005-0021</v>
      </c>
      <c r="D186" s="261" t="str">
        <f t="shared" si="32"/>
        <v>0005-0021-0011</v>
      </c>
      <c r="E186" s="407" t="s">
        <v>917</v>
      </c>
      <c r="F186" s="261" t="str">
        <f>TEXT(VLOOKUP(J186,'[3]1'!$B$2:$D$37,2,0),"0000")</f>
        <v>0005</v>
      </c>
      <c r="G186" s="261" t="str">
        <f t="shared" si="33"/>
        <v>0021</v>
      </c>
      <c r="H186" s="408">
        <f t="shared" si="34"/>
        <v>11</v>
      </c>
      <c r="I186" s="407" t="s">
        <v>917</v>
      </c>
      <c r="J186" s="258" t="s">
        <v>294</v>
      </c>
      <c r="K186" s="258" t="s">
        <v>2767</v>
      </c>
      <c r="L186" s="266" t="s">
        <v>2969</v>
      </c>
      <c r="M186" s="316">
        <v>21750000</v>
      </c>
      <c r="N186" s="266">
        <v>1598</v>
      </c>
      <c r="O186" s="258" t="s">
        <v>77</v>
      </c>
      <c r="P186" s="413" t="s">
        <v>73</v>
      </c>
      <c r="Q186" s="413" t="s">
        <v>72</v>
      </c>
      <c r="R186" s="266">
        <v>5</v>
      </c>
      <c r="S186" s="410">
        <v>8</v>
      </c>
      <c r="T186" s="261">
        <v>6</v>
      </c>
      <c r="U186" s="261">
        <v>6</v>
      </c>
      <c r="V186" s="258" t="s">
        <v>71</v>
      </c>
      <c r="W186" s="261" t="str">
        <f t="shared" si="36"/>
        <v>현대자동차코나가솔린 터보 2.0 모던 2wd a/t21750000</v>
      </c>
      <c r="X186" s="411">
        <f t="shared" si="37"/>
        <v>3960</v>
      </c>
      <c r="Y186" s="261">
        <v>6</v>
      </c>
      <c r="Z186" s="261">
        <v>6</v>
      </c>
      <c r="AA186" s="407" t="s">
        <v>917</v>
      </c>
      <c r="AB186" s="258" t="s">
        <v>1431</v>
      </c>
      <c r="AC186" s="258"/>
      <c r="AD186" s="258">
        <v>3</v>
      </c>
      <c r="AE186" s="258">
        <v>0</v>
      </c>
      <c r="AF186" s="259"/>
      <c r="AG186" s="260"/>
      <c r="AH186" s="259"/>
      <c r="AI186" s="259"/>
      <c r="AJ186" s="260"/>
      <c r="AK186" s="259">
        <v>26</v>
      </c>
      <c r="AL186" s="259"/>
      <c r="AM186" s="259" t="s">
        <v>3231</v>
      </c>
      <c r="AN186" s="449"/>
      <c r="AO186" s="449"/>
      <c r="AP186" s="449"/>
      <c r="AQ186" s="392" t="str">
        <f>IFERROR(VLOOKUP(BG186,#REF!,1,0),"")</f>
        <v/>
      </c>
      <c r="AS186" s="259" t="s">
        <v>3231</v>
      </c>
      <c r="BD186" s="202" t="str">
        <f t="shared" si="29"/>
        <v>코나가솔린 터보 2.0 모던 2wd a/t</v>
      </c>
      <c r="BE186" s="261" t="str">
        <f t="shared" si="35"/>
        <v>0021</v>
      </c>
      <c r="BF186" s="407" t="s">
        <v>917</v>
      </c>
      <c r="BG186" s="202" t="str">
        <f t="shared" si="30"/>
        <v>0021-0185</v>
      </c>
    </row>
    <row r="187" spans="1:59">
      <c r="A187" s="405">
        <v>3961</v>
      </c>
      <c r="B187" s="406">
        <v>3961</v>
      </c>
      <c r="C187" s="261" t="str">
        <f t="shared" si="31"/>
        <v>0005-0021</v>
      </c>
      <c r="D187" s="261" t="str">
        <f t="shared" si="32"/>
        <v>0005-0021-0012</v>
      </c>
      <c r="E187" s="407" t="s">
        <v>916</v>
      </c>
      <c r="F187" s="261" t="str">
        <f>TEXT(VLOOKUP(J187,'[3]1'!$B$2:$D$37,2,0),"0000")</f>
        <v>0005</v>
      </c>
      <c r="G187" s="261" t="str">
        <f t="shared" si="33"/>
        <v>0021</v>
      </c>
      <c r="H187" s="408">
        <f t="shared" si="34"/>
        <v>12</v>
      </c>
      <c r="I187" s="407" t="s">
        <v>916</v>
      </c>
      <c r="J187" s="258" t="s">
        <v>294</v>
      </c>
      <c r="K187" s="258" t="s">
        <v>2767</v>
      </c>
      <c r="L187" s="266" t="s">
        <v>2970</v>
      </c>
      <c r="M187" s="316">
        <v>19620000</v>
      </c>
      <c r="N187" s="266">
        <v>1598</v>
      </c>
      <c r="O187" s="258" t="s">
        <v>77</v>
      </c>
      <c r="P187" s="413" t="s">
        <v>73</v>
      </c>
      <c r="Q187" s="413" t="s">
        <v>72</v>
      </c>
      <c r="R187" s="266">
        <v>5</v>
      </c>
      <c r="S187" s="410">
        <v>8</v>
      </c>
      <c r="T187" s="261">
        <v>6</v>
      </c>
      <c r="U187" s="261">
        <v>6</v>
      </c>
      <c r="V187" s="258" t="s">
        <v>71</v>
      </c>
      <c r="W187" s="261" t="str">
        <f t="shared" si="36"/>
        <v>현대자동차코나가솔린 터보 2.0 스마트 2wd a/t19620000</v>
      </c>
      <c r="X187" s="411">
        <f t="shared" si="37"/>
        <v>3961</v>
      </c>
      <c r="Y187" s="261">
        <v>6</v>
      </c>
      <c r="Z187" s="261">
        <v>6</v>
      </c>
      <c r="AA187" s="407" t="s">
        <v>916</v>
      </c>
      <c r="AB187" s="258" t="s">
        <v>1431</v>
      </c>
      <c r="AC187" s="258"/>
      <c r="AD187" s="258">
        <v>3</v>
      </c>
      <c r="AE187" s="258">
        <v>0</v>
      </c>
      <c r="AF187" s="259"/>
      <c r="AG187" s="260"/>
      <c r="AH187" s="259"/>
      <c r="AI187" s="259"/>
      <c r="AJ187" s="260"/>
      <c r="AK187" s="259">
        <v>26</v>
      </c>
      <c r="AL187" s="259"/>
      <c r="AM187" s="259" t="s">
        <v>3231</v>
      </c>
      <c r="AN187" s="449"/>
      <c r="AO187" s="449"/>
      <c r="AP187" s="449"/>
      <c r="AQ187" s="392" t="str">
        <f>IFERROR(VLOOKUP(BG187,#REF!,1,0),"")</f>
        <v/>
      </c>
      <c r="AS187" s="259" t="s">
        <v>3231</v>
      </c>
      <c r="BD187" s="202" t="str">
        <f t="shared" si="29"/>
        <v>코나가솔린 터보 2.0 스마트 2wd a/t</v>
      </c>
      <c r="BE187" s="261" t="str">
        <f t="shared" si="35"/>
        <v>0021</v>
      </c>
      <c r="BF187" s="407" t="s">
        <v>916</v>
      </c>
      <c r="BG187" s="202" t="str">
        <f t="shared" si="30"/>
        <v>0021-0186</v>
      </c>
    </row>
    <row r="188" spans="1:59">
      <c r="A188" s="405">
        <v>3962</v>
      </c>
      <c r="B188" s="406">
        <v>3962</v>
      </c>
      <c r="C188" s="261" t="str">
        <f t="shared" si="31"/>
        <v>0005-0021</v>
      </c>
      <c r="D188" s="261" t="str">
        <f t="shared" si="32"/>
        <v>0005-0021-0013</v>
      </c>
      <c r="E188" s="407" t="s">
        <v>915</v>
      </c>
      <c r="F188" s="261" t="str">
        <f>TEXT(VLOOKUP(J188,'[3]1'!$B$2:$D$37,2,0),"0000")</f>
        <v>0005</v>
      </c>
      <c r="G188" s="261" t="str">
        <f t="shared" si="33"/>
        <v>0021</v>
      </c>
      <c r="H188" s="408">
        <f t="shared" si="34"/>
        <v>13</v>
      </c>
      <c r="I188" s="407" t="s">
        <v>915</v>
      </c>
      <c r="J188" s="258" t="s">
        <v>294</v>
      </c>
      <c r="K188" s="258" t="s">
        <v>2767</v>
      </c>
      <c r="L188" s="266" t="s">
        <v>2971</v>
      </c>
      <c r="M188" s="316">
        <v>26480000</v>
      </c>
      <c r="N188" s="266">
        <v>1598</v>
      </c>
      <c r="O188" s="258" t="s">
        <v>77</v>
      </c>
      <c r="P188" s="413" t="s">
        <v>73</v>
      </c>
      <c r="Q188" s="413" t="s">
        <v>72</v>
      </c>
      <c r="R188" s="266">
        <v>5</v>
      </c>
      <c r="S188" s="410">
        <v>8</v>
      </c>
      <c r="T188" s="261">
        <v>6</v>
      </c>
      <c r="U188" s="261">
        <v>6</v>
      </c>
      <c r="V188" s="258" t="s">
        <v>71</v>
      </c>
      <c r="W188" s="261" t="str">
        <f t="shared" si="36"/>
        <v>현대자동차코나가솔린 터보 2.0 인스퍼레이션 2wd a/t26480000</v>
      </c>
      <c r="X188" s="411">
        <f t="shared" si="37"/>
        <v>3962</v>
      </c>
      <c r="Y188" s="261">
        <v>6</v>
      </c>
      <c r="Z188" s="261">
        <v>6</v>
      </c>
      <c r="AA188" s="407" t="s">
        <v>915</v>
      </c>
      <c r="AB188" s="258" t="s">
        <v>1431</v>
      </c>
      <c r="AC188" s="258"/>
      <c r="AD188" s="258">
        <v>3</v>
      </c>
      <c r="AE188" s="258">
        <v>0</v>
      </c>
      <c r="AF188" s="259"/>
      <c r="AG188" s="260"/>
      <c r="AH188" s="259"/>
      <c r="AI188" s="259"/>
      <c r="AJ188" s="260"/>
      <c r="AK188" s="259">
        <v>26</v>
      </c>
      <c r="AL188" s="259"/>
      <c r="AM188" s="259" t="s">
        <v>3231</v>
      </c>
      <c r="AN188" s="449"/>
      <c r="AO188" s="449"/>
      <c r="AP188" s="449"/>
      <c r="AQ188" s="392" t="str">
        <f>IFERROR(VLOOKUP(BG188,#REF!,1,0),"")</f>
        <v/>
      </c>
      <c r="AS188" s="259" t="s">
        <v>3231</v>
      </c>
      <c r="BD188" s="202" t="str">
        <f t="shared" si="29"/>
        <v>코나가솔린 터보 2.0 인스퍼레이션 2wd a/t</v>
      </c>
      <c r="BE188" s="261" t="str">
        <f t="shared" si="35"/>
        <v>0021</v>
      </c>
      <c r="BF188" s="407" t="s">
        <v>915</v>
      </c>
      <c r="BG188" s="202" t="str">
        <f t="shared" si="30"/>
        <v>0021-0187</v>
      </c>
    </row>
    <row r="189" spans="1:59">
      <c r="A189" s="405">
        <v>3963</v>
      </c>
      <c r="B189" s="406">
        <v>3963</v>
      </c>
      <c r="C189" s="261" t="str">
        <f t="shared" si="31"/>
        <v>0005-0021</v>
      </c>
      <c r="D189" s="261" t="str">
        <f t="shared" si="32"/>
        <v>0005-0021-0014</v>
      </c>
      <c r="E189" s="407" t="s">
        <v>914</v>
      </c>
      <c r="F189" s="261" t="str">
        <f>TEXT(VLOOKUP(J189,'[3]1'!$B$2:$D$37,2,0),"0000")</f>
        <v>0005</v>
      </c>
      <c r="G189" s="261" t="str">
        <f t="shared" si="33"/>
        <v>0021</v>
      </c>
      <c r="H189" s="408">
        <f t="shared" si="34"/>
        <v>14</v>
      </c>
      <c r="I189" s="407" t="s">
        <v>914</v>
      </c>
      <c r="J189" s="258" t="s">
        <v>294</v>
      </c>
      <c r="K189" s="258" t="s">
        <v>2767</v>
      </c>
      <c r="L189" s="266" t="s">
        <v>2972</v>
      </c>
      <c r="M189" s="316">
        <v>21440000</v>
      </c>
      <c r="N189" s="266">
        <v>1598</v>
      </c>
      <c r="O189" s="258" t="s">
        <v>77</v>
      </c>
      <c r="P189" s="413" t="s">
        <v>73</v>
      </c>
      <c r="Q189" s="413" t="s">
        <v>72</v>
      </c>
      <c r="R189" s="266">
        <v>5</v>
      </c>
      <c r="S189" s="410">
        <v>8</v>
      </c>
      <c r="T189" s="261">
        <v>6</v>
      </c>
      <c r="U189" s="261">
        <v>6</v>
      </c>
      <c r="V189" s="258" t="s">
        <v>71</v>
      </c>
      <c r="W189" s="261" t="str">
        <f t="shared" si="36"/>
        <v>현대자동차코나가솔린 터보 2.0 스마트 4wd A/T21440000</v>
      </c>
      <c r="X189" s="411">
        <f t="shared" si="37"/>
        <v>3963</v>
      </c>
      <c r="Y189" s="261">
        <v>6</v>
      </c>
      <c r="Z189" s="261">
        <v>6</v>
      </c>
      <c r="AA189" s="407" t="s">
        <v>914</v>
      </c>
      <c r="AB189" s="258" t="s">
        <v>1431</v>
      </c>
      <c r="AC189" s="258"/>
      <c r="AD189" s="258">
        <v>3</v>
      </c>
      <c r="AE189" s="258">
        <v>0</v>
      </c>
      <c r="AF189" s="259"/>
      <c r="AG189" s="260"/>
      <c r="AH189" s="259"/>
      <c r="AI189" s="259"/>
      <c r="AJ189" s="260"/>
      <c r="AK189" s="259">
        <v>26</v>
      </c>
      <c r="AL189" s="259"/>
      <c r="AM189" s="259" t="s">
        <v>3231</v>
      </c>
      <c r="AN189" s="449"/>
      <c r="AO189" s="449"/>
      <c r="AP189" s="449"/>
      <c r="AQ189" s="392" t="str">
        <f>IFERROR(VLOOKUP(BG189,#REF!,1,0),"")</f>
        <v/>
      </c>
      <c r="AS189" s="259" t="s">
        <v>3231</v>
      </c>
      <c r="BD189" s="202" t="str">
        <f t="shared" si="29"/>
        <v>코나가솔린 터보 2.0 스마트 4wd A/T</v>
      </c>
      <c r="BE189" s="261" t="str">
        <f t="shared" si="35"/>
        <v>0021</v>
      </c>
      <c r="BF189" s="407" t="s">
        <v>914</v>
      </c>
      <c r="BG189" s="202" t="str">
        <f t="shared" si="30"/>
        <v>0021-0188</v>
      </c>
    </row>
    <row r="190" spans="1:59">
      <c r="A190" s="405">
        <v>3964</v>
      </c>
      <c r="B190" s="406">
        <v>3964</v>
      </c>
      <c r="C190" s="261" t="str">
        <f t="shared" si="31"/>
        <v>0005-0021</v>
      </c>
      <c r="D190" s="261" t="str">
        <f t="shared" si="32"/>
        <v>0005-0021-0015</v>
      </c>
      <c r="E190" s="407" t="s">
        <v>913</v>
      </c>
      <c r="F190" s="261" t="str">
        <f>TEXT(VLOOKUP(J190,'[3]1'!$B$2:$D$37,2,0),"0000")</f>
        <v>0005</v>
      </c>
      <c r="G190" s="261" t="str">
        <f t="shared" si="33"/>
        <v>0021</v>
      </c>
      <c r="H190" s="408">
        <f t="shared" si="34"/>
        <v>15</v>
      </c>
      <c r="I190" s="407" t="s">
        <v>913</v>
      </c>
      <c r="J190" s="258" t="s">
        <v>294</v>
      </c>
      <c r="K190" s="258" t="s">
        <v>2767</v>
      </c>
      <c r="L190" s="266" t="s">
        <v>2973</v>
      </c>
      <c r="M190" s="316">
        <v>23570000</v>
      </c>
      <c r="N190" s="266">
        <v>1598</v>
      </c>
      <c r="O190" s="258" t="s">
        <v>77</v>
      </c>
      <c r="P190" s="413" t="s">
        <v>73</v>
      </c>
      <c r="Q190" s="413" t="s">
        <v>72</v>
      </c>
      <c r="R190" s="266">
        <v>5</v>
      </c>
      <c r="S190" s="410">
        <v>8</v>
      </c>
      <c r="T190" s="261">
        <v>6</v>
      </c>
      <c r="U190" s="261">
        <v>6</v>
      </c>
      <c r="V190" s="258" t="s">
        <v>71</v>
      </c>
      <c r="W190" s="261" t="str">
        <f t="shared" si="36"/>
        <v>현대자동차코나가솔린 터보 2.0 모던 4WD A/T23570000</v>
      </c>
      <c r="X190" s="411">
        <f t="shared" si="37"/>
        <v>3964</v>
      </c>
      <c r="Y190" s="261">
        <v>6</v>
      </c>
      <c r="Z190" s="261">
        <v>6</v>
      </c>
      <c r="AA190" s="407" t="s">
        <v>913</v>
      </c>
      <c r="AB190" s="258" t="s">
        <v>1431</v>
      </c>
      <c r="AC190" s="258"/>
      <c r="AD190" s="258">
        <v>3</v>
      </c>
      <c r="AE190" s="258">
        <v>0</v>
      </c>
      <c r="AF190" s="259"/>
      <c r="AG190" s="260"/>
      <c r="AH190" s="259"/>
      <c r="AI190" s="259"/>
      <c r="AJ190" s="260"/>
      <c r="AK190" s="259">
        <v>26</v>
      </c>
      <c r="AL190" s="259"/>
      <c r="AM190" s="259" t="s">
        <v>3231</v>
      </c>
      <c r="AN190" s="449"/>
      <c r="AO190" s="449"/>
      <c r="AP190" s="449"/>
      <c r="AQ190" s="392" t="str">
        <f>IFERROR(VLOOKUP(BG190,#REF!,1,0),"")</f>
        <v/>
      </c>
      <c r="AS190" s="259" t="s">
        <v>3231</v>
      </c>
      <c r="BD190" s="202" t="str">
        <f t="shared" si="29"/>
        <v>코나가솔린 터보 2.0 모던 4WD A/T</v>
      </c>
      <c r="BE190" s="261" t="str">
        <f t="shared" si="35"/>
        <v>0021</v>
      </c>
      <c r="BF190" s="407" t="s">
        <v>913</v>
      </c>
      <c r="BG190" s="202" t="str">
        <f t="shared" si="30"/>
        <v>0021-0189</v>
      </c>
    </row>
    <row r="191" spans="1:59">
      <c r="A191" s="405">
        <v>3965</v>
      </c>
      <c r="B191" s="406">
        <v>3965</v>
      </c>
      <c r="C191" s="261" t="str">
        <f t="shared" si="31"/>
        <v>0005-0021</v>
      </c>
      <c r="D191" s="261" t="str">
        <f t="shared" si="32"/>
        <v>0005-0021-0016</v>
      </c>
      <c r="E191" s="407" t="s">
        <v>912</v>
      </c>
      <c r="F191" s="261" t="str">
        <f>TEXT(VLOOKUP(J191,'[3]1'!$B$2:$D$37,2,0),"0000")</f>
        <v>0005</v>
      </c>
      <c r="G191" s="261" t="str">
        <f t="shared" si="33"/>
        <v>0021</v>
      </c>
      <c r="H191" s="408">
        <f t="shared" si="34"/>
        <v>16</v>
      </c>
      <c r="I191" s="407" t="s">
        <v>912</v>
      </c>
      <c r="J191" s="258" t="s">
        <v>294</v>
      </c>
      <c r="K191" s="258" t="s">
        <v>2767</v>
      </c>
      <c r="L191" s="266" t="s">
        <v>2974</v>
      </c>
      <c r="M191" s="316">
        <v>28300000</v>
      </c>
      <c r="N191" s="266">
        <v>1598</v>
      </c>
      <c r="O191" s="258" t="s">
        <v>77</v>
      </c>
      <c r="P191" s="413" t="s">
        <v>73</v>
      </c>
      <c r="Q191" s="413" t="s">
        <v>72</v>
      </c>
      <c r="R191" s="266">
        <v>5</v>
      </c>
      <c r="S191" s="410">
        <v>8</v>
      </c>
      <c r="T191" s="261">
        <v>6</v>
      </c>
      <c r="U191" s="261">
        <v>6</v>
      </c>
      <c r="V191" s="258" t="s">
        <v>71</v>
      </c>
      <c r="W191" s="261" t="str">
        <f t="shared" si="36"/>
        <v>현대자동차코나가솔린 터보 2.0 인스퍼레이션 4wd a/t28300000</v>
      </c>
      <c r="X191" s="411">
        <f t="shared" si="37"/>
        <v>3965</v>
      </c>
      <c r="Y191" s="261">
        <v>6</v>
      </c>
      <c r="Z191" s="261">
        <v>6</v>
      </c>
      <c r="AA191" s="407" t="s">
        <v>912</v>
      </c>
      <c r="AB191" s="258" t="s">
        <v>1431</v>
      </c>
      <c r="AC191" s="258"/>
      <c r="AD191" s="258">
        <v>3</v>
      </c>
      <c r="AE191" s="258">
        <v>0</v>
      </c>
      <c r="AF191" s="259"/>
      <c r="AG191" s="260"/>
      <c r="AH191" s="259"/>
      <c r="AI191" s="259"/>
      <c r="AJ191" s="260"/>
      <c r="AK191" s="259">
        <v>26</v>
      </c>
      <c r="AL191" s="259"/>
      <c r="AM191" s="259" t="s">
        <v>3231</v>
      </c>
      <c r="AN191" s="449"/>
      <c r="AO191" s="449"/>
      <c r="AP191" s="449"/>
      <c r="AQ191" s="392" t="str">
        <f>IFERROR(VLOOKUP(BG191,#REF!,1,0),"")</f>
        <v/>
      </c>
      <c r="AS191" s="259" t="s">
        <v>3231</v>
      </c>
      <c r="BD191" s="202" t="str">
        <f t="shared" si="29"/>
        <v>코나가솔린 터보 2.0 인스퍼레이션 4wd a/t</v>
      </c>
      <c r="BE191" s="261" t="str">
        <f t="shared" si="35"/>
        <v>0021</v>
      </c>
      <c r="BF191" s="407" t="s">
        <v>912</v>
      </c>
      <c r="BG191" s="202" t="str">
        <f t="shared" si="30"/>
        <v>0021-0190</v>
      </c>
    </row>
    <row r="192" spans="1:59">
      <c r="A192" s="405">
        <v>3966</v>
      </c>
      <c r="B192" s="406">
        <v>3966</v>
      </c>
      <c r="C192" s="261" t="str">
        <f t="shared" si="31"/>
        <v>0005-0021</v>
      </c>
      <c r="D192" s="261" t="str">
        <f t="shared" si="32"/>
        <v>0005-0021-0017</v>
      </c>
      <c r="E192" s="407" t="s">
        <v>911</v>
      </c>
      <c r="F192" s="261" t="str">
        <f>TEXT(VLOOKUP(J192,'[3]1'!$B$2:$D$37,2,0),"0000")</f>
        <v>0005</v>
      </c>
      <c r="G192" s="261" t="str">
        <f t="shared" si="33"/>
        <v>0021</v>
      </c>
      <c r="H192" s="408">
        <f t="shared" si="34"/>
        <v>17</v>
      </c>
      <c r="I192" s="407" t="s">
        <v>911</v>
      </c>
      <c r="J192" s="258" t="s">
        <v>294</v>
      </c>
      <c r="K192" s="258" t="s">
        <v>2767</v>
      </c>
      <c r="L192" s="258" t="s">
        <v>2579</v>
      </c>
      <c r="M192" s="409">
        <v>19140000</v>
      </c>
      <c r="N192" s="258">
        <v>1591</v>
      </c>
      <c r="O192" s="258" t="s">
        <v>77</v>
      </c>
      <c r="P192" s="258" t="s">
        <v>73</v>
      </c>
      <c r="Q192" s="258" t="s">
        <v>72</v>
      </c>
      <c r="R192" s="258">
        <v>5</v>
      </c>
      <c r="S192" s="410">
        <v>8</v>
      </c>
      <c r="T192" s="261">
        <v>6</v>
      </c>
      <c r="U192" s="261">
        <v>6</v>
      </c>
      <c r="V192" s="258" t="s">
        <v>1969</v>
      </c>
      <c r="W192" s="261" t="str">
        <f t="shared" si="36"/>
        <v>현대자동차코나Smart 2WD19140000</v>
      </c>
      <c r="X192" s="411">
        <f t="shared" si="37"/>
        <v>3966</v>
      </c>
      <c r="Y192" s="261">
        <v>6</v>
      </c>
      <c r="Z192" s="261">
        <v>6</v>
      </c>
      <c r="AA192" s="407" t="s">
        <v>911</v>
      </c>
      <c r="AB192" s="258" t="s">
        <v>3333</v>
      </c>
      <c r="AC192" s="258"/>
      <c r="AD192" s="258" t="s">
        <v>2131</v>
      </c>
      <c r="AE192" s="258" t="s">
        <v>2129</v>
      </c>
      <c r="AF192" s="259"/>
      <c r="AG192" s="260"/>
      <c r="AH192" s="259"/>
      <c r="AI192" s="259"/>
      <c r="AJ192" s="260"/>
      <c r="AK192" s="259">
        <v>26</v>
      </c>
      <c r="AL192" s="259"/>
      <c r="AM192" s="259" t="s">
        <v>3231</v>
      </c>
      <c r="AN192" s="449"/>
      <c r="AO192" s="449"/>
      <c r="AP192" s="449"/>
      <c r="AQ192" s="392" t="str">
        <f>IFERROR(VLOOKUP(BG192,#REF!,1,0),"")</f>
        <v/>
      </c>
      <c r="AS192" s="259" t="s">
        <v>3231</v>
      </c>
      <c r="BD192" s="202" t="str">
        <f t="shared" si="29"/>
        <v>코나Smart 2WD</v>
      </c>
      <c r="BE192" s="261" t="str">
        <f t="shared" si="35"/>
        <v>0021</v>
      </c>
      <c r="BF192" s="407" t="s">
        <v>911</v>
      </c>
      <c r="BG192" s="202" t="str">
        <f t="shared" si="30"/>
        <v>0021-0191</v>
      </c>
    </row>
    <row r="193" spans="1:59">
      <c r="A193" s="405">
        <v>3967</v>
      </c>
      <c r="B193" s="406">
        <v>3967</v>
      </c>
      <c r="C193" s="261" t="str">
        <f t="shared" si="31"/>
        <v>0005-0021</v>
      </c>
      <c r="D193" s="261" t="str">
        <f t="shared" si="32"/>
        <v>0005-0021-0018</v>
      </c>
      <c r="E193" s="407" t="s">
        <v>910</v>
      </c>
      <c r="F193" s="261" t="str">
        <f>TEXT(VLOOKUP(J193,'[3]1'!$B$2:$D$37,2,0),"0000")</f>
        <v>0005</v>
      </c>
      <c r="G193" s="261" t="str">
        <f t="shared" si="33"/>
        <v>0021</v>
      </c>
      <c r="H193" s="408">
        <f t="shared" si="34"/>
        <v>18</v>
      </c>
      <c r="I193" s="407" t="s">
        <v>910</v>
      </c>
      <c r="J193" s="258" t="s">
        <v>294</v>
      </c>
      <c r="K193" s="258" t="s">
        <v>2767</v>
      </c>
      <c r="L193" s="258" t="s">
        <v>2580</v>
      </c>
      <c r="M193" s="409">
        <v>21020000</v>
      </c>
      <c r="N193" s="258">
        <v>1591</v>
      </c>
      <c r="O193" s="258" t="s">
        <v>77</v>
      </c>
      <c r="P193" s="258" t="s">
        <v>73</v>
      </c>
      <c r="Q193" s="258" t="s">
        <v>72</v>
      </c>
      <c r="R193" s="258">
        <v>4</v>
      </c>
      <c r="S193" s="410">
        <v>8</v>
      </c>
      <c r="T193" s="261">
        <v>6</v>
      </c>
      <c r="U193" s="261">
        <v>6</v>
      </c>
      <c r="V193" s="258" t="s">
        <v>71</v>
      </c>
      <c r="W193" s="261" t="str">
        <f t="shared" si="36"/>
        <v>현대자동차코나1.6 터보 모던 초이스21020000</v>
      </c>
      <c r="X193" s="411">
        <f t="shared" si="37"/>
        <v>3967</v>
      </c>
      <c r="Y193" s="261">
        <v>6</v>
      </c>
      <c r="Z193" s="261">
        <v>6</v>
      </c>
      <c r="AA193" s="407" t="s">
        <v>910</v>
      </c>
      <c r="AB193" s="258" t="s">
        <v>73</v>
      </c>
      <c r="AC193" s="258"/>
      <c r="AD193" s="258" t="s">
        <v>2131</v>
      </c>
      <c r="AE193" s="258" t="s">
        <v>2129</v>
      </c>
      <c r="AF193" s="259"/>
      <c r="AG193" s="260"/>
      <c r="AH193" s="259"/>
      <c r="AI193" s="259"/>
      <c r="AJ193" s="260"/>
      <c r="AK193" s="259">
        <v>26</v>
      </c>
      <c r="AL193" s="259"/>
      <c r="AM193" s="259" t="s">
        <v>3231</v>
      </c>
      <c r="AN193" s="449"/>
      <c r="AO193" s="449"/>
      <c r="AP193" s="449"/>
      <c r="AQ193" s="392" t="str">
        <f>IFERROR(VLOOKUP(BG193,#REF!,1,0),"")</f>
        <v/>
      </c>
      <c r="AS193" s="259" t="s">
        <v>3231</v>
      </c>
      <c r="BD193" s="202" t="str">
        <f t="shared" si="29"/>
        <v>코나1.6 터보 모던 초이스</v>
      </c>
      <c r="BE193" s="261" t="str">
        <f t="shared" si="35"/>
        <v>0021</v>
      </c>
      <c r="BF193" s="407" t="s">
        <v>910</v>
      </c>
      <c r="BG193" s="202" t="str">
        <f t="shared" si="30"/>
        <v>0021-0192</v>
      </c>
    </row>
    <row r="194" spans="1:59">
      <c r="A194" s="405">
        <v>3968</v>
      </c>
      <c r="B194" s="406">
        <v>3968</v>
      </c>
      <c r="C194" s="261" t="str">
        <f t="shared" si="31"/>
        <v>0005-0021</v>
      </c>
      <c r="D194" s="261" t="str">
        <f t="shared" si="32"/>
        <v>0005-0021-0019</v>
      </c>
      <c r="E194" s="407" t="s">
        <v>909</v>
      </c>
      <c r="F194" s="261" t="str">
        <f>TEXT(VLOOKUP(J194,'[3]1'!$B$2:$D$37,2,0),"0000")</f>
        <v>0005</v>
      </c>
      <c r="G194" s="261" t="str">
        <f t="shared" si="33"/>
        <v>0021</v>
      </c>
      <c r="H194" s="408">
        <f t="shared" si="34"/>
        <v>19</v>
      </c>
      <c r="I194" s="407" t="s">
        <v>909</v>
      </c>
      <c r="J194" s="258" t="s">
        <v>294</v>
      </c>
      <c r="K194" s="258" t="s">
        <v>2767</v>
      </c>
      <c r="L194" s="258" t="s">
        <v>2581</v>
      </c>
      <c r="M194" s="409">
        <v>24330000</v>
      </c>
      <c r="N194" s="258">
        <v>1591</v>
      </c>
      <c r="O194" s="258" t="s">
        <v>77</v>
      </c>
      <c r="P194" s="258" t="s">
        <v>73</v>
      </c>
      <c r="Q194" s="258" t="s">
        <v>72</v>
      </c>
      <c r="R194" s="258">
        <v>9</v>
      </c>
      <c r="S194" s="410">
        <v>8</v>
      </c>
      <c r="T194" s="261">
        <v>6</v>
      </c>
      <c r="U194" s="261">
        <v>6</v>
      </c>
      <c r="V194" s="258" t="s">
        <v>71</v>
      </c>
      <c r="W194" s="261" t="str">
        <f t="shared" si="36"/>
        <v>현대자동차코나Premium 4WD24330000</v>
      </c>
      <c r="X194" s="411">
        <f t="shared" si="37"/>
        <v>3968</v>
      </c>
      <c r="Y194" s="261">
        <v>6</v>
      </c>
      <c r="Z194" s="261">
        <v>6</v>
      </c>
      <c r="AA194" s="407" t="s">
        <v>909</v>
      </c>
      <c r="AB194" s="258" t="s">
        <v>2890</v>
      </c>
      <c r="AC194" s="258"/>
      <c r="AD194" s="258" t="s">
        <v>2131</v>
      </c>
      <c r="AE194" s="258" t="s">
        <v>2129</v>
      </c>
      <c r="AF194" s="259"/>
      <c r="AG194" s="260"/>
      <c r="AH194" s="259"/>
      <c r="AI194" s="259"/>
      <c r="AJ194" s="260"/>
      <c r="AK194" s="259">
        <v>26</v>
      </c>
      <c r="AL194" s="259"/>
      <c r="AM194" s="259" t="s">
        <v>3231</v>
      </c>
      <c r="AN194" s="449"/>
      <c r="AO194" s="449"/>
      <c r="AP194" s="449"/>
      <c r="AQ194" s="392" t="str">
        <f>IFERROR(VLOOKUP(BG194,#REF!,1,0),"")</f>
        <v/>
      </c>
      <c r="AS194" s="259" t="s">
        <v>3231</v>
      </c>
      <c r="BD194" s="202" t="str">
        <f t="shared" si="29"/>
        <v>코나Premium 4WD</v>
      </c>
      <c r="BE194" s="261" t="str">
        <f t="shared" si="35"/>
        <v>0021</v>
      </c>
      <c r="BF194" s="407" t="s">
        <v>909</v>
      </c>
      <c r="BG194" s="202" t="str">
        <f t="shared" si="30"/>
        <v>0021-0193</v>
      </c>
    </row>
    <row r="195" spans="1:59">
      <c r="A195" s="405">
        <v>3969</v>
      </c>
      <c r="B195" s="406">
        <v>3969</v>
      </c>
      <c r="C195" s="261" t="str">
        <f t="shared" si="31"/>
        <v>0005-0021</v>
      </c>
      <c r="D195" s="261" t="str">
        <f t="shared" si="32"/>
        <v>0005-0021-0020</v>
      </c>
      <c r="E195" s="407" t="s">
        <v>908</v>
      </c>
      <c r="F195" s="261" t="str">
        <f>TEXT(VLOOKUP(J195,'[3]1'!$B$2:$D$37,2,0),"0000")</f>
        <v>0005</v>
      </c>
      <c r="G195" s="261" t="str">
        <f t="shared" si="33"/>
        <v>0021</v>
      </c>
      <c r="H195" s="408">
        <f t="shared" si="34"/>
        <v>20</v>
      </c>
      <c r="I195" s="407" t="s">
        <v>908</v>
      </c>
      <c r="J195" s="258" t="s">
        <v>294</v>
      </c>
      <c r="K195" s="258" t="s">
        <v>2767</v>
      </c>
      <c r="L195" s="258" t="s">
        <v>2582</v>
      </c>
      <c r="M195" s="409">
        <v>22460000</v>
      </c>
      <c r="N195" s="258">
        <v>1591</v>
      </c>
      <c r="O195" s="258" t="s">
        <v>77</v>
      </c>
      <c r="P195" s="258" t="s">
        <v>73</v>
      </c>
      <c r="Q195" s="258" t="s">
        <v>72</v>
      </c>
      <c r="R195" s="258">
        <v>5</v>
      </c>
      <c r="S195" s="410">
        <v>8</v>
      </c>
      <c r="T195" s="261">
        <v>6</v>
      </c>
      <c r="U195" s="261">
        <v>6</v>
      </c>
      <c r="V195" s="258" t="s">
        <v>3329</v>
      </c>
      <c r="W195" s="261" t="str">
        <f t="shared" si="36"/>
        <v>현대자동차코나Premium 2WD22460000</v>
      </c>
      <c r="X195" s="411">
        <f t="shared" si="37"/>
        <v>3969</v>
      </c>
      <c r="Y195" s="261">
        <v>6</v>
      </c>
      <c r="Z195" s="261">
        <v>6</v>
      </c>
      <c r="AA195" s="407" t="s">
        <v>908</v>
      </c>
      <c r="AB195" s="258" t="s">
        <v>3333</v>
      </c>
      <c r="AC195" s="258"/>
      <c r="AD195" s="258" t="s">
        <v>2131</v>
      </c>
      <c r="AE195" s="258" t="s">
        <v>2129</v>
      </c>
      <c r="AF195" s="259"/>
      <c r="AG195" s="260"/>
      <c r="AH195" s="259"/>
      <c r="AI195" s="259"/>
      <c r="AJ195" s="260"/>
      <c r="AK195" s="259">
        <v>26</v>
      </c>
      <c r="AL195" s="259"/>
      <c r="AM195" s="259" t="s">
        <v>3231</v>
      </c>
      <c r="AN195" s="449"/>
      <c r="AO195" s="449"/>
      <c r="AP195" s="449"/>
      <c r="AQ195" s="392" t="str">
        <f>IFERROR(VLOOKUP(BG195,#REF!,1,0),"")</f>
        <v/>
      </c>
      <c r="AS195" s="259" t="s">
        <v>3231</v>
      </c>
      <c r="BD195" s="202" t="str">
        <f t="shared" si="29"/>
        <v>코나Premium 2WD</v>
      </c>
      <c r="BE195" s="261" t="str">
        <f t="shared" si="35"/>
        <v>0021</v>
      </c>
      <c r="BF195" s="407" t="s">
        <v>908</v>
      </c>
      <c r="BG195" s="202" t="str">
        <f t="shared" si="30"/>
        <v>0021-0194</v>
      </c>
    </row>
    <row r="196" spans="1:59">
      <c r="A196" s="405">
        <v>3970</v>
      </c>
      <c r="B196" s="406">
        <v>3970</v>
      </c>
      <c r="C196" s="261" t="str">
        <f t="shared" si="31"/>
        <v>0005-0021</v>
      </c>
      <c r="D196" s="261" t="str">
        <f t="shared" si="32"/>
        <v>0005-0021-0021</v>
      </c>
      <c r="E196" s="407" t="s">
        <v>907</v>
      </c>
      <c r="F196" s="261" t="str">
        <f>TEXT(VLOOKUP(J196,'[3]1'!$B$2:$D$37,2,0),"0000")</f>
        <v>0005</v>
      </c>
      <c r="G196" s="261" t="str">
        <f t="shared" si="33"/>
        <v>0021</v>
      </c>
      <c r="H196" s="408">
        <f t="shared" si="34"/>
        <v>21</v>
      </c>
      <c r="I196" s="407" t="s">
        <v>907</v>
      </c>
      <c r="J196" s="258" t="s">
        <v>294</v>
      </c>
      <c r="K196" s="258" t="s">
        <v>2767</v>
      </c>
      <c r="L196" s="258" t="s">
        <v>2585</v>
      </c>
      <c r="M196" s="409">
        <v>23732850</v>
      </c>
      <c r="N196" s="258">
        <v>1580</v>
      </c>
      <c r="O196" s="258" t="s">
        <v>74</v>
      </c>
      <c r="P196" s="258" t="s">
        <v>73</v>
      </c>
      <c r="Q196" s="258" t="s">
        <v>72</v>
      </c>
      <c r="R196" s="258">
        <v>5</v>
      </c>
      <c r="S196" s="410">
        <v>6</v>
      </c>
      <c r="T196" s="261">
        <v>6</v>
      </c>
      <c r="U196" s="261">
        <v>6</v>
      </c>
      <c r="V196" s="258" t="s">
        <v>1914</v>
      </c>
      <c r="W196" s="261" t="str">
        <f t="shared" si="36"/>
        <v>현대자동차코나하이브리드 스마트 스페셜23732850</v>
      </c>
      <c r="X196" s="411">
        <f t="shared" si="37"/>
        <v>3970</v>
      </c>
      <c r="Y196" s="261">
        <v>6</v>
      </c>
      <c r="Z196" s="261">
        <v>6</v>
      </c>
      <c r="AA196" s="407" t="s">
        <v>907</v>
      </c>
      <c r="AB196" s="258" t="s">
        <v>3333</v>
      </c>
      <c r="AC196" s="258"/>
      <c r="AD196" s="258" t="s">
        <v>2132</v>
      </c>
      <c r="AE196" s="258" t="s">
        <v>2129</v>
      </c>
      <c r="AF196" s="259"/>
      <c r="AG196" s="260"/>
      <c r="AH196" s="259"/>
      <c r="AI196" s="259"/>
      <c r="AJ196" s="260"/>
      <c r="AK196" s="259">
        <v>26</v>
      </c>
      <c r="AL196" s="259"/>
      <c r="AM196" s="259" t="s">
        <v>150</v>
      </c>
      <c r="AN196" s="449"/>
      <c r="AO196" s="449"/>
      <c r="AP196" s="449"/>
      <c r="AQ196" s="392" t="str">
        <f>IFERROR(VLOOKUP(BG196,#REF!,1,0),"")</f>
        <v/>
      </c>
      <c r="AS196" s="259" t="s">
        <v>150</v>
      </c>
      <c r="BD196" s="202" t="str">
        <f t="shared" si="29"/>
        <v>코나하이브리드 스마트 스페셜</v>
      </c>
      <c r="BE196" s="261" t="str">
        <f t="shared" si="35"/>
        <v>0021</v>
      </c>
      <c r="BF196" s="407" t="s">
        <v>907</v>
      </c>
      <c r="BG196" s="202" t="str">
        <f t="shared" si="30"/>
        <v>0021-0195</v>
      </c>
    </row>
    <row r="197" spans="1:59">
      <c r="A197" s="405">
        <v>3971</v>
      </c>
      <c r="B197" s="406">
        <v>3971</v>
      </c>
      <c r="C197" s="261" t="str">
        <f t="shared" si="31"/>
        <v>0005-0021</v>
      </c>
      <c r="D197" s="261" t="str">
        <f t="shared" si="32"/>
        <v>0005-0021-0022</v>
      </c>
      <c r="E197" s="407" t="s">
        <v>906</v>
      </c>
      <c r="F197" s="261" t="str">
        <f>TEXT(VLOOKUP(J197,'[3]1'!$B$2:$D$37,2,0),"0000")</f>
        <v>0005</v>
      </c>
      <c r="G197" s="261" t="str">
        <f t="shared" si="33"/>
        <v>0021</v>
      </c>
      <c r="H197" s="408">
        <f t="shared" si="34"/>
        <v>22</v>
      </c>
      <c r="I197" s="407" t="s">
        <v>906</v>
      </c>
      <c r="J197" s="258" t="s">
        <v>294</v>
      </c>
      <c r="K197" s="258" t="s">
        <v>2767</v>
      </c>
      <c r="L197" s="258" t="s">
        <v>2586</v>
      </c>
      <c r="M197" s="409">
        <v>25614750</v>
      </c>
      <c r="N197" s="258">
        <v>1580</v>
      </c>
      <c r="O197" s="258" t="s">
        <v>74</v>
      </c>
      <c r="P197" s="258" t="s">
        <v>73</v>
      </c>
      <c r="Q197" s="258" t="s">
        <v>72</v>
      </c>
      <c r="R197" s="258">
        <v>5</v>
      </c>
      <c r="S197" s="410">
        <v>6</v>
      </c>
      <c r="T197" s="261">
        <v>6</v>
      </c>
      <c r="U197" s="261">
        <v>6</v>
      </c>
      <c r="V197" s="258" t="s">
        <v>1914</v>
      </c>
      <c r="W197" s="261" t="str">
        <f t="shared" si="36"/>
        <v>현대자동차코나하이브리드 모던 스페셜25614750</v>
      </c>
      <c r="X197" s="411">
        <f t="shared" si="37"/>
        <v>3971</v>
      </c>
      <c r="Y197" s="261">
        <v>6</v>
      </c>
      <c r="Z197" s="261">
        <v>6</v>
      </c>
      <c r="AA197" s="407" t="s">
        <v>906</v>
      </c>
      <c r="AB197" s="258" t="s">
        <v>73</v>
      </c>
      <c r="AC197" s="258"/>
      <c r="AD197" s="258" t="s">
        <v>2132</v>
      </c>
      <c r="AE197" s="258" t="s">
        <v>2129</v>
      </c>
      <c r="AF197" s="259"/>
      <c r="AG197" s="260"/>
      <c r="AH197" s="259"/>
      <c r="AI197" s="259"/>
      <c r="AJ197" s="260"/>
      <c r="AK197" s="259">
        <v>26</v>
      </c>
      <c r="AL197" s="259"/>
      <c r="AM197" s="259" t="s">
        <v>150</v>
      </c>
      <c r="AN197" s="449"/>
      <c r="AO197" s="449"/>
      <c r="AP197" s="449"/>
      <c r="AQ197" s="392" t="str">
        <f>IFERROR(VLOOKUP(BG197,#REF!,1,0),"")</f>
        <v/>
      </c>
      <c r="AS197" s="259" t="s">
        <v>150</v>
      </c>
      <c r="BD197" s="202" t="str">
        <f t="shared" ref="BD197:BD260" si="38">K197&amp;L197</f>
        <v>코나하이브리드 모던 스페셜</v>
      </c>
      <c r="BE197" s="261" t="str">
        <f t="shared" si="35"/>
        <v>0021</v>
      </c>
      <c r="BF197" s="407" t="s">
        <v>906</v>
      </c>
      <c r="BG197" s="202" t="str">
        <f t="shared" ref="BG197:BG260" si="39">BE197&amp;"-"&amp;BF197</f>
        <v>0021-0196</v>
      </c>
    </row>
    <row r="198" spans="1:59">
      <c r="A198" s="405">
        <v>3972</v>
      </c>
      <c r="B198" s="406">
        <v>3972</v>
      </c>
      <c r="C198" s="261" t="str">
        <f t="shared" ref="C198:C261" si="40">TEXT(F198,"0000")&amp;"-"&amp;TEXT(G198,"0000")</f>
        <v>0005-0021</v>
      </c>
      <c r="D198" s="261" t="str">
        <f t="shared" ref="D198:D261" si="41">TEXT(F198,"0000")&amp;"-"&amp;TEXT(G198,"0000")&amp;"-"&amp;TEXT(H198,"0000")</f>
        <v>0005-0021-0023</v>
      </c>
      <c r="E198" s="407" t="s">
        <v>905</v>
      </c>
      <c r="F198" s="261" t="str">
        <f>TEXT(VLOOKUP(J198,'[3]1'!$B$2:$D$37,2,0),"0000")</f>
        <v>0005</v>
      </c>
      <c r="G198" s="261" t="str">
        <f t="shared" ref="G198:G261" si="42">IF(K198=K197,TEXT(G197,"0000"),TEXT(G197+1,"0000"))</f>
        <v>0021</v>
      </c>
      <c r="H198" s="408">
        <f t="shared" ref="H198:H261" si="43">IF(F198&amp;G198=F197&amp;G197,H197+1,1)</f>
        <v>23</v>
      </c>
      <c r="I198" s="407" t="s">
        <v>905</v>
      </c>
      <c r="J198" s="258" t="s">
        <v>294</v>
      </c>
      <c r="K198" s="258" t="s">
        <v>2767</v>
      </c>
      <c r="L198" s="258" t="s">
        <v>2587</v>
      </c>
      <c r="M198" s="409">
        <v>27298005</v>
      </c>
      <c r="N198" s="258">
        <v>1580</v>
      </c>
      <c r="O198" s="258" t="s">
        <v>74</v>
      </c>
      <c r="P198" s="258" t="s">
        <v>73</v>
      </c>
      <c r="Q198" s="258" t="s">
        <v>72</v>
      </c>
      <c r="R198" s="258">
        <v>5</v>
      </c>
      <c r="S198" s="410">
        <v>6</v>
      </c>
      <c r="T198" s="261">
        <v>6</v>
      </c>
      <c r="U198" s="261">
        <v>6</v>
      </c>
      <c r="V198" s="258" t="s">
        <v>1914</v>
      </c>
      <c r="W198" s="261" t="str">
        <f t="shared" si="36"/>
        <v>현대자동차코나하이브리드 프리미엄 스페셜27298005</v>
      </c>
      <c r="X198" s="411">
        <f t="shared" si="37"/>
        <v>3972</v>
      </c>
      <c r="Y198" s="261">
        <v>6</v>
      </c>
      <c r="Z198" s="261">
        <v>6</v>
      </c>
      <c r="AA198" s="407" t="s">
        <v>905</v>
      </c>
      <c r="AB198" s="258" t="s">
        <v>3333</v>
      </c>
      <c r="AC198" s="258"/>
      <c r="AD198" s="258" t="s">
        <v>2132</v>
      </c>
      <c r="AE198" s="258" t="s">
        <v>2129</v>
      </c>
      <c r="AF198" s="259"/>
      <c r="AG198" s="260"/>
      <c r="AH198" s="259"/>
      <c r="AI198" s="259"/>
      <c r="AJ198" s="260"/>
      <c r="AK198" s="259">
        <v>26</v>
      </c>
      <c r="AL198" s="259"/>
      <c r="AM198" s="259" t="s">
        <v>150</v>
      </c>
      <c r="AN198" s="449"/>
      <c r="AO198" s="449"/>
      <c r="AP198" s="449"/>
      <c r="AQ198" s="392" t="str">
        <f>IFERROR(VLOOKUP(BG198,#REF!,1,0),"")</f>
        <v/>
      </c>
      <c r="AS198" s="259" t="s">
        <v>150</v>
      </c>
      <c r="BD198" s="202" t="str">
        <f t="shared" si="38"/>
        <v>코나하이브리드 프리미엄 스페셜</v>
      </c>
      <c r="BE198" s="261" t="str">
        <f t="shared" ref="BE198:BE261" si="44">IF(K197=K198,TEXT(G197,"0000"),TEXT(G197+1,"0000"))</f>
        <v>0021</v>
      </c>
      <c r="BF198" s="407" t="s">
        <v>905</v>
      </c>
      <c r="BG198" s="202" t="str">
        <f t="shared" si="39"/>
        <v>0021-0197</v>
      </c>
    </row>
    <row r="199" spans="1:59">
      <c r="A199" s="405">
        <v>3973</v>
      </c>
      <c r="B199" s="406">
        <v>3973</v>
      </c>
      <c r="C199" s="261" t="str">
        <f t="shared" si="40"/>
        <v>0005-0021</v>
      </c>
      <c r="D199" s="261" t="str">
        <f t="shared" si="41"/>
        <v>0005-0021-0024</v>
      </c>
      <c r="E199" s="407" t="s">
        <v>904</v>
      </c>
      <c r="F199" s="261" t="str">
        <f>TEXT(VLOOKUP(J199,'[3]1'!$B$2:$D$37,2,0),"0000")</f>
        <v>0005</v>
      </c>
      <c r="G199" s="261" t="str">
        <f t="shared" si="42"/>
        <v>0021</v>
      </c>
      <c r="H199" s="408">
        <f t="shared" si="43"/>
        <v>24</v>
      </c>
      <c r="I199" s="407" t="s">
        <v>904</v>
      </c>
      <c r="J199" s="258" t="s">
        <v>294</v>
      </c>
      <c r="K199" s="258" t="s">
        <v>2767</v>
      </c>
      <c r="L199" s="258" t="s">
        <v>2583</v>
      </c>
      <c r="M199" s="409">
        <v>49948500</v>
      </c>
      <c r="N199" s="258">
        <v>0</v>
      </c>
      <c r="O199" s="258" t="s">
        <v>1290</v>
      </c>
      <c r="P199" s="258" t="s">
        <v>73</v>
      </c>
      <c r="Q199" s="258" t="s">
        <v>72</v>
      </c>
      <c r="R199" s="258">
        <v>5</v>
      </c>
      <c r="S199" s="410">
        <v>16</v>
      </c>
      <c r="T199" s="261">
        <v>6</v>
      </c>
      <c r="U199" s="261">
        <v>6</v>
      </c>
      <c r="V199" s="258" t="s">
        <v>1914</v>
      </c>
      <c r="W199" s="261" t="str">
        <f t="shared" ref="W199:W262" si="45">J199&amp;K199&amp;L199&amp;M199</f>
        <v>현대자동차코나Electric Modern (오토론)49948500</v>
      </c>
      <c r="X199" s="411">
        <f t="shared" ref="X199:X262" si="46">B199</f>
        <v>3973</v>
      </c>
      <c r="Y199" s="261">
        <v>6</v>
      </c>
      <c r="Z199" s="261">
        <v>6</v>
      </c>
      <c r="AA199" s="407" t="s">
        <v>904</v>
      </c>
      <c r="AB199" s="258" t="s">
        <v>3333</v>
      </c>
      <c r="AC199" s="258"/>
      <c r="AD199" s="258" t="s">
        <v>2132</v>
      </c>
      <c r="AE199" s="258" t="s">
        <v>2129</v>
      </c>
      <c r="AF199" s="259"/>
      <c r="AG199" s="260"/>
      <c r="AH199" s="259"/>
      <c r="AI199" s="259"/>
      <c r="AJ199" s="260"/>
      <c r="AK199" s="259">
        <v>26</v>
      </c>
      <c r="AL199" s="259"/>
      <c r="AM199" s="259" t="s">
        <v>3072</v>
      </c>
      <c r="AN199" s="449"/>
      <c r="AO199" s="449"/>
      <c r="AP199" s="449"/>
      <c r="AQ199" s="392" t="str">
        <f>IFERROR(VLOOKUP(BG199,#REF!,1,0),"")</f>
        <v/>
      </c>
      <c r="AS199" s="259" t="s">
        <v>3230</v>
      </c>
      <c r="BD199" s="202" t="str">
        <f t="shared" si="38"/>
        <v>코나Electric Modern (오토론)</v>
      </c>
      <c r="BE199" s="261" t="str">
        <f t="shared" si="44"/>
        <v>0021</v>
      </c>
      <c r="BF199" s="407" t="s">
        <v>904</v>
      </c>
      <c r="BG199" s="202" t="str">
        <f t="shared" si="39"/>
        <v>0021-0198</v>
      </c>
    </row>
    <row r="200" spans="1:59">
      <c r="A200" s="405">
        <v>3974</v>
      </c>
      <c r="B200" s="406">
        <v>3974</v>
      </c>
      <c r="C200" s="261" t="str">
        <f t="shared" si="40"/>
        <v>0005-0021</v>
      </c>
      <c r="D200" s="261" t="str">
        <f t="shared" si="41"/>
        <v>0005-0021-0025</v>
      </c>
      <c r="E200" s="407" t="s">
        <v>903</v>
      </c>
      <c r="F200" s="261" t="str">
        <f>TEXT(VLOOKUP(J200,'[3]1'!$B$2:$D$37,2,0),"0000")</f>
        <v>0005</v>
      </c>
      <c r="G200" s="261" t="str">
        <f t="shared" si="42"/>
        <v>0021</v>
      </c>
      <c r="H200" s="408">
        <f t="shared" si="43"/>
        <v>25</v>
      </c>
      <c r="I200" s="407" t="s">
        <v>903</v>
      </c>
      <c r="J200" s="258" t="s">
        <v>294</v>
      </c>
      <c r="K200" s="258" t="s">
        <v>2767</v>
      </c>
      <c r="L200" s="258" t="s">
        <v>2584</v>
      </c>
      <c r="M200" s="409">
        <v>52078500</v>
      </c>
      <c r="N200" s="258">
        <v>0</v>
      </c>
      <c r="O200" s="258" t="s">
        <v>1290</v>
      </c>
      <c r="P200" s="258" t="s">
        <v>73</v>
      </c>
      <c r="Q200" s="258" t="s">
        <v>72</v>
      </c>
      <c r="R200" s="258">
        <v>5</v>
      </c>
      <c r="S200" s="410">
        <v>16</v>
      </c>
      <c r="T200" s="261">
        <v>6</v>
      </c>
      <c r="U200" s="261">
        <v>6</v>
      </c>
      <c r="V200" s="258" t="s">
        <v>1914</v>
      </c>
      <c r="W200" s="261" t="str">
        <f t="shared" si="45"/>
        <v>현대자동차코나Electric Premium (오토론)52078500</v>
      </c>
      <c r="X200" s="411">
        <f t="shared" si="46"/>
        <v>3974</v>
      </c>
      <c r="Y200" s="261">
        <v>6</v>
      </c>
      <c r="Z200" s="261">
        <v>6</v>
      </c>
      <c r="AA200" s="407" t="s">
        <v>903</v>
      </c>
      <c r="AB200" s="258" t="s">
        <v>3333</v>
      </c>
      <c r="AC200" s="258"/>
      <c r="AD200" s="258" t="s">
        <v>2132</v>
      </c>
      <c r="AE200" s="258" t="s">
        <v>2129</v>
      </c>
      <c r="AF200" s="259"/>
      <c r="AG200" s="260"/>
      <c r="AH200" s="259"/>
      <c r="AI200" s="259"/>
      <c r="AJ200" s="260"/>
      <c r="AK200" s="259">
        <v>26</v>
      </c>
      <c r="AL200" s="259"/>
      <c r="AM200" s="259" t="s">
        <v>3072</v>
      </c>
      <c r="AN200" s="449"/>
      <c r="AO200" s="449"/>
      <c r="AP200" s="449"/>
      <c r="AQ200" s="392" t="str">
        <f>IFERROR(VLOOKUP(BG200,#REF!,1,0),"")</f>
        <v/>
      </c>
      <c r="AS200" s="259" t="s">
        <v>3230</v>
      </c>
      <c r="BD200" s="202" t="str">
        <f t="shared" si="38"/>
        <v>코나Electric Premium (오토론)</v>
      </c>
      <c r="BE200" s="261" t="str">
        <f t="shared" si="44"/>
        <v>0021</v>
      </c>
      <c r="BF200" s="407" t="s">
        <v>903</v>
      </c>
      <c r="BG200" s="202" t="str">
        <f t="shared" si="39"/>
        <v>0021-0199</v>
      </c>
    </row>
    <row r="201" spans="1:59">
      <c r="A201" s="405">
        <v>3975</v>
      </c>
      <c r="B201" s="406">
        <v>3975</v>
      </c>
      <c r="C201" s="261" t="str">
        <f t="shared" si="40"/>
        <v>0005-0022</v>
      </c>
      <c r="D201" s="261" t="str">
        <f t="shared" si="41"/>
        <v>0005-0022-0001</v>
      </c>
      <c r="E201" s="407" t="s">
        <v>902</v>
      </c>
      <c r="F201" s="261" t="str">
        <f>TEXT(VLOOKUP(J201,'[3]1'!$B$2:$D$37,2,0),"0000")</f>
        <v>0005</v>
      </c>
      <c r="G201" s="261" t="str">
        <f t="shared" si="42"/>
        <v>0022</v>
      </c>
      <c r="H201" s="408">
        <f t="shared" si="43"/>
        <v>1</v>
      </c>
      <c r="I201" s="407" t="s">
        <v>902</v>
      </c>
      <c r="J201" s="258" t="s">
        <v>294</v>
      </c>
      <c r="K201" s="258" t="s">
        <v>2768</v>
      </c>
      <c r="L201" s="258" t="s">
        <v>2588</v>
      </c>
      <c r="M201" s="409">
        <v>25330000</v>
      </c>
      <c r="N201" s="258">
        <v>1995</v>
      </c>
      <c r="O201" s="258" t="s">
        <v>78</v>
      </c>
      <c r="P201" s="258" t="s">
        <v>1965</v>
      </c>
      <c r="Q201" s="258" t="s">
        <v>72</v>
      </c>
      <c r="R201" s="258">
        <v>5</v>
      </c>
      <c r="S201" s="410">
        <v>4</v>
      </c>
      <c r="T201" s="261">
        <v>6</v>
      </c>
      <c r="U201" s="261">
        <v>6</v>
      </c>
      <c r="V201" s="258" t="s">
        <v>71</v>
      </c>
      <c r="W201" s="261" t="str">
        <f t="shared" si="45"/>
        <v>현대자동차투싼디젤 2.0 모던초이스25330000</v>
      </c>
      <c r="X201" s="411">
        <f t="shared" si="46"/>
        <v>3975</v>
      </c>
      <c r="Y201" s="261">
        <v>6</v>
      </c>
      <c r="Z201" s="261">
        <v>6</v>
      </c>
      <c r="AA201" s="407" t="s">
        <v>902</v>
      </c>
      <c r="AB201" s="258" t="s">
        <v>1965</v>
      </c>
      <c r="AC201" s="258"/>
      <c r="AD201" s="258" t="s">
        <v>2136</v>
      </c>
      <c r="AE201" s="258" t="s">
        <v>2129</v>
      </c>
      <c r="AF201" s="259"/>
      <c r="AG201" s="260"/>
      <c r="AH201" s="259"/>
      <c r="AI201" s="259"/>
      <c r="AJ201" s="260"/>
      <c r="AK201" s="259">
        <v>26</v>
      </c>
      <c r="AL201" s="259"/>
      <c r="AM201" s="259" t="s">
        <v>3226</v>
      </c>
      <c r="AN201" s="449"/>
      <c r="AO201" s="449"/>
      <c r="AP201" s="449"/>
      <c r="AQ201" s="392" t="str">
        <f>IFERROR(VLOOKUP(BG201,#REF!,1,0),"")</f>
        <v/>
      </c>
      <c r="AS201" s="259" t="s">
        <v>3226</v>
      </c>
      <c r="BD201" s="202" t="str">
        <f t="shared" si="38"/>
        <v>투싼디젤 2.0 모던초이스</v>
      </c>
      <c r="BE201" s="261" t="str">
        <f t="shared" si="44"/>
        <v>0022</v>
      </c>
      <c r="BF201" s="407" t="s">
        <v>902</v>
      </c>
      <c r="BG201" s="202" t="str">
        <f t="shared" si="39"/>
        <v>0022-0200</v>
      </c>
    </row>
    <row r="202" spans="1:59">
      <c r="A202" s="405">
        <v>3976</v>
      </c>
      <c r="B202" s="406">
        <v>3976</v>
      </c>
      <c r="C202" s="261" t="str">
        <f t="shared" si="40"/>
        <v>0005-0022</v>
      </c>
      <c r="D202" s="261" t="str">
        <f t="shared" si="41"/>
        <v>0005-0022-0002</v>
      </c>
      <c r="E202" s="407" t="s">
        <v>901</v>
      </c>
      <c r="F202" s="261" t="str">
        <f>TEXT(VLOOKUP(J202,'[3]1'!$B$2:$D$37,2,0),"0000")</f>
        <v>0005</v>
      </c>
      <c r="G202" s="261" t="str">
        <f t="shared" si="42"/>
        <v>0022</v>
      </c>
      <c r="H202" s="408">
        <f t="shared" si="43"/>
        <v>2</v>
      </c>
      <c r="I202" s="407" t="s">
        <v>901</v>
      </c>
      <c r="J202" s="258" t="s">
        <v>294</v>
      </c>
      <c r="K202" s="258" t="s">
        <v>2768</v>
      </c>
      <c r="L202" s="258" t="s">
        <v>2589</v>
      </c>
      <c r="M202" s="409">
        <v>30970000</v>
      </c>
      <c r="N202" s="258">
        <v>1995</v>
      </c>
      <c r="O202" s="258" t="s">
        <v>78</v>
      </c>
      <c r="P202" s="258" t="s">
        <v>1965</v>
      </c>
      <c r="Q202" s="258" t="s">
        <v>72</v>
      </c>
      <c r="R202" s="258">
        <v>5</v>
      </c>
      <c r="S202" s="410">
        <v>4</v>
      </c>
      <c r="T202" s="261">
        <v>6</v>
      </c>
      <c r="U202" s="261">
        <v>6</v>
      </c>
      <c r="V202" s="258" t="s">
        <v>71</v>
      </c>
      <c r="W202" s="261" t="str">
        <f t="shared" si="45"/>
        <v>현대자동차투싼디젤 2.0 인스퍼레이션30970000</v>
      </c>
      <c r="X202" s="411">
        <f t="shared" si="46"/>
        <v>3976</v>
      </c>
      <c r="Y202" s="261">
        <v>6</v>
      </c>
      <c r="Z202" s="261">
        <v>6</v>
      </c>
      <c r="AA202" s="407" t="s">
        <v>901</v>
      </c>
      <c r="AB202" s="258" t="s">
        <v>1965</v>
      </c>
      <c r="AC202" s="258"/>
      <c r="AD202" s="258" t="s">
        <v>2136</v>
      </c>
      <c r="AE202" s="258" t="s">
        <v>2129</v>
      </c>
      <c r="AF202" s="259"/>
      <c r="AG202" s="260"/>
      <c r="AH202" s="259"/>
      <c r="AI202" s="259"/>
      <c r="AJ202" s="260"/>
      <c r="AK202" s="259">
        <v>26</v>
      </c>
      <c r="AL202" s="259"/>
      <c r="AM202" s="259" t="s">
        <v>3226</v>
      </c>
      <c r="AN202" s="449"/>
      <c r="AO202" s="449"/>
      <c r="AP202" s="449"/>
      <c r="AQ202" s="392" t="str">
        <f>IFERROR(VLOOKUP(BG202,#REF!,1,0),"")</f>
        <v/>
      </c>
      <c r="AS202" s="259" t="s">
        <v>3226</v>
      </c>
      <c r="BD202" s="202" t="str">
        <f t="shared" si="38"/>
        <v>투싼디젤 2.0 인스퍼레이션</v>
      </c>
      <c r="BE202" s="261" t="str">
        <f t="shared" si="44"/>
        <v>0022</v>
      </c>
      <c r="BF202" s="407" t="s">
        <v>901</v>
      </c>
      <c r="BG202" s="202" t="str">
        <f t="shared" si="39"/>
        <v>0022-0201</v>
      </c>
    </row>
    <row r="203" spans="1:59">
      <c r="A203" s="405">
        <v>3977</v>
      </c>
      <c r="B203" s="406">
        <v>3977</v>
      </c>
      <c r="C203" s="261" t="str">
        <f t="shared" si="40"/>
        <v>0005-0022</v>
      </c>
      <c r="D203" s="261" t="str">
        <f t="shared" si="41"/>
        <v>0005-0022-0003</v>
      </c>
      <c r="E203" s="407" t="s">
        <v>900</v>
      </c>
      <c r="F203" s="261" t="str">
        <f>TEXT(VLOOKUP(J203,'[3]1'!$B$2:$D$37,2,0),"0000")</f>
        <v>0005</v>
      </c>
      <c r="G203" s="261" t="str">
        <f t="shared" si="42"/>
        <v>0022</v>
      </c>
      <c r="H203" s="408">
        <f t="shared" si="43"/>
        <v>3</v>
      </c>
      <c r="I203" s="407" t="s">
        <v>900</v>
      </c>
      <c r="J203" s="258" t="s">
        <v>294</v>
      </c>
      <c r="K203" s="258" t="s">
        <v>2768</v>
      </c>
      <c r="L203" s="258" t="s">
        <v>2590</v>
      </c>
      <c r="M203" s="409">
        <v>24540000</v>
      </c>
      <c r="N203" s="258">
        <v>1995</v>
      </c>
      <c r="O203" s="258" t="s">
        <v>78</v>
      </c>
      <c r="P203" s="258" t="s">
        <v>1965</v>
      </c>
      <c r="Q203" s="258" t="s">
        <v>72</v>
      </c>
      <c r="R203" s="258">
        <v>5</v>
      </c>
      <c r="S203" s="410">
        <v>4</v>
      </c>
      <c r="T203" s="261">
        <v>6</v>
      </c>
      <c r="U203" s="261">
        <v>6</v>
      </c>
      <c r="V203" s="258" t="s">
        <v>71</v>
      </c>
      <c r="W203" s="261" t="str">
        <f t="shared" si="45"/>
        <v>현대자동차투싼디젤 2.0 스마트24540000</v>
      </c>
      <c r="X203" s="411">
        <f t="shared" si="46"/>
        <v>3977</v>
      </c>
      <c r="Y203" s="261">
        <v>6</v>
      </c>
      <c r="Z203" s="261">
        <v>6</v>
      </c>
      <c r="AA203" s="407" t="s">
        <v>900</v>
      </c>
      <c r="AB203" s="258" t="s">
        <v>1965</v>
      </c>
      <c r="AC203" s="258"/>
      <c r="AD203" s="258" t="s">
        <v>2136</v>
      </c>
      <c r="AE203" s="258" t="s">
        <v>2129</v>
      </c>
      <c r="AF203" s="259"/>
      <c r="AG203" s="260"/>
      <c r="AH203" s="259"/>
      <c r="AI203" s="259"/>
      <c r="AJ203" s="260"/>
      <c r="AK203" s="259">
        <v>26</v>
      </c>
      <c r="AL203" s="259"/>
      <c r="AM203" s="259" t="s">
        <v>3226</v>
      </c>
      <c r="AN203" s="449"/>
      <c r="AO203" s="449"/>
      <c r="AP203" s="449"/>
      <c r="AQ203" s="392" t="str">
        <f>IFERROR(VLOOKUP(BG203,#REF!,1,0),"")</f>
        <v/>
      </c>
      <c r="AS203" s="259" t="s">
        <v>3226</v>
      </c>
      <c r="BD203" s="202" t="str">
        <f t="shared" si="38"/>
        <v>투싼디젤 2.0 스마트</v>
      </c>
      <c r="BE203" s="261" t="str">
        <f t="shared" si="44"/>
        <v>0022</v>
      </c>
      <c r="BF203" s="407" t="s">
        <v>900</v>
      </c>
      <c r="BG203" s="202" t="str">
        <f t="shared" si="39"/>
        <v>0022-0202</v>
      </c>
    </row>
    <row r="204" spans="1:59">
      <c r="A204" s="405">
        <v>3978</v>
      </c>
      <c r="B204" s="406">
        <v>3978</v>
      </c>
      <c r="C204" s="261" t="str">
        <f t="shared" si="40"/>
        <v>0005-0022</v>
      </c>
      <c r="D204" s="261" t="str">
        <f t="shared" si="41"/>
        <v>0005-0022-0004</v>
      </c>
      <c r="E204" s="407" t="s">
        <v>899</v>
      </c>
      <c r="F204" s="261" t="str">
        <f>TEXT(VLOOKUP(J204,'[3]1'!$B$2:$D$37,2,0),"0000")</f>
        <v>0005</v>
      </c>
      <c r="G204" s="261" t="str">
        <f t="shared" si="42"/>
        <v>0022</v>
      </c>
      <c r="H204" s="408">
        <f t="shared" si="43"/>
        <v>4</v>
      </c>
      <c r="I204" s="407" t="s">
        <v>899</v>
      </c>
      <c r="J204" s="258" t="s">
        <v>294</v>
      </c>
      <c r="K204" s="258" t="s">
        <v>2768</v>
      </c>
      <c r="L204" s="258" t="s">
        <v>2591</v>
      </c>
      <c r="M204" s="409">
        <v>25410000</v>
      </c>
      <c r="N204" s="258">
        <v>1598</v>
      </c>
      <c r="O204" s="258" t="s">
        <v>78</v>
      </c>
      <c r="P204" s="258" t="s">
        <v>1965</v>
      </c>
      <c r="Q204" s="258" t="s">
        <v>72</v>
      </c>
      <c r="R204" s="258">
        <v>5</v>
      </c>
      <c r="S204" s="410">
        <v>4</v>
      </c>
      <c r="T204" s="261">
        <v>6</v>
      </c>
      <c r="U204" s="261">
        <v>6</v>
      </c>
      <c r="V204" s="258" t="s">
        <v>71</v>
      </c>
      <c r="W204" s="261" t="str">
        <f t="shared" si="45"/>
        <v>현대자동차투싼스마트스트림 디젤 1.6 모던25410000</v>
      </c>
      <c r="X204" s="411">
        <f t="shared" si="46"/>
        <v>3978</v>
      </c>
      <c r="Y204" s="261">
        <v>6</v>
      </c>
      <c r="Z204" s="261">
        <v>6</v>
      </c>
      <c r="AA204" s="407" t="s">
        <v>899</v>
      </c>
      <c r="AB204" s="258" t="s">
        <v>1965</v>
      </c>
      <c r="AC204" s="258"/>
      <c r="AD204" s="258" t="s">
        <v>2136</v>
      </c>
      <c r="AE204" s="258" t="s">
        <v>2129</v>
      </c>
      <c r="AF204" s="259"/>
      <c r="AG204" s="260"/>
      <c r="AH204" s="259"/>
      <c r="AI204" s="259"/>
      <c r="AJ204" s="260"/>
      <c r="AK204" s="259">
        <v>26</v>
      </c>
      <c r="AL204" s="259"/>
      <c r="AM204" s="259" t="s">
        <v>3226</v>
      </c>
      <c r="AN204" s="449"/>
      <c r="AO204" s="449"/>
      <c r="AP204" s="449"/>
      <c r="AQ204" s="392" t="str">
        <f>IFERROR(VLOOKUP(BG204,#REF!,1,0),"")</f>
        <v/>
      </c>
      <c r="AS204" s="259" t="s">
        <v>3226</v>
      </c>
      <c r="BD204" s="202" t="str">
        <f t="shared" si="38"/>
        <v>투싼스마트스트림 디젤 1.6 모던</v>
      </c>
      <c r="BE204" s="261" t="str">
        <f t="shared" si="44"/>
        <v>0022</v>
      </c>
      <c r="BF204" s="407" t="s">
        <v>899</v>
      </c>
      <c r="BG204" s="202" t="str">
        <f t="shared" si="39"/>
        <v>0022-0203</v>
      </c>
    </row>
    <row r="205" spans="1:59">
      <c r="A205" s="405">
        <v>3979</v>
      </c>
      <c r="B205" s="406">
        <v>3979</v>
      </c>
      <c r="C205" s="261" t="str">
        <f t="shared" si="40"/>
        <v>0005-0022</v>
      </c>
      <c r="D205" s="261" t="str">
        <f t="shared" si="41"/>
        <v>0005-0022-0005</v>
      </c>
      <c r="E205" s="407" t="s">
        <v>898</v>
      </c>
      <c r="F205" s="261" t="str">
        <f>TEXT(VLOOKUP(J205,'[3]1'!$B$2:$D$37,2,0),"0000")</f>
        <v>0005</v>
      </c>
      <c r="G205" s="261" t="str">
        <f t="shared" si="42"/>
        <v>0022</v>
      </c>
      <c r="H205" s="408">
        <f t="shared" si="43"/>
        <v>5</v>
      </c>
      <c r="I205" s="407" t="s">
        <v>898</v>
      </c>
      <c r="J205" s="258" t="s">
        <v>294</v>
      </c>
      <c r="K205" s="258" t="s">
        <v>2768</v>
      </c>
      <c r="L205" s="258" t="s">
        <v>2592</v>
      </c>
      <c r="M205" s="409">
        <v>24050000</v>
      </c>
      <c r="N205" s="258">
        <v>1598</v>
      </c>
      <c r="O205" s="258" t="s">
        <v>78</v>
      </c>
      <c r="P205" s="258" t="s">
        <v>1965</v>
      </c>
      <c r="Q205" s="258" t="s">
        <v>72</v>
      </c>
      <c r="R205" s="258">
        <v>5</v>
      </c>
      <c r="S205" s="410">
        <v>4</v>
      </c>
      <c r="T205" s="261">
        <v>6</v>
      </c>
      <c r="U205" s="261">
        <v>6</v>
      </c>
      <c r="V205" s="258" t="s">
        <v>71</v>
      </c>
      <c r="W205" s="261" t="str">
        <f t="shared" si="45"/>
        <v>현대자동차투싼스마트스트림 디젤 1.6 스마트24050000</v>
      </c>
      <c r="X205" s="411">
        <f t="shared" si="46"/>
        <v>3979</v>
      </c>
      <c r="Y205" s="261">
        <v>6</v>
      </c>
      <c r="Z205" s="261">
        <v>6</v>
      </c>
      <c r="AA205" s="407" t="s">
        <v>898</v>
      </c>
      <c r="AB205" s="258" t="s">
        <v>1965</v>
      </c>
      <c r="AC205" s="258"/>
      <c r="AD205" s="258" t="s">
        <v>2136</v>
      </c>
      <c r="AE205" s="258" t="s">
        <v>2129</v>
      </c>
      <c r="AF205" s="259"/>
      <c r="AG205" s="260"/>
      <c r="AH205" s="259"/>
      <c r="AI205" s="259"/>
      <c r="AJ205" s="260"/>
      <c r="AK205" s="259">
        <v>26</v>
      </c>
      <c r="AL205" s="259"/>
      <c r="AM205" s="259" t="s">
        <v>3226</v>
      </c>
      <c r="AN205" s="449"/>
      <c r="AO205" s="449"/>
      <c r="AP205" s="449"/>
      <c r="AQ205" s="392" t="str">
        <f>IFERROR(VLOOKUP(BG205,#REF!,1,0),"")</f>
        <v/>
      </c>
      <c r="AS205" s="259" t="s">
        <v>3226</v>
      </c>
      <c r="BD205" s="202" t="str">
        <f t="shared" si="38"/>
        <v>투싼스마트스트림 디젤 1.6 스마트</v>
      </c>
      <c r="BE205" s="261" t="str">
        <f t="shared" si="44"/>
        <v>0022</v>
      </c>
      <c r="BF205" s="407" t="s">
        <v>898</v>
      </c>
      <c r="BG205" s="202" t="str">
        <f t="shared" si="39"/>
        <v>0022-0204</v>
      </c>
    </row>
    <row r="206" spans="1:59">
      <c r="A206" s="405">
        <v>3980</v>
      </c>
      <c r="B206" s="406">
        <v>3980</v>
      </c>
      <c r="C206" s="261" t="str">
        <f t="shared" si="40"/>
        <v>0005-0022</v>
      </c>
      <c r="D206" s="261" t="str">
        <f t="shared" si="41"/>
        <v>0005-0022-0006</v>
      </c>
      <c r="E206" s="407" t="s">
        <v>897</v>
      </c>
      <c r="F206" s="261" t="str">
        <f>TEXT(VLOOKUP(J206,'[3]1'!$B$2:$D$37,2,0),"0000")</f>
        <v>0005</v>
      </c>
      <c r="G206" s="261" t="str">
        <f t="shared" si="42"/>
        <v>0022</v>
      </c>
      <c r="H206" s="408">
        <f t="shared" si="43"/>
        <v>6</v>
      </c>
      <c r="I206" s="407" t="s">
        <v>897</v>
      </c>
      <c r="J206" s="258" t="s">
        <v>294</v>
      </c>
      <c r="K206" s="258" t="s">
        <v>2768</v>
      </c>
      <c r="L206" s="258" t="s">
        <v>2593</v>
      </c>
      <c r="M206" s="409">
        <v>25900000</v>
      </c>
      <c r="N206" s="258">
        <v>1995</v>
      </c>
      <c r="O206" s="258" t="s">
        <v>78</v>
      </c>
      <c r="P206" s="258" t="s">
        <v>1965</v>
      </c>
      <c r="Q206" s="258" t="s">
        <v>72</v>
      </c>
      <c r="R206" s="258">
        <v>5</v>
      </c>
      <c r="S206" s="410">
        <v>4</v>
      </c>
      <c r="T206" s="261">
        <v>6</v>
      </c>
      <c r="U206" s="261">
        <v>6</v>
      </c>
      <c r="V206" s="258" t="s">
        <v>71</v>
      </c>
      <c r="W206" s="261" t="str">
        <f t="shared" si="45"/>
        <v>현대자동차투싼디젤 2.0 모던25900000</v>
      </c>
      <c r="X206" s="411">
        <f t="shared" si="46"/>
        <v>3980</v>
      </c>
      <c r="Y206" s="261">
        <v>6</v>
      </c>
      <c r="Z206" s="261">
        <v>6</v>
      </c>
      <c r="AA206" s="407" t="s">
        <v>897</v>
      </c>
      <c r="AB206" s="258" t="s">
        <v>1965</v>
      </c>
      <c r="AC206" s="258"/>
      <c r="AD206" s="258" t="s">
        <v>2136</v>
      </c>
      <c r="AE206" s="258" t="s">
        <v>2129</v>
      </c>
      <c r="AF206" s="259"/>
      <c r="AG206" s="260"/>
      <c r="AH206" s="259"/>
      <c r="AI206" s="259"/>
      <c r="AJ206" s="260"/>
      <c r="AK206" s="259">
        <v>26</v>
      </c>
      <c r="AL206" s="259"/>
      <c r="AM206" s="259" t="s">
        <v>3226</v>
      </c>
      <c r="AN206" s="449"/>
      <c r="AO206" s="449"/>
      <c r="AP206" s="449"/>
      <c r="AQ206" s="392" t="str">
        <f>IFERROR(VLOOKUP(BG206,#REF!,1,0),"")</f>
        <v/>
      </c>
      <c r="AS206" s="259" t="s">
        <v>3226</v>
      </c>
      <c r="BD206" s="202" t="str">
        <f t="shared" si="38"/>
        <v>투싼디젤 2.0 모던</v>
      </c>
      <c r="BE206" s="261" t="str">
        <f t="shared" si="44"/>
        <v>0022</v>
      </c>
      <c r="BF206" s="407" t="s">
        <v>897</v>
      </c>
      <c r="BG206" s="202" t="str">
        <f t="shared" si="39"/>
        <v>0022-0205</v>
      </c>
    </row>
    <row r="207" spans="1:59">
      <c r="A207" s="405">
        <v>3981</v>
      </c>
      <c r="B207" s="406">
        <v>3981</v>
      </c>
      <c r="C207" s="261" t="str">
        <f t="shared" si="40"/>
        <v>0005-0022</v>
      </c>
      <c r="D207" s="261" t="str">
        <f t="shared" si="41"/>
        <v>0005-0022-0007</v>
      </c>
      <c r="E207" s="407" t="s">
        <v>896</v>
      </c>
      <c r="F207" s="261" t="str">
        <f>TEXT(VLOOKUP(J207,'[3]1'!$B$2:$D$37,2,0),"0000")</f>
        <v>0005</v>
      </c>
      <c r="G207" s="261" t="str">
        <f t="shared" si="42"/>
        <v>0022</v>
      </c>
      <c r="H207" s="408">
        <f t="shared" si="43"/>
        <v>7</v>
      </c>
      <c r="I207" s="407" t="s">
        <v>896</v>
      </c>
      <c r="J207" s="258" t="s">
        <v>294</v>
      </c>
      <c r="K207" s="258" t="s">
        <v>2768</v>
      </c>
      <c r="L207" s="236" t="s">
        <v>2975</v>
      </c>
      <c r="M207" s="316">
        <v>26260000</v>
      </c>
      <c r="N207" s="258">
        <v>1998</v>
      </c>
      <c r="O207" s="258" t="s">
        <v>78</v>
      </c>
      <c r="P207" s="258" t="s">
        <v>1965</v>
      </c>
      <c r="Q207" s="258" t="s">
        <v>72</v>
      </c>
      <c r="R207" s="266">
        <v>5</v>
      </c>
      <c r="S207" s="410">
        <v>4</v>
      </c>
      <c r="T207" s="261">
        <v>6</v>
      </c>
      <c r="U207" s="261">
        <v>6</v>
      </c>
      <c r="V207" s="258" t="s">
        <v>71</v>
      </c>
      <c r="W207" s="261" t="str">
        <f t="shared" si="45"/>
        <v>현대자동차투싼디젤 올뉴 투싼 2WD 모던 A/T26260000</v>
      </c>
      <c r="X207" s="411">
        <f t="shared" si="46"/>
        <v>3981</v>
      </c>
      <c r="Y207" s="261">
        <v>6</v>
      </c>
      <c r="Z207" s="261">
        <v>6</v>
      </c>
      <c r="AA207" s="407" t="s">
        <v>896</v>
      </c>
      <c r="AB207" s="258" t="s">
        <v>1965</v>
      </c>
      <c r="AC207" s="258"/>
      <c r="AD207" s="258" t="s">
        <v>2136</v>
      </c>
      <c r="AE207" s="258" t="s">
        <v>2129</v>
      </c>
      <c r="AF207" s="259"/>
      <c r="AG207" s="260"/>
      <c r="AH207" s="259"/>
      <c r="AI207" s="259"/>
      <c r="AJ207" s="260"/>
      <c r="AK207" s="259">
        <v>26</v>
      </c>
      <c r="AL207" s="259"/>
      <c r="AM207" s="259" t="s">
        <v>3226</v>
      </c>
      <c r="AN207" s="449"/>
      <c r="AO207" s="449"/>
      <c r="AP207" s="449"/>
      <c r="AQ207" s="392" t="str">
        <f>IFERROR(VLOOKUP(BG207,#REF!,1,0),"")</f>
        <v/>
      </c>
      <c r="AS207" s="259" t="s">
        <v>3226</v>
      </c>
      <c r="BD207" s="202" t="str">
        <f t="shared" si="38"/>
        <v>투싼디젤 올뉴 투싼 2WD 모던 A/T</v>
      </c>
      <c r="BE207" s="261" t="str">
        <f t="shared" si="44"/>
        <v>0022</v>
      </c>
      <c r="BF207" s="407" t="s">
        <v>896</v>
      </c>
      <c r="BG207" s="202" t="str">
        <f t="shared" si="39"/>
        <v>0022-0206</v>
      </c>
    </row>
    <row r="208" spans="1:59">
      <c r="A208" s="405">
        <v>3982</v>
      </c>
      <c r="B208" s="406">
        <v>3982</v>
      </c>
      <c r="C208" s="261" t="str">
        <f t="shared" si="40"/>
        <v>0005-0022</v>
      </c>
      <c r="D208" s="261" t="str">
        <f t="shared" si="41"/>
        <v>0005-0022-0008</v>
      </c>
      <c r="E208" s="407" t="s">
        <v>895</v>
      </c>
      <c r="F208" s="261" t="str">
        <f>TEXT(VLOOKUP(J208,'[3]1'!$B$2:$D$37,2,0),"0000")</f>
        <v>0005</v>
      </c>
      <c r="G208" s="261" t="str">
        <f t="shared" si="42"/>
        <v>0022</v>
      </c>
      <c r="H208" s="408">
        <f t="shared" si="43"/>
        <v>8</v>
      </c>
      <c r="I208" s="407" t="s">
        <v>895</v>
      </c>
      <c r="J208" s="258" t="s">
        <v>294</v>
      </c>
      <c r="K208" s="258" t="s">
        <v>2768</v>
      </c>
      <c r="L208" s="236" t="s">
        <v>2976</v>
      </c>
      <c r="M208" s="316">
        <v>28320000</v>
      </c>
      <c r="N208" s="258">
        <v>1998</v>
      </c>
      <c r="O208" s="258" t="s">
        <v>78</v>
      </c>
      <c r="P208" s="258" t="s">
        <v>1965</v>
      </c>
      <c r="Q208" s="258" t="s">
        <v>72</v>
      </c>
      <c r="R208" s="266">
        <v>5</v>
      </c>
      <c r="S208" s="410">
        <v>4</v>
      </c>
      <c r="T208" s="261">
        <v>6</v>
      </c>
      <c r="U208" s="261">
        <v>6</v>
      </c>
      <c r="V208" s="258" t="s">
        <v>71</v>
      </c>
      <c r="W208" s="261" t="str">
        <f t="shared" si="45"/>
        <v>현대자동차투싼디젤 올뉴 투싼 2WD 프리미엄 A/T28320000</v>
      </c>
      <c r="X208" s="411">
        <f t="shared" si="46"/>
        <v>3982</v>
      </c>
      <c r="Y208" s="261">
        <v>6</v>
      </c>
      <c r="Z208" s="261">
        <v>6</v>
      </c>
      <c r="AA208" s="407" t="s">
        <v>895</v>
      </c>
      <c r="AB208" s="258" t="s">
        <v>1965</v>
      </c>
      <c r="AC208" s="258"/>
      <c r="AD208" s="258" t="s">
        <v>2136</v>
      </c>
      <c r="AE208" s="258" t="s">
        <v>2129</v>
      </c>
      <c r="AF208" s="259"/>
      <c r="AG208" s="260"/>
      <c r="AH208" s="259"/>
      <c r="AI208" s="259"/>
      <c r="AJ208" s="260"/>
      <c r="AK208" s="259">
        <v>26</v>
      </c>
      <c r="AL208" s="259"/>
      <c r="AM208" s="259" t="s">
        <v>3226</v>
      </c>
      <c r="AN208" s="449"/>
      <c r="AO208" s="449"/>
      <c r="AP208" s="449"/>
      <c r="AQ208" s="392" t="str">
        <f>IFERROR(VLOOKUP(BG208,#REF!,1,0),"")</f>
        <v/>
      </c>
      <c r="AS208" s="259" t="s">
        <v>3226</v>
      </c>
      <c r="BD208" s="202" t="str">
        <f t="shared" si="38"/>
        <v>투싼디젤 올뉴 투싼 2WD 프리미엄 A/T</v>
      </c>
      <c r="BE208" s="261" t="str">
        <f t="shared" si="44"/>
        <v>0022</v>
      </c>
      <c r="BF208" s="407" t="s">
        <v>895</v>
      </c>
      <c r="BG208" s="202" t="str">
        <f t="shared" si="39"/>
        <v>0022-0207</v>
      </c>
    </row>
    <row r="209" spans="1:59">
      <c r="A209" s="405">
        <v>3983</v>
      </c>
      <c r="B209" s="406">
        <v>3983</v>
      </c>
      <c r="C209" s="261" t="str">
        <f t="shared" si="40"/>
        <v>0005-0022</v>
      </c>
      <c r="D209" s="261" t="str">
        <f t="shared" si="41"/>
        <v>0005-0022-0009</v>
      </c>
      <c r="E209" s="407" t="s">
        <v>894</v>
      </c>
      <c r="F209" s="261" t="str">
        <f>TEXT(VLOOKUP(J209,'[3]1'!$B$2:$D$37,2,0),"0000")</f>
        <v>0005</v>
      </c>
      <c r="G209" s="261" t="str">
        <f t="shared" si="42"/>
        <v>0022</v>
      </c>
      <c r="H209" s="408">
        <f t="shared" si="43"/>
        <v>9</v>
      </c>
      <c r="I209" s="407" t="s">
        <v>894</v>
      </c>
      <c r="J209" s="258" t="s">
        <v>294</v>
      </c>
      <c r="K209" s="258" t="s">
        <v>2768</v>
      </c>
      <c r="L209" s="236" t="s">
        <v>2977</v>
      </c>
      <c r="M209" s="316">
        <v>33460000</v>
      </c>
      <c r="N209" s="258">
        <v>1998</v>
      </c>
      <c r="O209" s="258" t="s">
        <v>78</v>
      </c>
      <c r="P209" s="258" t="s">
        <v>1965</v>
      </c>
      <c r="Q209" s="258" t="s">
        <v>72</v>
      </c>
      <c r="R209" s="266">
        <v>5</v>
      </c>
      <c r="S209" s="410">
        <v>4</v>
      </c>
      <c r="T209" s="261">
        <v>6</v>
      </c>
      <c r="U209" s="261">
        <v>6</v>
      </c>
      <c r="V209" s="258" t="s">
        <v>71</v>
      </c>
      <c r="W209" s="261" t="str">
        <f t="shared" si="45"/>
        <v>현대자동차투싼디젤 올뉴 투싼 2WD 인스퍼레이션 A/T33460000</v>
      </c>
      <c r="X209" s="411">
        <f t="shared" si="46"/>
        <v>3983</v>
      </c>
      <c r="Y209" s="261">
        <v>6</v>
      </c>
      <c r="Z209" s="261">
        <v>6</v>
      </c>
      <c r="AA209" s="407" t="s">
        <v>894</v>
      </c>
      <c r="AB209" s="258" t="s">
        <v>1965</v>
      </c>
      <c r="AC209" s="258"/>
      <c r="AD209" s="258" t="s">
        <v>2136</v>
      </c>
      <c r="AE209" s="258" t="s">
        <v>2129</v>
      </c>
      <c r="AF209" s="259"/>
      <c r="AG209" s="260"/>
      <c r="AH209" s="259"/>
      <c r="AI209" s="259"/>
      <c r="AJ209" s="260"/>
      <c r="AK209" s="259">
        <v>26</v>
      </c>
      <c r="AL209" s="259"/>
      <c r="AM209" s="259" t="s">
        <v>3226</v>
      </c>
      <c r="AN209" s="449"/>
      <c r="AO209" s="449"/>
      <c r="AP209" s="449"/>
      <c r="AQ209" s="392" t="str">
        <f>IFERROR(VLOOKUP(BG209,#REF!,1,0),"")</f>
        <v/>
      </c>
      <c r="AS209" s="259" t="s">
        <v>3226</v>
      </c>
      <c r="BD209" s="202" t="str">
        <f t="shared" si="38"/>
        <v>투싼디젤 올뉴 투싼 2WD 인스퍼레이션 A/T</v>
      </c>
      <c r="BE209" s="261" t="str">
        <f t="shared" si="44"/>
        <v>0022</v>
      </c>
      <c r="BF209" s="407" t="s">
        <v>894</v>
      </c>
      <c r="BG209" s="202" t="str">
        <f t="shared" si="39"/>
        <v>0022-0208</v>
      </c>
    </row>
    <row r="210" spans="1:59">
      <c r="A210" s="405">
        <v>3984</v>
      </c>
      <c r="B210" s="406">
        <v>3984</v>
      </c>
      <c r="C210" s="261" t="str">
        <f t="shared" si="40"/>
        <v>0005-0022</v>
      </c>
      <c r="D210" s="261" t="str">
        <f t="shared" si="41"/>
        <v>0005-0022-0010</v>
      </c>
      <c r="E210" s="407" t="s">
        <v>893</v>
      </c>
      <c r="F210" s="261" t="str">
        <f>TEXT(VLOOKUP(J210,'[3]1'!$B$2:$D$37,2,0),"0000")</f>
        <v>0005</v>
      </c>
      <c r="G210" s="261" t="str">
        <f t="shared" si="42"/>
        <v>0022</v>
      </c>
      <c r="H210" s="408">
        <f t="shared" si="43"/>
        <v>10</v>
      </c>
      <c r="I210" s="407" t="s">
        <v>893</v>
      </c>
      <c r="J210" s="258" t="s">
        <v>294</v>
      </c>
      <c r="K210" s="258" t="s">
        <v>2768</v>
      </c>
      <c r="L210" s="236" t="s">
        <v>2978</v>
      </c>
      <c r="M210" s="316">
        <v>29470000</v>
      </c>
      <c r="N210" s="258">
        <v>1998</v>
      </c>
      <c r="O210" s="258" t="s">
        <v>78</v>
      </c>
      <c r="P210" s="258" t="s">
        <v>1965</v>
      </c>
      <c r="Q210" s="258" t="s">
        <v>72</v>
      </c>
      <c r="R210" s="266">
        <v>5</v>
      </c>
      <c r="S210" s="410">
        <v>4</v>
      </c>
      <c r="T210" s="261">
        <v>6</v>
      </c>
      <c r="U210" s="261">
        <v>6</v>
      </c>
      <c r="V210" s="258" t="s">
        <v>71</v>
      </c>
      <c r="W210" s="261" t="str">
        <f t="shared" si="45"/>
        <v>현대자동차투싼디젤 올뉴 투싼 AWD 모던 A/T29470000</v>
      </c>
      <c r="X210" s="411">
        <f t="shared" si="46"/>
        <v>3984</v>
      </c>
      <c r="Y210" s="261">
        <v>6</v>
      </c>
      <c r="Z210" s="261">
        <v>6</v>
      </c>
      <c r="AA210" s="407" t="s">
        <v>893</v>
      </c>
      <c r="AB210" s="258" t="s">
        <v>1965</v>
      </c>
      <c r="AC210" s="258"/>
      <c r="AD210" s="258" t="s">
        <v>2136</v>
      </c>
      <c r="AE210" s="258" t="s">
        <v>2129</v>
      </c>
      <c r="AF210" s="259"/>
      <c r="AG210" s="260"/>
      <c r="AH210" s="259"/>
      <c r="AI210" s="259"/>
      <c r="AJ210" s="260"/>
      <c r="AK210" s="259">
        <v>26</v>
      </c>
      <c r="AL210" s="259"/>
      <c r="AM210" s="259" t="s">
        <v>3226</v>
      </c>
      <c r="AN210" s="449"/>
      <c r="AO210" s="449"/>
      <c r="AP210" s="449"/>
      <c r="AQ210" s="392" t="str">
        <f>IFERROR(VLOOKUP(BG210,#REF!,1,0),"")</f>
        <v/>
      </c>
      <c r="AS210" s="259" t="s">
        <v>3226</v>
      </c>
      <c r="BD210" s="202" t="str">
        <f t="shared" si="38"/>
        <v>투싼디젤 올뉴 투싼 AWD 모던 A/T</v>
      </c>
      <c r="BE210" s="261" t="str">
        <f t="shared" si="44"/>
        <v>0022</v>
      </c>
      <c r="BF210" s="407" t="s">
        <v>893</v>
      </c>
      <c r="BG210" s="202" t="str">
        <f t="shared" si="39"/>
        <v>0022-0209</v>
      </c>
    </row>
    <row r="211" spans="1:59">
      <c r="A211" s="405">
        <v>3985</v>
      </c>
      <c r="B211" s="406">
        <v>3985</v>
      </c>
      <c r="C211" s="261" t="str">
        <f t="shared" si="40"/>
        <v>0005-0022</v>
      </c>
      <c r="D211" s="261" t="str">
        <f t="shared" si="41"/>
        <v>0005-0022-0011</v>
      </c>
      <c r="E211" s="407" t="s">
        <v>892</v>
      </c>
      <c r="F211" s="261" t="str">
        <f>TEXT(VLOOKUP(J211,'[3]1'!$B$2:$D$37,2,0),"0000")</f>
        <v>0005</v>
      </c>
      <c r="G211" s="261" t="str">
        <f t="shared" si="42"/>
        <v>0022</v>
      </c>
      <c r="H211" s="408">
        <f t="shared" si="43"/>
        <v>11</v>
      </c>
      <c r="I211" s="407" t="s">
        <v>892</v>
      </c>
      <c r="J211" s="258" t="s">
        <v>294</v>
      </c>
      <c r="K211" s="258" t="s">
        <v>2768</v>
      </c>
      <c r="L211" s="236" t="s">
        <v>2979</v>
      </c>
      <c r="M211" s="316">
        <v>30530000</v>
      </c>
      <c r="N211" s="258">
        <v>1998</v>
      </c>
      <c r="O211" s="258" t="s">
        <v>78</v>
      </c>
      <c r="P211" s="258" t="s">
        <v>1965</v>
      </c>
      <c r="Q211" s="258" t="s">
        <v>72</v>
      </c>
      <c r="R211" s="266">
        <v>5</v>
      </c>
      <c r="S211" s="410">
        <v>4</v>
      </c>
      <c r="T211" s="261">
        <v>6</v>
      </c>
      <c r="U211" s="261">
        <v>6</v>
      </c>
      <c r="V211" s="258" t="s">
        <v>71</v>
      </c>
      <c r="W211" s="261" t="str">
        <f t="shared" si="45"/>
        <v>현대자동차투싼디젤 올뉴 투싼 AWD 프리미엄 A/T30530000</v>
      </c>
      <c r="X211" s="411">
        <f t="shared" si="46"/>
        <v>3985</v>
      </c>
      <c r="Y211" s="261">
        <v>6</v>
      </c>
      <c r="Z211" s="261">
        <v>6</v>
      </c>
      <c r="AA211" s="407" t="s">
        <v>892</v>
      </c>
      <c r="AB211" s="258" t="s">
        <v>1965</v>
      </c>
      <c r="AC211" s="258"/>
      <c r="AD211" s="258" t="s">
        <v>2136</v>
      </c>
      <c r="AE211" s="258" t="s">
        <v>2129</v>
      </c>
      <c r="AF211" s="259"/>
      <c r="AG211" s="260"/>
      <c r="AH211" s="259"/>
      <c r="AI211" s="259"/>
      <c r="AJ211" s="260"/>
      <c r="AK211" s="259">
        <v>26</v>
      </c>
      <c r="AL211" s="259"/>
      <c r="AM211" s="259" t="s">
        <v>3226</v>
      </c>
      <c r="AN211" s="449"/>
      <c r="AO211" s="449"/>
      <c r="AP211" s="449"/>
      <c r="AQ211" s="392" t="str">
        <f>IFERROR(VLOOKUP(BG211,#REF!,1,0),"")</f>
        <v/>
      </c>
      <c r="AS211" s="259" t="s">
        <v>3226</v>
      </c>
      <c r="BD211" s="202" t="str">
        <f t="shared" si="38"/>
        <v>투싼디젤 올뉴 투싼 AWD 프리미엄 A/T</v>
      </c>
      <c r="BE211" s="261" t="str">
        <f t="shared" si="44"/>
        <v>0022</v>
      </c>
      <c r="BF211" s="407" t="s">
        <v>892</v>
      </c>
      <c r="BG211" s="202" t="str">
        <f t="shared" si="39"/>
        <v>0022-0210</v>
      </c>
    </row>
    <row r="212" spans="1:59">
      <c r="A212" s="405">
        <v>3986</v>
      </c>
      <c r="B212" s="406">
        <v>3986</v>
      </c>
      <c r="C212" s="261" t="str">
        <f t="shared" si="40"/>
        <v>0005-0022</v>
      </c>
      <c r="D212" s="261" t="str">
        <f t="shared" si="41"/>
        <v>0005-0022-0012</v>
      </c>
      <c r="E212" s="407" t="s">
        <v>891</v>
      </c>
      <c r="F212" s="261" t="str">
        <f>TEXT(VLOOKUP(J212,'[3]1'!$B$2:$D$37,2,0),"0000")</f>
        <v>0005</v>
      </c>
      <c r="G212" s="261" t="str">
        <f t="shared" si="42"/>
        <v>0022</v>
      </c>
      <c r="H212" s="408">
        <f t="shared" si="43"/>
        <v>12</v>
      </c>
      <c r="I212" s="407" t="s">
        <v>891</v>
      </c>
      <c r="J212" s="258" t="s">
        <v>294</v>
      </c>
      <c r="K212" s="258" t="s">
        <v>2768</v>
      </c>
      <c r="L212" s="236" t="s">
        <v>2980</v>
      </c>
      <c r="M212" s="316">
        <v>35670000</v>
      </c>
      <c r="N212" s="258">
        <v>1998</v>
      </c>
      <c r="O212" s="258" t="s">
        <v>78</v>
      </c>
      <c r="P212" s="258" t="s">
        <v>1965</v>
      </c>
      <c r="Q212" s="258" t="s">
        <v>72</v>
      </c>
      <c r="R212" s="266">
        <v>5</v>
      </c>
      <c r="S212" s="410">
        <v>4</v>
      </c>
      <c r="T212" s="261">
        <v>6</v>
      </c>
      <c r="U212" s="261">
        <v>6</v>
      </c>
      <c r="V212" s="258" t="s">
        <v>71</v>
      </c>
      <c r="W212" s="261" t="str">
        <f t="shared" si="45"/>
        <v>현대자동차투싼디젤 올뉴 투싼 AWD 인스퍼레이션 A/T35670000</v>
      </c>
      <c r="X212" s="411">
        <f t="shared" si="46"/>
        <v>3986</v>
      </c>
      <c r="Y212" s="261">
        <v>6</v>
      </c>
      <c r="Z212" s="261">
        <v>6</v>
      </c>
      <c r="AA212" s="407" t="s">
        <v>891</v>
      </c>
      <c r="AB212" s="258" t="s">
        <v>1965</v>
      </c>
      <c r="AC212" s="258"/>
      <c r="AD212" s="258" t="s">
        <v>2136</v>
      </c>
      <c r="AE212" s="258" t="s">
        <v>2129</v>
      </c>
      <c r="AF212" s="259"/>
      <c r="AG212" s="260"/>
      <c r="AH212" s="259"/>
      <c r="AI212" s="259"/>
      <c r="AJ212" s="260"/>
      <c r="AK212" s="259">
        <v>26</v>
      </c>
      <c r="AL212" s="259"/>
      <c r="AM212" s="259" t="s">
        <v>3226</v>
      </c>
      <c r="AN212" s="449"/>
      <c r="AO212" s="449"/>
      <c r="AP212" s="449"/>
      <c r="AQ212" s="392" t="str">
        <f>IFERROR(VLOOKUP(BG212,#REF!,1,0),"")</f>
        <v/>
      </c>
      <c r="AS212" s="259" t="s">
        <v>3226</v>
      </c>
      <c r="BD212" s="202" t="str">
        <f t="shared" si="38"/>
        <v>투싼디젤 올뉴 투싼 AWD 인스퍼레이션 A/T</v>
      </c>
      <c r="BE212" s="261" t="str">
        <f t="shared" si="44"/>
        <v>0022</v>
      </c>
      <c r="BF212" s="407" t="s">
        <v>891</v>
      </c>
      <c r="BG212" s="202" t="str">
        <f t="shared" si="39"/>
        <v>0022-0211</v>
      </c>
    </row>
    <row r="213" spans="1:59">
      <c r="A213" s="405">
        <v>3987</v>
      </c>
      <c r="B213" s="406">
        <v>3987</v>
      </c>
      <c r="C213" s="261" t="str">
        <f t="shared" si="40"/>
        <v>0005-0022</v>
      </c>
      <c r="D213" s="261" t="str">
        <f t="shared" si="41"/>
        <v>0005-0022-0013</v>
      </c>
      <c r="E213" s="407" t="s">
        <v>890</v>
      </c>
      <c r="F213" s="261" t="str">
        <f>TEXT(VLOOKUP(J213,'[3]1'!$B$2:$D$37,2,0),"0000")</f>
        <v>0005</v>
      </c>
      <c r="G213" s="261" t="str">
        <f t="shared" si="42"/>
        <v>0022</v>
      </c>
      <c r="H213" s="408">
        <f t="shared" si="43"/>
        <v>13</v>
      </c>
      <c r="I213" s="407" t="s">
        <v>890</v>
      </c>
      <c r="J213" s="258" t="s">
        <v>294</v>
      </c>
      <c r="K213" s="258" t="s">
        <v>2768</v>
      </c>
      <c r="L213" s="258" t="s">
        <v>2594</v>
      </c>
      <c r="M213" s="409">
        <v>28980000</v>
      </c>
      <c r="N213" s="258">
        <v>1591</v>
      </c>
      <c r="O213" s="258" t="s">
        <v>77</v>
      </c>
      <c r="P213" s="258" t="s">
        <v>1965</v>
      </c>
      <c r="Q213" s="258" t="s">
        <v>72</v>
      </c>
      <c r="R213" s="258">
        <v>5</v>
      </c>
      <c r="S213" s="410">
        <v>13</v>
      </c>
      <c r="T213" s="261">
        <v>6</v>
      </c>
      <c r="U213" s="261">
        <v>6</v>
      </c>
      <c r="V213" s="258" t="s">
        <v>71</v>
      </c>
      <c r="W213" s="261" t="str">
        <f t="shared" si="45"/>
        <v>현대자동차투싼가솔린 1.6 터보 인스퍼레이션28980000</v>
      </c>
      <c r="X213" s="411">
        <f t="shared" si="46"/>
        <v>3987</v>
      </c>
      <c r="Y213" s="261">
        <v>6</v>
      </c>
      <c r="Z213" s="261">
        <v>6</v>
      </c>
      <c r="AA213" s="407" t="s">
        <v>890</v>
      </c>
      <c r="AB213" s="258" t="s">
        <v>1965</v>
      </c>
      <c r="AC213" s="258"/>
      <c r="AD213" s="258" t="s">
        <v>2132</v>
      </c>
      <c r="AE213" s="258" t="s">
        <v>2129</v>
      </c>
      <c r="AF213" s="259"/>
      <c r="AG213" s="260"/>
      <c r="AH213" s="259"/>
      <c r="AI213" s="259"/>
      <c r="AJ213" s="260"/>
      <c r="AK213" s="259">
        <v>26</v>
      </c>
      <c r="AL213" s="259"/>
      <c r="AM213" s="259" t="s">
        <v>3230</v>
      </c>
      <c r="AN213" s="449"/>
      <c r="AO213" s="449"/>
      <c r="AP213" s="449"/>
      <c r="AQ213" s="392" t="str">
        <f>IFERROR(VLOOKUP(BG213,#REF!,1,0),"")</f>
        <v/>
      </c>
      <c r="AS213" s="259" t="s">
        <v>3227</v>
      </c>
      <c r="BD213" s="202" t="str">
        <f t="shared" si="38"/>
        <v>투싼가솔린 1.6 터보 인스퍼레이션</v>
      </c>
      <c r="BE213" s="261" t="str">
        <f t="shared" si="44"/>
        <v>0022</v>
      </c>
      <c r="BF213" s="407" t="s">
        <v>890</v>
      </c>
      <c r="BG213" s="202" t="str">
        <f t="shared" si="39"/>
        <v>0022-0212</v>
      </c>
    </row>
    <row r="214" spans="1:59">
      <c r="A214" s="405">
        <v>3988</v>
      </c>
      <c r="B214" s="406">
        <v>3988</v>
      </c>
      <c r="C214" s="261" t="str">
        <f t="shared" si="40"/>
        <v>0005-0022</v>
      </c>
      <c r="D214" s="261" t="str">
        <f t="shared" si="41"/>
        <v>0005-0022-0014</v>
      </c>
      <c r="E214" s="407" t="s">
        <v>889</v>
      </c>
      <c r="F214" s="261" t="str">
        <f>TEXT(VLOOKUP(J214,'[3]1'!$B$2:$D$37,2,0),"0000")</f>
        <v>0005</v>
      </c>
      <c r="G214" s="261" t="str">
        <f t="shared" si="42"/>
        <v>0022</v>
      </c>
      <c r="H214" s="408">
        <f t="shared" si="43"/>
        <v>14</v>
      </c>
      <c r="I214" s="407" t="s">
        <v>889</v>
      </c>
      <c r="J214" s="258" t="s">
        <v>294</v>
      </c>
      <c r="K214" s="258" t="s">
        <v>2768</v>
      </c>
      <c r="L214" s="258" t="s">
        <v>2595</v>
      </c>
      <c r="M214" s="409">
        <v>23910000</v>
      </c>
      <c r="N214" s="258">
        <v>1591</v>
      </c>
      <c r="O214" s="258" t="s">
        <v>77</v>
      </c>
      <c r="P214" s="258" t="s">
        <v>1965</v>
      </c>
      <c r="Q214" s="258" t="s">
        <v>72</v>
      </c>
      <c r="R214" s="258">
        <v>5</v>
      </c>
      <c r="S214" s="410">
        <v>13</v>
      </c>
      <c r="T214" s="261">
        <v>6</v>
      </c>
      <c r="U214" s="261">
        <v>6</v>
      </c>
      <c r="V214" s="258" t="s">
        <v>3329</v>
      </c>
      <c r="W214" s="261" t="str">
        <f t="shared" si="45"/>
        <v>현대자동차투싼가솔린 1.6 터보 모던23910000</v>
      </c>
      <c r="X214" s="411">
        <f t="shared" si="46"/>
        <v>3988</v>
      </c>
      <c r="Y214" s="261">
        <v>6</v>
      </c>
      <c r="Z214" s="261">
        <v>6</v>
      </c>
      <c r="AA214" s="407" t="s">
        <v>889</v>
      </c>
      <c r="AB214" s="258" t="s">
        <v>1965</v>
      </c>
      <c r="AC214" s="258"/>
      <c r="AD214" s="258" t="s">
        <v>2132</v>
      </c>
      <c r="AE214" s="258" t="s">
        <v>2129</v>
      </c>
      <c r="AF214" s="259"/>
      <c r="AG214" s="260"/>
      <c r="AH214" s="259"/>
      <c r="AI214" s="259"/>
      <c r="AJ214" s="260"/>
      <c r="AK214" s="259">
        <v>26</v>
      </c>
      <c r="AL214" s="259"/>
      <c r="AM214" s="259" t="s">
        <v>3230</v>
      </c>
      <c r="AN214" s="449"/>
      <c r="AO214" s="449"/>
      <c r="AP214" s="449"/>
      <c r="AQ214" s="392" t="str">
        <f>IFERROR(VLOOKUP(BG214,#REF!,1,0),"")</f>
        <v/>
      </c>
      <c r="AS214" s="259" t="s">
        <v>3227</v>
      </c>
      <c r="BD214" s="202" t="str">
        <f t="shared" si="38"/>
        <v>투싼가솔린 1.6 터보 모던</v>
      </c>
      <c r="BE214" s="261" t="str">
        <f t="shared" si="44"/>
        <v>0022</v>
      </c>
      <c r="BF214" s="407" t="s">
        <v>889</v>
      </c>
      <c r="BG214" s="202" t="str">
        <f t="shared" si="39"/>
        <v>0022-0213</v>
      </c>
    </row>
    <row r="215" spans="1:59">
      <c r="A215" s="405">
        <v>3989</v>
      </c>
      <c r="B215" s="406">
        <v>3989</v>
      </c>
      <c r="C215" s="261" t="str">
        <f t="shared" si="40"/>
        <v>0005-0022</v>
      </c>
      <c r="D215" s="261" t="str">
        <f t="shared" si="41"/>
        <v>0005-0022-0015</v>
      </c>
      <c r="E215" s="407" t="s">
        <v>888</v>
      </c>
      <c r="F215" s="261" t="str">
        <f>TEXT(VLOOKUP(J215,'[3]1'!$B$2:$D$37,2,0),"0000")</f>
        <v>0005</v>
      </c>
      <c r="G215" s="261" t="str">
        <f t="shared" si="42"/>
        <v>0022</v>
      </c>
      <c r="H215" s="408">
        <f t="shared" si="43"/>
        <v>15</v>
      </c>
      <c r="I215" s="407" t="s">
        <v>888</v>
      </c>
      <c r="J215" s="258" t="s">
        <v>294</v>
      </c>
      <c r="K215" s="258" t="s">
        <v>2768</v>
      </c>
      <c r="L215" s="236" t="s">
        <v>2981</v>
      </c>
      <c r="M215" s="316">
        <v>24350000</v>
      </c>
      <c r="N215" s="266">
        <v>1598</v>
      </c>
      <c r="O215" s="258" t="s">
        <v>77</v>
      </c>
      <c r="P215" s="258" t="s">
        <v>1965</v>
      </c>
      <c r="Q215" s="258" t="s">
        <v>72</v>
      </c>
      <c r="R215" s="266">
        <v>5</v>
      </c>
      <c r="S215" s="410">
        <v>13</v>
      </c>
      <c r="T215" s="261">
        <v>6</v>
      </c>
      <c r="U215" s="261">
        <v>6</v>
      </c>
      <c r="V215" s="258" t="s">
        <v>71</v>
      </c>
      <c r="W215" s="261" t="str">
        <f t="shared" si="45"/>
        <v>현대자동차투싼가솔린 올뉴 투싼 2WD 모던 A/T24350000</v>
      </c>
      <c r="X215" s="411">
        <f t="shared" si="46"/>
        <v>3989</v>
      </c>
      <c r="Y215" s="261">
        <v>6</v>
      </c>
      <c r="Z215" s="261">
        <v>6</v>
      </c>
      <c r="AA215" s="407" t="s">
        <v>888</v>
      </c>
      <c r="AB215" s="258" t="s">
        <v>1965</v>
      </c>
      <c r="AC215" s="258"/>
      <c r="AD215" s="267">
        <v>4</v>
      </c>
      <c r="AE215" s="258" t="s">
        <v>2129</v>
      </c>
      <c r="AF215" s="259"/>
      <c r="AG215" s="260"/>
      <c r="AH215" s="259"/>
      <c r="AI215" s="259"/>
      <c r="AJ215" s="260"/>
      <c r="AK215" s="259">
        <v>26</v>
      </c>
      <c r="AL215" s="259"/>
      <c r="AM215" s="259" t="s">
        <v>3230</v>
      </c>
      <c r="AN215" s="449"/>
      <c r="AO215" s="449"/>
      <c r="AP215" s="449"/>
      <c r="AQ215" s="392" t="str">
        <f>IFERROR(VLOOKUP(BG215,#REF!,1,0),"")</f>
        <v/>
      </c>
      <c r="AS215" s="259" t="s">
        <v>3227</v>
      </c>
      <c r="BD215" s="202" t="str">
        <f t="shared" si="38"/>
        <v>투싼가솔린 올뉴 투싼 2WD 모던 A/T</v>
      </c>
      <c r="BE215" s="261" t="str">
        <f t="shared" si="44"/>
        <v>0022</v>
      </c>
      <c r="BF215" s="407" t="s">
        <v>888</v>
      </c>
      <c r="BG215" s="202" t="str">
        <f t="shared" si="39"/>
        <v>0022-0214</v>
      </c>
    </row>
    <row r="216" spans="1:59">
      <c r="A216" s="405">
        <v>3990</v>
      </c>
      <c r="B216" s="406">
        <v>3990</v>
      </c>
      <c r="C216" s="261" t="str">
        <f t="shared" si="40"/>
        <v>0005-0022</v>
      </c>
      <c r="D216" s="261" t="str">
        <f t="shared" si="41"/>
        <v>0005-0022-0016</v>
      </c>
      <c r="E216" s="407" t="s">
        <v>887</v>
      </c>
      <c r="F216" s="261" t="str">
        <f>TEXT(VLOOKUP(J216,'[3]1'!$B$2:$D$37,2,0),"0000")</f>
        <v>0005</v>
      </c>
      <c r="G216" s="261" t="str">
        <f t="shared" si="42"/>
        <v>0022</v>
      </c>
      <c r="H216" s="408">
        <f t="shared" si="43"/>
        <v>16</v>
      </c>
      <c r="I216" s="407" t="s">
        <v>887</v>
      </c>
      <c r="J216" s="258" t="s">
        <v>294</v>
      </c>
      <c r="K216" s="258" t="s">
        <v>2768</v>
      </c>
      <c r="L216" s="236" t="s">
        <v>2982</v>
      </c>
      <c r="M216" s="316">
        <v>26410000</v>
      </c>
      <c r="N216" s="266">
        <v>1598</v>
      </c>
      <c r="O216" s="258" t="s">
        <v>77</v>
      </c>
      <c r="P216" s="258" t="s">
        <v>1965</v>
      </c>
      <c r="Q216" s="258" t="s">
        <v>72</v>
      </c>
      <c r="R216" s="266">
        <v>5</v>
      </c>
      <c r="S216" s="410">
        <v>13</v>
      </c>
      <c r="T216" s="261">
        <v>6</v>
      </c>
      <c r="U216" s="261">
        <v>6</v>
      </c>
      <c r="V216" s="258" t="s">
        <v>71</v>
      </c>
      <c r="W216" s="261" t="str">
        <f t="shared" si="45"/>
        <v>현대자동차투싼가솔린 올뉴 투싼 2WD 프리미엄 A/T26410000</v>
      </c>
      <c r="X216" s="411">
        <f t="shared" si="46"/>
        <v>3990</v>
      </c>
      <c r="Y216" s="261">
        <v>6</v>
      </c>
      <c r="Z216" s="261">
        <v>6</v>
      </c>
      <c r="AA216" s="407" t="s">
        <v>887</v>
      </c>
      <c r="AB216" s="258" t="s">
        <v>1965</v>
      </c>
      <c r="AC216" s="258"/>
      <c r="AD216" s="267">
        <v>4</v>
      </c>
      <c r="AE216" s="258" t="s">
        <v>2129</v>
      </c>
      <c r="AF216" s="259"/>
      <c r="AG216" s="260"/>
      <c r="AH216" s="259"/>
      <c r="AI216" s="259"/>
      <c r="AJ216" s="260"/>
      <c r="AK216" s="259">
        <v>26</v>
      </c>
      <c r="AL216" s="259"/>
      <c r="AM216" s="259" t="s">
        <v>3230</v>
      </c>
      <c r="AN216" s="449"/>
      <c r="AO216" s="449"/>
      <c r="AP216" s="449"/>
      <c r="AQ216" s="392" t="str">
        <f>IFERROR(VLOOKUP(BG216,#REF!,1,0),"")</f>
        <v/>
      </c>
      <c r="AS216" s="259" t="s">
        <v>3227</v>
      </c>
      <c r="BD216" s="202" t="str">
        <f t="shared" si="38"/>
        <v>투싼가솔린 올뉴 투싼 2WD 프리미엄 A/T</v>
      </c>
      <c r="BE216" s="261" t="str">
        <f t="shared" si="44"/>
        <v>0022</v>
      </c>
      <c r="BF216" s="407" t="s">
        <v>887</v>
      </c>
      <c r="BG216" s="202" t="str">
        <f t="shared" si="39"/>
        <v>0022-0215</v>
      </c>
    </row>
    <row r="217" spans="1:59">
      <c r="A217" s="405">
        <v>3991</v>
      </c>
      <c r="B217" s="406">
        <v>3991</v>
      </c>
      <c r="C217" s="261" t="str">
        <f t="shared" si="40"/>
        <v>0005-0022</v>
      </c>
      <c r="D217" s="261" t="str">
        <f t="shared" si="41"/>
        <v>0005-0022-0017</v>
      </c>
      <c r="E217" s="407" t="s">
        <v>886</v>
      </c>
      <c r="F217" s="261" t="str">
        <f>TEXT(VLOOKUP(J217,'[3]1'!$B$2:$D$37,2,0),"0000")</f>
        <v>0005</v>
      </c>
      <c r="G217" s="261" t="str">
        <f t="shared" si="42"/>
        <v>0022</v>
      </c>
      <c r="H217" s="408">
        <f t="shared" si="43"/>
        <v>17</v>
      </c>
      <c r="I217" s="407" t="s">
        <v>886</v>
      </c>
      <c r="J217" s="258" t="s">
        <v>294</v>
      </c>
      <c r="K217" s="258" t="s">
        <v>2768</v>
      </c>
      <c r="L217" s="236" t="s">
        <v>2983</v>
      </c>
      <c r="M217" s="316">
        <v>31550000</v>
      </c>
      <c r="N217" s="266">
        <v>1598</v>
      </c>
      <c r="O217" s="258" t="s">
        <v>77</v>
      </c>
      <c r="P217" s="258" t="s">
        <v>1965</v>
      </c>
      <c r="Q217" s="258" t="s">
        <v>72</v>
      </c>
      <c r="R217" s="266">
        <v>5</v>
      </c>
      <c r="S217" s="410">
        <v>13</v>
      </c>
      <c r="T217" s="261">
        <v>6</v>
      </c>
      <c r="U217" s="261">
        <v>6</v>
      </c>
      <c r="V217" s="258" t="s">
        <v>71</v>
      </c>
      <c r="W217" s="261" t="str">
        <f t="shared" si="45"/>
        <v>현대자동차투싼가솔린 올뉴 투싼 2WD 인스퍼레이션 A/T31550000</v>
      </c>
      <c r="X217" s="411">
        <f t="shared" si="46"/>
        <v>3991</v>
      </c>
      <c r="Y217" s="261">
        <v>6</v>
      </c>
      <c r="Z217" s="261">
        <v>6</v>
      </c>
      <c r="AA217" s="407" t="s">
        <v>886</v>
      </c>
      <c r="AB217" s="258" t="s">
        <v>1965</v>
      </c>
      <c r="AC217" s="258"/>
      <c r="AD217" s="267">
        <v>4</v>
      </c>
      <c r="AE217" s="258" t="s">
        <v>2129</v>
      </c>
      <c r="AF217" s="259"/>
      <c r="AG217" s="260"/>
      <c r="AH217" s="259"/>
      <c r="AI217" s="259"/>
      <c r="AJ217" s="260"/>
      <c r="AK217" s="259">
        <v>26</v>
      </c>
      <c r="AL217" s="259"/>
      <c r="AM217" s="259" t="s">
        <v>3230</v>
      </c>
      <c r="AN217" s="449"/>
      <c r="AO217" s="449"/>
      <c r="AP217" s="449"/>
      <c r="AQ217" s="392" t="str">
        <f>IFERROR(VLOOKUP(BG217,#REF!,1,0),"")</f>
        <v/>
      </c>
      <c r="AS217" s="259" t="s">
        <v>3227</v>
      </c>
      <c r="BD217" s="202" t="str">
        <f t="shared" si="38"/>
        <v>투싼가솔린 올뉴 투싼 2WD 인스퍼레이션 A/T</v>
      </c>
      <c r="BE217" s="261" t="str">
        <f t="shared" si="44"/>
        <v>0022</v>
      </c>
      <c r="BF217" s="407" t="s">
        <v>886</v>
      </c>
      <c r="BG217" s="202" t="str">
        <f t="shared" si="39"/>
        <v>0022-0216</v>
      </c>
    </row>
    <row r="218" spans="1:59">
      <c r="A218" s="405">
        <v>3992</v>
      </c>
      <c r="B218" s="406">
        <v>3992</v>
      </c>
      <c r="C218" s="261" t="str">
        <f t="shared" si="40"/>
        <v>0005-0022</v>
      </c>
      <c r="D218" s="261" t="str">
        <f t="shared" si="41"/>
        <v>0005-0022-0018</v>
      </c>
      <c r="E218" s="407" t="s">
        <v>885</v>
      </c>
      <c r="F218" s="261" t="str">
        <f>TEXT(VLOOKUP(J218,'[3]1'!$B$2:$D$37,2,0),"0000")</f>
        <v>0005</v>
      </c>
      <c r="G218" s="261" t="str">
        <f t="shared" si="42"/>
        <v>0022</v>
      </c>
      <c r="H218" s="408">
        <f t="shared" si="43"/>
        <v>18</v>
      </c>
      <c r="I218" s="407" t="s">
        <v>885</v>
      </c>
      <c r="J218" s="258" t="s">
        <v>294</v>
      </c>
      <c r="K218" s="258" t="s">
        <v>2768</v>
      </c>
      <c r="L218" s="236" t="s">
        <v>2984</v>
      </c>
      <c r="M218" s="316">
        <v>26310000</v>
      </c>
      <c r="N218" s="266">
        <v>1598</v>
      </c>
      <c r="O218" s="258" t="s">
        <v>77</v>
      </c>
      <c r="P218" s="258" t="s">
        <v>1965</v>
      </c>
      <c r="Q218" s="258" t="s">
        <v>72</v>
      </c>
      <c r="R218" s="266">
        <v>5</v>
      </c>
      <c r="S218" s="410">
        <v>13</v>
      </c>
      <c r="T218" s="261">
        <v>6</v>
      </c>
      <c r="U218" s="261">
        <v>6</v>
      </c>
      <c r="V218" s="258" t="s">
        <v>71</v>
      </c>
      <c r="W218" s="261" t="str">
        <f t="shared" si="45"/>
        <v>현대자동차투싼가솔린 올뉴 투싼 AWD 모던 A/T26310000</v>
      </c>
      <c r="X218" s="411">
        <f t="shared" si="46"/>
        <v>3992</v>
      </c>
      <c r="Y218" s="261">
        <v>6</v>
      </c>
      <c r="Z218" s="261">
        <v>6</v>
      </c>
      <c r="AA218" s="407" t="s">
        <v>885</v>
      </c>
      <c r="AB218" s="258" t="s">
        <v>1965</v>
      </c>
      <c r="AC218" s="258"/>
      <c r="AD218" s="267">
        <v>4</v>
      </c>
      <c r="AE218" s="258" t="s">
        <v>2129</v>
      </c>
      <c r="AF218" s="259"/>
      <c r="AG218" s="260"/>
      <c r="AH218" s="259"/>
      <c r="AI218" s="259"/>
      <c r="AJ218" s="260"/>
      <c r="AK218" s="259">
        <v>26</v>
      </c>
      <c r="AL218" s="259"/>
      <c r="AM218" s="259" t="s">
        <v>3230</v>
      </c>
      <c r="AN218" s="449"/>
      <c r="AO218" s="449"/>
      <c r="AP218" s="449"/>
      <c r="AQ218" s="392" t="str">
        <f>IFERROR(VLOOKUP(BG218,#REF!,1,0),"")</f>
        <v/>
      </c>
      <c r="AS218" s="259" t="s">
        <v>3227</v>
      </c>
      <c r="BD218" s="202" t="str">
        <f t="shared" si="38"/>
        <v>투싼가솔린 올뉴 투싼 AWD 모던 A/T</v>
      </c>
      <c r="BE218" s="261" t="str">
        <f t="shared" si="44"/>
        <v>0022</v>
      </c>
      <c r="BF218" s="407" t="s">
        <v>885</v>
      </c>
      <c r="BG218" s="202" t="str">
        <f t="shared" si="39"/>
        <v>0022-0217</v>
      </c>
    </row>
    <row r="219" spans="1:59">
      <c r="A219" s="405">
        <v>3993</v>
      </c>
      <c r="B219" s="406">
        <v>3993</v>
      </c>
      <c r="C219" s="261" t="str">
        <f t="shared" si="40"/>
        <v>0005-0022</v>
      </c>
      <c r="D219" s="261" t="str">
        <f t="shared" si="41"/>
        <v>0005-0022-0019</v>
      </c>
      <c r="E219" s="407" t="s">
        <v>884</v>
      </c>
      <c r="F219" s="261" t="str">
        <f>TEXT(VLOOKUP(J219,'[3]1'!$B$2:$D$37,2,0),"0000")</f>
        <v>0005</v>
      </c>
      <c r="G219" s="261" t="str">
        <f t="shared" si="42"/>
        <v>0022</v>
      </c>
      <c r="H219" s="408">
        <f t="shared" si="43"/>
        <v>19</v>
      </c>
      <c r="I219" s="407" t="s">
        <v>884</v>
      </c>
      <c r="J219" s="258" t="s">
        <v>294</v>
      </c>
      <c r="K219" s="258" t="s">
        <v>2768</v>
      </c>
      <c r="L219" s="236" t="s">
        <v>2985</v>
      </c>
      <c r="M219" s="316">
        <v>29370000</v>
      </c>
      <c r="N219" s="266">
        <v>1598</v>
      </c>
      <c r="O219" s="258" t="s">
        <v>77</v>
      </c>
      <c r="P219" s="258" t="s">
        <v>1965</v>
      </c>
      <c r="Q219" s="258" t="s">
        <v>72</v>
      </c>
      <c r="R219" s="266">
        <v>5</v>
      </c>
      <c r="S219" s="410">
        <v>13</v>
      </c>
      <c r="T219" s="261">
        <v>6</v>
      </c>
      <c r="U219" s="261">
        <v>6</v>
      </c>
      <c r="V219" s="258" t="s">
        <v>71</v>
      </c>
      <c r="W219" s="261" t="str">
        <f t="shared" si="45"/>
        <v>현대자동차투싼가솔린 올뉴 투싼 AWD 프리미엄 A/T29370000</v>
      </c>
      <c r="X219" s="411">
        <f t="shared" si="46"/>
        <v>3993</v>
      </c>
      <c r="Y219" s="261">
        <v>6</v>
      </c>
      <c r="Z219" s="261">
        <v>6</v>
      </c>
      <c r="AA219" s="407" t="s">
        <v>884</v>
      </c>
      <c r="AB219" s="258" t="s">
        <v>1965</v>
      </c>
      <c r="AC219" s="258"/>
      <c r="AD219" s="267">
        <v>4</v>
      </c>
      <c r="AE219" s="258" t="s">
        <v>2129</v>
      </c>
      <c r="AF219" s="259"/>
      <c r="AG219" s="260"/>
      <c r="AH219" s="259"/>
      <c r="AI219" s="259"/>
      <c r="AJ219" s="260"/>
      <c r="AK219" s="259">
        <v>26</v>
      </c>
      <c r="AL219" s="259"/>
      <c r="AM219" s="259" t="s">
        <v>3230</v>
      </c>
      <c r="AN219" s="449"/>
      <c r="AO219" s="449"/>
      <c r="AP219" s="449"/>
      <c r="AQ219" s="392" t="str">
        <f>IFERROR(VLOOKUP(BG219,#REF!,1,0),"")</f>
        <v/>
      </c>
      <c r="AS219" s="259" t="s">
        <v>3227</v>
      </c>
      <c r="BD219" s="202" t="str">
        <f t="shared" si="38"/>
        <v>투싼가솔린 올뉴 투싼 AWD 프리미엄 A/T</v>
      </c>
      <c r="BE219" s="261" t="str">
        <f t="shared" si="44"/>
        <v>0022</v>
      </c>
      <c r="BF219" s="407" t="s">
        <v>884</v>
      </c>
      <c r="BG219" s="202" t="str">
        <f t="shared" si="39"/>
        <v>0022-0218</v>
      </c>
    </row>
    <row r="220" spans="1:59">
      <c r="A220" s="405">
        <v>3994</v>
      </c>
      <c r="B220" s="406">
        <v>3994</v>
      </c>
      <c r="C220" s="261" t="str">
        <f t="shared" si="40"/>
        <v>0005-0022</v>
      </c>
      <c r="D220" s="261" t="str">
        <f t="shared" si="41"/>
        <v>0005-0022-0020</v>
      </c>
      <c r="E220" s="407" t="s">
        <v>883</v>
      </c>
      <c r="F220" s="261" t="str">
        <f>TEXT(VLOOKUP(J220,'[3]1'!$B$2:$D$37,2,0),"0000")</f>
        <v>0005</v>
      </c>
      <c r="G220" s="261" t="str">
        <f t="shared" si="42"/>
        <v>0022</v>
      </c>
      <c r="H220" s="408">
        <f t="shared" si="43"/>
        <v>20</v>
      </c>
      <c r="I220" s="407" t="s">
        <v>883</v>
      </c>
      <c r="J220" s="258" t="s">
        <v>294</v>
      </c>
      <c r="K220" s="258" t="s">
        <v>2768</v>
      </c>
      <c r="L220" s="236" t="s">
        <v>2986</v>
      </c>
      <c r="M220" s="316">
        <v>33510000</v>
      </c>
      <c r="N220" s="266">
        <v>1598</v>
      </c>
      <c r="O220" s="258" t="s">
        <v>77</v>
      </c>
      <c r="P220" s="258" t="s">
        <v>1965</v>
      </c>
      <c r="Q220" s="258" t="s">
        <v>72</v>
      </c>
      <c r="R220" s="266">
        <v>5</v>
      </c>
      <c r="S220" s="410">
        <v>13</v>
      </c>
      <c r="T220" s="261">
        <v>6</v>
      </c>
      <c r="U220" s="261">
        <v>6</v>
      </c>
      <c r="V220" s="258" t="s">
        <v>71</v>
      </c>
      <c r="W220" s="261" t="str">
        <f t="shared" si="45"/>
        <v>현대자동차투싼가솔린 올뉴 투싼 AWD 인스퍼레이션 A/T33510000</v>
      </c>
      <c r="X220" s="411">
        <f t="shared" si="46"/>
        <v>3994</v>
      </c>
      <c r="Y220" s="261">
        <v>6</v>
      </c>
      <c r="Z220" s="261">
        <v>6</v>
      </c>
      <c r="AA220" s="407" t="s">
        <v>883</v>
      </c>
      <c r="AB220" s="258" t="s">
        <v>1965</v>
      </c>
      <c r="AC220" s="258"/>
      <c r="AD220" s="267">
        <v>4</v>
      </c>
      <c r="AE220" s="258" t="s">
        <v>2129</v>
      </c>
      <c r="AF220" s="259"/>
      <c r="AG220" s="260"/>
      <c r="AH220" s="259"/>
      <c r="AI220" s="259"/>
      <c r="AJ220" s="260"/>
      <c r="AK220" s="259">
        <v>26</v>
      </c>
      <c r="AL220" s="259"/>
      <c r="AM220" s="259" t="s">
        <v>3230</v>
      </c>
      <c r="AN220" s="449"/>
      <c r="AO220" s="449"/>
      <c r="AP220" s="449"/>
      <c r="AQ220" s="392" t="str">
        <f>IFERROR(VLOOKUP(BG220,#REF!,1,0),"")</f>
        <v/>
      </c>
      <c r="AS220" s="259" t="s">
        <v>3227</v>
      </c>
      <c r="BD220" s="202" t="str">
        <f t="shared" si="38"/>
        <v>투싼가솔린 올뉴 투싼 AWD 인스퍼레이션 A/T</v>
      </c>
      <c r="BE220" s="261" t="str">
        <f t="shared" si="44"/>
        <v>0022</v>
      </c>
      <c r="BF220" s="407" t="s">
        <v>883</v>
      </c>
      <c r="BG220" s="202" t="str">
        <f t="shared" si="39"/>
        <v>0022-0219</v>
      </c>
    </row>
    <row r="221" spans="1:59">
      <c r="A221" s="405">
        <v>3995</v>
      </c>
      <c r="B221" s="406">
        <v>3995</v>
      </c>
      <c r="C221" s="261" t="str">
        <f t="shared" si="40"/>
        <v>0005-0023</v>
      </c>
      <c r="D221" s="261" t="str">
        <f t="shared" si="41"/>
        <v>0005-0023-0001</v>
      </c>
      <c r="E221" s="407" t="s">
        <v>882</v>
      </c>
      <c r="F221" s="261" t="str">
        <f>TEXT(VLOOKUP(J221,'[3]1'!$B$2:$D$37,2,0),"0000")</f>
        <v>0005</v>
      </c>
      <c r="G221" s="261" t="str">
        <f t="shared" si="42"/>
        <v>0023</v>
      </c>
      <c r="H221" s="408">
        <f t="shared" si="43"/>
        <v>1</v>
      </c>
      <c r="I221" s="407" t="s">
        <v>882</v>
      </c>
      <c r="J221" s="413" t="s">
        <v>294</v>
      </c>
      <c r="K221" s="413" t="s">
        <v>2863</v>
      </c>
      <c r="L221" s="413" t="s">
        <v>2864</v>
      </c>
      <c r="M221" s="415">
        <v>28570000</v>
      </c>
      <c r="N221" s="416">
        <v>1598</v>
      </c>
      <c r="O221" s="413" t="s">
        <v>74</v>
      </c>
      <c r="P221" s="258" t="s">
        <v>1965</v>
      </c>
      <c r="Q221" s="413" t="s">
        <v>72</v>
      </c>
      <c r="R221" s="416">
        <v>5</v>
      </c>
      <c r="S221" s="410">
        <v>4</v>
      </c>
      <c r="T221" s="261">
        <v>6</v>
      </c>
      <c r="U221" s="261">
        <v>6</v>
      </c>
      <c r="V221" s="258" t="s">
        <v>1914</v>
      </c>
      <c r="W221" s="261" t="str">
        <f t="shared" si="45"/>
        <v>현대자동차투싼 하이브리드The all new 투싼 Hybrid 모던28570000</v>
      </c>
      <c r="X221" s="411">
        <f t="shared" si="46"/>
        <v>3995</v>
      </c>
      <c r="Y221" s="261">
        <v>6</v>
      </c>
      <c r="Z221" s="261">
        <v>6</v>
      </c>
      <c r="AA221" s="407" t="s">
        <v>882</v>
      </c>
      <c r="AB221" s="258" t="s">
        <v>1965</v>
      </c>
      <c r="AC221" s="258"/>
      <c r="AD221" s="258">
        <v>4</v>
      </c>
      <c r="AE221" s="258" t="s">
        <v>2129</v>
      </c>
      <c r="AF221" s="259"/>
      <c r="AG221" s="260"/>
      <c r="AH221" s="259"/>
      <c r="AI221" s="259"/>
      <c r="AJ221" s="260"/>
      <c r="AK221" s="259">
        <v>26</v>
      </c>
      <c r="AL221" s="259"/>
      <c r="AM221" s="259" t="s">
        <v>3226</v>
      </c>
      <c r="AN221" s="449"/>
      <c r="AO221" s="449"/>
      <c r="AP221" s="449"/>
      <c r="AQ221" s="392" t="str">
        <f>IFERROR(VLOOKUP(BG221,#REF!,1,0),"")</f>
        <v/>
      </c>
      <c r="AS221" s="259" t="s">
        <v>3226</v>
      </c>
      <c r="BD221" s="202" t="str">
        <f t="shared" si="38"/>
        <v>투싼 하이브리드The all new 투싼 Hybrid 모던</v>
      </c>
      <c r="BE221" s="261" t="str">
        <f t="shared" si="44"/>
        <v>0023</v>
      </c>
      <c r="BF221" s="407" t="s">
        <v>882</v>
      </c>
      <c r="BG221" s="202" t="str">
        <f t="shared" si="39"/>
        <v>0023-0220</v>
      </c>
    </row>
    <row r="222" spans="1:59">
      <c r="A222" s="405">
        <v>3996</v>
      </c>
      <c r="B222" s="406">
        <v>3996</v>
      </c>
      <c r="C222" s="261" t="str">
        <f t="shared" si="40"/>
        <v>0005-0023</v>
      </c>
      <c r="D222" s="261" t="str">
        <f t="shared" si="41"/>
        <v>0005-0023-0002</v>
      </c>
      <c r="E222" s="407" t="s">
        <v>881</v>
      </c>
      <c r="F222" s="261" t="str">
        <f>TEXT(VLOOKUP(J222,'[3]1'!$B$2:$D$37,2,0),"0000")</f>
        <v>0005</v>
      </c>
      <c r="G222" s="261" t="str">
        <f t="shared" si="42"/>
        <v>0023</v>
      </c>
      <c r="H222" s="408">
        <f t="shared" si="43"/>
        <v>2</v>
      </c>
      <c r="I222" s="407" t="s">
        <v>881</v>
      </c>
      <c r="J222" s="413" t="s">
        <v>294</v>
      </c>
      <c r="K222" s="413" t="s">
        <v>2863</v>
      </c>
      <c r="L222" s="413" t="s">
        <v>2865</v>
      </c>
      <c r="M222" s="415">
        <v>30730000</v>
      </c>
      <c r="N222" s="416">
        <v>1598</v>
      </c>
      <c r="O222" s="413" t="s">
        <v>74</v>
      </c>
      <c r="P222" s="258" t="s">
        <v>1965</v>
      </c>
      <c r="Q222" s="413" t="s">
        <v>72</v>
      </c>
      <c r="R222" s="416">
        <v>5</v>
      </c>
      <c r="S222" s="410">
        <v>4</v>
      </c>
      <c r="T222" s="261">
        <v>6</v>
      </c>
      <c r="U222" s="261">
        <v>6</v>
      </c>
      <c r="V222" s="258" t="s">
        <v>1914</v>
      </c>
      <c r="W222" s="261" t="str">
        <f t="shared" si="45"/>
        <v>현대자동차투싼 하이브리드The all new 투싼 Hybrid 프리미엄30730000</v>
      </c>
      <c r="X222" s="411">
        <f t="shared" si="46"/>
        <v>3996</v>
      </c>
      <c r="Y222" s="261">
        <v>6</v>
      </c>
      <c r="Z222" s="261">
        <v>6</v>
      </c>
      <c r="AA222" s="407" t="s">
        <v>881</v>
      </c>
      <c r="AB222" s="258" t="s">
        <v>1965</v>
      </c>
      <c r="AC222" s="258"/>
      <c r="AD222" s="258">
        <v>4</v>
      </c>
      <c r="AE222" s="258" t="s">
        <v>2129</v>
      </c>
      <c r="AF222" s="259"/>
      <c r="AG222" s="260"/>
      <c r="AH222" s="259"/>
      <c r="AI222" s="259"/>
      <c r="AJ222" s="260"/>
      <c r="AK222" s="259">
        <v>26</v>
      </c>
      <c r="AL222" s="259"/>
      <c r="AM222" s="259" t="s">
        <v>3226</v>
      </c>
      <c r="AN222" s="449"/>
      <c r="AO222" s="449"/>
      <c r="AP222" s="449"/>
      <c r="AQ222" s="392" t="str">
        <f>IFERROR(VLOOKUP(BG222,#REF!,1,0),"")</f>
        <v/>
      </c>
      <c r="AS222" s="259" t="s">
        <v>3226</v>
      </c>
      <c r="BD222" s="202" t="str">
        <f t="shared" si="38"/>
        <v>투싼 하이브리드The all new 투싼 Hybrid 프리미엄</v>
      </c>
      <c r="BE222" s="261" t="str">
        <f t="shared" si="44"/>
        <v>0023</v>
      </c>
      <c r="BF222" s="407" t="s">
        <v>881</v>
      </c>
      <c r="BG222" s="202" t="str">
        <f t="shared" si="39"/>
        <v>0023-0221</v>
      </c>
    </row>
    <row r="223" spans="1:59">
      <c r="A223" s="405">
        <v>3997</v>
      </c>
      <c r="B223" s="406">
        <v>3997</v>
      </c>
      <c r="C223" s="261" t="str">
        <f t="shared" si="40"/>
        <v>0005-0023</v>
      </c>
      <c r="D223" s="261" t="str">
        <f t="shared" si="41"/>
        <v>0005-0023-0003</v>
      </c>
      <c r="E223" s="407" t="s">
        <v>880</v>
      </c>
      <c r="F223" s="261" t="str">
        <f>TEXT(VLOOKUP(J223,'[3]1'!$B$2:$D$37,2,0),"0000")</f>
        <v>0005</v>
      </c>
      <c r="G223" s="261" t="str">
        <f t="shared" si="42"/>
        <v>0023</v>
      </c>
      <c r="H223" s="408">
        <f t="shared" si="43"/>
        <v>3</v>
      </c>
      <c r="I223" s="407" t="s">
        <v>880</v>
      </c>
      <c r="J223" s="413" t="s">
        <v>294</v>
      </c>
      <c r="K223" s="413" t="s">
        <v>2863</v>
      </c>
      <c r="L223" s="413" t="s">
        <v>2866</v>
      </c>
      <c r="M223" s="415">
        <v>34670000</v>
      </c>
      <c r="N223" s="416">
        <v>1598</v>
      </c>
      <c r="O223" s="413" t="s">
        <v>74</v>
      </c>
      <c r="P223" s="258" t="s">
        <v>1965</v>
      </c>
      <c r="Q223" s="413" t="s">
        <v>72</v>
      </c>
      <c r="R223" s="416">
        <v>5</v>
      </c>
      <c r="S223" s="410">
        <v>4</v>
      </c>
      <c r="T223" s="261">
        <v>6</v>
      </c>
      <c r="U223" s="261">
        <v>6</v>
      </c>
      <c r="V223" s="258" t="s">
        <v>1914</v>
      </c>
      <c r="W223" s="261" t="str">
        <f t="shared" si="45"/>
        <v>현대자동차투싼 하이브리드The all new 투싼 Hybrid 인스퍼레이션34670000</v>
      </c>
      <c r="X223" s="411">
        <f t="shared" si="46"/>
        <v>3997</v>
      </c>
      <c r="Y223" s="261">
        <v>6</v>
      </c>
      <c r="Z223" s="261">
        <v>6</v>
      </c>
      <c r="AA223" s="407" t="s">
        <v>880</v>
      </c>
      <c r="AB223" s="258" t="s">
        <v>1965</v>
      </c>
      <c r="AC223" s="258"/>
      <c r="AD223" s="258">
        <v>4</v>
      </c>
      <c r="AE223" s="258" t="s">
        <v>2129</v>
      </c>
      <c r="AF223" s="259"/>
      <c r="AG223" s="260"/>
      <c r="AH223" s="259"/>
      <c r="AI223" s="259"/>
      <c r="AJ223" s="260"/>
      <c r="AK223" s="259">
        <v>26</v>
      </c>
      <c r="AL223" s="259"/>
      <c r="AM223" s="259" t="s">
        <v>3226</v>
      </c>
      <c r="AN223" s="449"/>
      <c r="AO223" s="449"/>
      <c r="AP223" s="449"/>
      <c r="AQ223" s="392" t="str">
        <f>IFERROR(VLOOKUP(BG223,#REF!,1,0),"")</f>
        <v/>
      </c>
      <c r="AS223" s="259" t="s">
        <v>3226</v>
      </c>
      <c r="BD223" s="202" t="str">
        <f t="shared" si="38"/>
        <v>투싼 하이브리드The all new 투싼 Hybrid 인스퍼레이션</v>
      </c>
      <c r="BE223" s="261" t="str">
        <f t="shared" si="44"/>
        <v>0023</v>
      </c>
      <c r="BF223" s="407" t="s">
        <v>880</v>
      </c>
      <c r="BG223" s="202" t="str">
        <f t="shared" si="39"/>
        <v>0023-0222</v>
      </c>
    </row>
    <row r="224" spans="1:59">
      <c r="A224" s="405">
        <v>3998</v>
      </c>
      <c r="B224" s="406">
        <v>3998</v>
      </c>
      <c r="C224" s="261" t="str">
        <f t="shared" si="40"/>
        <v>0005-0024</v>
      </c>
      <c r="D224" s="261" t="str">
        <f t="shared" si="41"/>
        <v>0005-0024-0001</v>
      </c>
      <c r="E224" s="407" t="s">
        <v>879</v>
      </c>
      <c r="F224" s="261" t="str">
        <f>TEXT(VLOOKUP(J224,'[3]1'!$B$2:$D$37,2,0),"0000")</f>
        <v>0005</v>
      </c>
      <c r="G224" s="261" t="str">
        <f t="shared" si="42"/>
        <v>0024</v>
      </c>
      <c r="H224" s="408">
        <f t="shared" si="43"/>
        <v>1</v>
      </c>
      <c r="I224" s="407" t="s">
        <v>879</v>
      </c>
      <c r="J224" s="258" t="s">
        <v>294</v>
      </c>
      <c r="K224" s="258" t="s">
        <v>2769</v>
      </c>
      <c r="L224" s="258" t="s">
        <v>2596</v>
      </c>
      <c r="M224" s="409">
        <v>47720000</v>
      </c>
      <c r="N224" s="258">
        <v>2199</v>
      </c>
      <c r="O224" s="258" t="s">
        <v>78</v>
      </c>
      <c r="P224" s="258" t="s">
        <v>1965</v>
      </c>
      <c r="Q224" s="258" t="s">
        <v>72</v>
      </c>
      <c r="R224" s="258">
        <v>7</v>
      </c>
      <c r="S224" s="410">
        <v>5</v>
      </c>
      <c r="T224" s="261">
        <v>6</v>
      </c>
      <c r="U224" s="261">
        <v>6</v>
      </c>
      <c r="V224" s="258" t="s">
        <v>3329</v>
      </c>
      <c r="W224" s="261" t="str">
        <f t="shared" si="45"/>
        <v>현대자동차팰리세이드2.2 디젤 캘리그래피 2WD (7인승)47720000</v>
      </c>
      <c r="X224" s="411">
        <f t="shared" si="46"/>
        <v>3998</v>
      </c>
      <c r="Y224" s="261">
        <v>6</v>
      </c>
      <c r="Z224" s="261">
        <v>6</v>
      </c>
      <c r="AA224" s="407" t="s">
        <v>879</v>
      </c>
      <c r="AB224" s="258" t="s">
        <v>1965</v>
      </c>
      <c r="AC224" s="258"/>
      <c r="AD224" s="258" t="s">
        <v>2132</v>
      </c>
      <c r="AE224" s="258" t="s">
        <v>2129</v>
      </c>
      <c r="AF224" s="259"/>
      <c r="AG224" s="260"/>
      <c r="AH224" s="259"/>
      <c r="AI224" s="259"/>
      <c r="AJ224" s="260"/>
      <c r="AK224" s="259">
        <v>26</v>
      </c>
      <c r="AL224" s="259"/>
      <c r="AM224" s="259" t="s">
        <v>93</v>
      </c>
      <c r="AN224" s="449"/>
      <c r="AO224" s="449"/>
      <c r="AP224" s="449"/>
      <c r="AQ224" s="392" t="str">
        <f>IFERROR(VLOOKUP(BG224,#REF!,1,0),"")</f>
        <v/>
      </c>
      <c r="AS224" s="259" t="s">
        <v>93</v>
      </c>
      <c r="BD224" s="202" t="str">
        <f t="shared" si="38"/>
        <v>팰리세이드2.2 디젤 캘리그래피 2WD (7인승)</v>
      </c>
      <c r="BE224" s="261" t="str">
        <f t="shared" si="44"/>
        <v>0024</v>
      </c>
      <c r="BF224" s="407" t="s">
        <v>879</v>
      </c>
      <c r="BG224" s="202" t="str">
        <f t="shared" si="39"/>
        <v>0024-0223</v>
      </c>
    </row>
    <row r="225" spans="1:59">
      <c r="A225" s="405">
        <v>3999</v>
      </c>
      <c r="B225" s="406">
        <v>3999</v>
      </c>
      <c r="C225" s="261" t="str">
        <f t="shared" si="40"/>
        <v>0005-0024</v>
      </c>
      <c r="D225" s="261" t="str">
        <f t="shared" si="41"/>
        <v>0005-0024-0002</v>
      </c>
      <c r="E225" s="407" t="s">
        <v>878</v>
      </c>
      <c r="F225" s="261" t="str">
        <f>TEXT(VLOOKUP(J225,'[3]1'!$B$2:$D$37,2,0),"0000")</f>
        <v>0005</v>
      </c>
      <c r="G225" s="261" t="str">
        <f t="shared" si="42"/>
        <v>0024</v>
      </c>
      <c r="H225" s="408">
        <f t="shared" si="43"/>
        <v>2</v>
      </c>
      <c r="I225" s="407" t="s">
        <v>878</v>
      </c>
      <c r="J225" s="258" t="s">
        <v>294</v>
      </c>
      <c r="K225" s="258" t="s">
        <v>2769</v>
      </c>
      <c r="L225" s="258" t="s">
        <v>2597</v>
      </c>
      <c r="M225" s="409">
        <v>50030000</v>
      </c>
      <c r="N225" s="258">
        <v>2199</v>
      </c>
      <c r="O225" s="258" t="s">
        <v>78</v>
      </c>
      <c r="P225" s="258" t="s">
        <v>1965</v>
      </c>
      <c r="Q225" s="258" t="s">
        <v>72</v>
      </c>
      <c r="R225" s="258">
        <v>5</v>
      </c>
      <c r="S225" s="410">
        <v>5</v>
      </c>
      <c r="T225" s="261">
        <v>6</v>
      </c>
      <c r="U225" s="261">
        <v>6</v>
      </c>
      <c r="V225" s="258" t="s">
        <v>71</v>
      </c>
      <c r="W225" s="261" t="str">
        <f t="shared" si="45"/>
        <v>현대자동차팰리세이드2.2 디젤 캘리그래피 4WD50030000</v>
      </c>
      <c r="X225" s="411">
        <f t="shared" si="46"/>
        <v>3999</v>
      </c>
      <c r="Y225" s="261">
        <v>6</v>
      </c>
      <c r="Z225" s="261">
        <v>6</v>
      </c>
      <c r="AA225" s="407" t="s">
        <v>878</v>
      </c>
      <c r="AB225" s="258" t="s">
        <v>1965</v>
      </c>
      <c r="AC225" s="258"/>
      <c r="AD225" s="258" t="s">
        <v>2132</v>
      </c>
      <c r="AE225" s="258" t="s">
        <v>2129</v>
      </c>
      <c r="AF225" s="259"/>
      <c r="AG225" s="260"/>
      <c r="AH225" s="259"/>
      <c r="AI225" s="259"/>
      <c r="AJ225" s="260"/>
      <c r="AK225" s="259">
        <v>26</v>
      </c>
      <c r="AL225" s="259"/>
      <c r="AM225" s="259" t="s">
        <v>93</v>
      </c>
      <c r="AN225" s="449"/>
      <c r="AO225" s="449"/>
      <c r="AP225" s="449"/>
      <c r="AQ225" s="392" t="str">
        <f>IFERROR(VLOOKUP(BG225,#REF!,1,0),"")</f>
        <v/>
      </c>
      <c r="AS225" s="259" t="s">
        <v>93</v>
      </c>
      <c r="BD225" s="202" t="str">
        <f t="shared" si="38"/>
        <v>팰리세이드2.2 디젤 캘리그래피 4WD</v>
      </c>
      <c r="BE225" s="261" t="str">
        <f t="shared" si="44"/>
        <v>0024</v>
      </c>
      <c r="BF225" s="407" t="s">
        <v>878</v>
      </c>
      <c r="BG225" s="202" t="str">
        <f t="shared" si="39"/>
        <v>0024-0224</v>
      </c>
    </row>
    <row r="226" spans="1:59">
      <c r="A226" s="405">
        <v>4000</v>
      </c>
      <c r="B226" s="406">
        <v>4000</v>
      </c>
      <c r="C226" s="261" t="str">
        <f t="shared" si="40"/>
        <v>0005-0024</v>
      </c>
      <c r="D226" s="261" t="str">
        <f t="shared" si="41"/>
        <v>0005-0024-0003</v>
      </c>
      <c r="E226" s="407" t="s">
        <v>877</v>
      </c>
      <c r="F226" s="261" t="str">
        <f>TEXT(VLOOKUP(J226,'[3]1'!$B$2:$D$37,2,0),"0000")</f>
        <v>0005</v>
      </c>
      <c r="G226" s="261" t="str">
        <f t="shared" si="42"/>
        <v>0024</v>
      </c>
      <c r="H226" s="408">
        <f t="shared" si="43"/>
        <v>3</v>
      </c>
      <c r="I226" s="407" t="s">
        <v>877</v>
      </c>
      <c r="J226" s="258" t="s">
        <v>294</v>
      </c>
      <c r="K226" s="258" t="s">
        <v>2769</v>
      </c>
      <c r="L226" s="258" t="s">
        <v>2598</v>
      </c>
      <c r="M226" s="409">
        <v>37210000</v>
      </c>
      <c r="N226" s="258">
        <v>2199</v>
      </c>
      <c r="O226" s="258" t="s">
        <v>78</v>
      </c>
      <c r="P226" s="258" t="s">
        <v>1965</v>
      </c>
      <c r="Q226" s="258" t="s">
        <v>72</v>
      </c>
      <c r="R226" s="258">
        <v>8</v>
      </c>
      <c r="S226" s="410">
        <v>5</v>
      </c>
      <c r="T226" s="261">
        <v>6</v>
      </c>
      <c r="U226" s="261">
        <v>6</v>
      </c>
      <c r="V226" s="258" t="s">
        <v>3329</v>
      </c>
      <c r="W226" s="261" t="str">
        <f t="shared" si="45"/>
        <v>현대자동차팰리세이드2.2 디젤 익스클루시브 2WD37210000</v>
      </c>
      <c r="X226" s="411">
        <f t="shared" si="46"/>
        <v>4000</v>
      </c>
      <c r="Y226" s="261">
        <v>6</v>
      </c>
      <c r="Z226" s="261">
        <v>6</v>
      </c>
      <c r="AA226" s="407" t="s">
        <v>877</v>
      </c>
      <c r="AB226" s="258" t="s">
        <v>1965</v>
      </c>
      <c r="AC226" s="258"/>
      <c r="AD226" s="258" t="s">
        <v>2132</v>
      </c>
      <c r="AE226" s="258" t="s">
        <v>2129</v>
      </c>
      <c r="AF226" s="259"/>
      <c r="AG226" s="260"/>
      <c r="AH226" s="259"/>
      <c r="AI226" s="259"/>
      <c r="AJ226" s="260"/>
      <c r="AK226" s="259">
        <v>26</v>
      </c>
      <c r="AL226" s="259"/>
      <c r="AM226" s="259" t="s">
        <v>93</v>
      </c>
      <c r="AN226" s="449"/>
      <c r="AO226" s="449"/>
      <c r="AP226" s="449"/>
      <c r="AQ226" s="392" t="str">
        <f>IFERROR(VLOOKUP(BG226,#REF!,1,0),"")</f>
        <v/>
      </c>
      <c r="AS226" s="259" t="s">
        <v>93</v>
      </c>
      <c r="BD226" s="202" t="str">
        <f t="shared" si="38"/>
        <v>팰리세이드2.2 디젤 익스클루시브 2WD</v>
      </c>
      <c r="BE226" s="261" t="str">
        <f t="shared" si="44"/>
        <v>0024</v>
      </c>
      <c r="BF226" s="407" t="s">
        <v>877</v>
      </c>
      <c r="BG226" s="202" t="str">
        <f t="shared" si="39"/>
        <v>0024-0225</v>
      </c>
    </row>
    <row r="227" spans="1:59">
      <c r="A227" s="405">
        <v>4001</v>
      </c>
      <c r="B227" s="406">
        <v>4001</v>
      </c>
      <c r="C227" s="261" t="str">
        <f t="shared" si="40"/>
        <v>0005-0024</v>
      </c>
      <c r="D227" s="261" t="str">
        <f t="shared" si="41"/>
        <v>0005-0024-0004</v>
      </c>
      <c r="E227" s="407" t="s">
        <v>876</v>
      </c>
      <c r="F227" s="261" t="str">
        <f>TEXT(VLOOKUP(J227,'[3]1'!$B$2:$D$37,2,0),"0000")</f>
        <v>0005</v>
      </c>
      <c r="G227" s="261" t="str">
        <f t="shared" si="42"/>
        <v>0024</v>
      </c>
      <c r="H227" s="408">
        <f t="shared" si="43"/>
        <v>4</v>
      </c>
      <c r="I227" s="407" t="s">
        <v>876</v>
      </c>
      <c r="J227" s="258" t="s">
        <v>294</v>
      </c>
      <c r="K227" s="258" t="s">
        <v>2769</v>
      </c>
      <c r="L227" s="258" t="s">
        <v>2599</v>
      </c>
      <c r="M227" s="409">
        <v>44920000</v>
      </c>
      <c r="N227" s="258">
        <v>2199</v>
      </c>
      <c r="O227" s="258" t="s">
        <v>78</v>
      </c>
      <c r="P227" s="258" t="s">
        <v>1965</v>
      </c>
      <c r="Q227" s="258" t="s">
        <v>72</v>
      </c>
      <c r="R227" s="258">
        <v>5</v>
      </c>
      <c r="S227" s="410">
        <v>5</v>
      </c>
      <c r="T227" s="261">
        <v>6</v>
      </c>
      <c r="U227" s="261">
        <v>6</v>
      </c>
      <c r="V227" s="258" t="s">
        <v>71</v>
      </c>
      <c r="W227" s="261" t="str">
        <f t="shared" si="45"/>
        <v>현대자동차팰리세이드2.2 디젤 프레스티지 4WD44920000</v>
      </c>
      <c r="X227" s="411">
        <f t="shared" si="46"/>
        <v>4001</v>
      </c>
      <c r="Y227" s="261">
        <v>6</v>
      </c>
      <c r="Z227" s="261">
        <v>6</v>
      </c>
      <c r="AA227" s="407" t="s">
        <v>876</v>
      </c>
      <c r="AB227" s="258" t="s">
        <v>1965</v>
      </c>
      <c r="AC227" s="258"/>
      <c r="AD227" s="258" t="s">
        <v>2132</v>
      </c>
      <c r="AE227" s="258" t="s">
        <v>2129</v>
      </c>
      <c r="AF227" s="259"/>
      <c r="AG227" s="260"/>
      <c r="AH227" s="259"/>
      <c r="AI227" s="259"/>
      <c r="AJ227" s="260"/>
      <c r="AK227" s="259">
        <v>26</v>
      </c>
      <c r="AL227" s="259"/>
      <c r="AM227" s="259" t="s">
        <v>93</v>
      </c>
      <c r="AN227" s="449"/>
      <c r="AO227" s="449"/>
      <c r="AP227" s="449"/>
      <c r="AQ227" s="392" t="str">
        <f>IFERROR(VLOOKUP(BG227,#REF!,1,0),"")</f>
        <v/>
      </c>
      <c r="AS227" s="259" t="s">
        <v>93</v>
      </c>
      <c r="BD227" s="202" t="str">
        <f t="shared" si="38"/>
        <v>팰리세이드2.2 디젤 프레스티지 4WD</v>
      </c>
      <c r="BE227" s="261" t="str">
        <f t="shared" si="44"/>
        <v>0024</v>
      </c>
      <c r="BF227" s="407" t="s">
        <v>876</v>
      </c>
      <c r="BG227" s="202" t="str">
        <f t="shared" si="39"/>
        <v>0024-0226</v>
      </c>
    </row>
    <row r="228" spans="1:59">
      <c r="A228" s="405">
        <v>4002</v>
      </c>
      <c r="B228" s="406">
        <v>4002</v>
      </c>
      <c r="C228" s="261" t="str">
        <f t="shared" si="40"/>
        <v>0005-0024</v>
      </c>
      <c r="D228" s="261" t="str">
        <f t="shared" si="41"/>
        <v>0005-0024-0005</v>
      </c>
      <c r="E228" s="407" t="s">
        <v>875</v>
      </c>
      <c r="F228" s="261" t="str">
        <f>TEXT(VLOOKUP(J228,'[3]1'!$B$2:$D$37,2,0),"0000")</f>
        <v>0005</v>
      </c>
      <c r="G228" s="261" t="str">
        <f t="shared" si="42"/>
        <v>0024</v>
      </c>
      <c r="H228" s="408">
        <f t="shared" si="43"/>
        <v>5</v>
      </c>
      <c r="I228" s="407" t="s">
        <v>875</v>
      </c>
      <c r="J228" s="258" t="s">
        <v>294</v>
      </c>
      <c r="K228" s="258" t="s">
        <v>2769</v>
      </c>
      <c r="L228" s="258" t="s">
        <v>2600</v>
      </c>
      <c r="M228" s="409">
        <v>42610000</v>
      </c>
      <c r="N228" s="258">
        <v>2199</v>
      </c>
      <c r="O228" s="258" t="s">
        <v>78</v>
      </c>
      <c r="P228" s="258" t="s">
        <v>1965</v>
      </c>
      <c r="Q228" s="258" t="s">
        <v>72</v>
      </c>
      <c r="R228" s="258">
        <v>8</v>
      </c>
      <c r="S228" s="410">
        <v>5</v>
      </c>
      <c r="T228" s="261">
        <v>6</v>
      </c>
      <c r="U228" s="261">
        <v>6</v>
      </c>
      <c r="V228" s="258" t="s">
        <v>3329</v>
      </c>
      <c r="W228" s="261" t="str">
        <f t="shared" si="45"/>
        <v>현대자동차팰리세이드2.2 디젤 프레스티지 2WD42610000</v>
      </c>
      <c r="X228" s="411">
        <f t="shared" si="46"/>
        <v>4002</v>
      </c>
      <c r="Y228" s="261">
        <v>6</v>
      </c>
      <c r="Z228" s="261">
        <v>6</v>
      </c>
      <c r="AA228" s="407" t="s">
        <v>875</v>
      </c>
      <c r="AB228" s="258" t="s">
        <v>1965</v>
      </c>
      <c r="AC228" s="258"/>
      <c r="AD228" s="258" t="s">
        <v>2132</v>
      </c>
      <c r="AE228" s="258" t="s">
        <v>2129</v>
      </c>
      <c r="AF228" s="259"/>
      <c r="AG228" s="260"/>
      <c r="AH228" s="259"/>
      <c r="AI228" s="259"/>
      <c r="AJ228" s="260"/>
      <c r="AK228" s="259">
        <v>26</v>
      </c>
      <c r="AL228" s="259"/>
      <c r="AM228" s="259" t="s">
        <v>93</v>
      </c>
      <c r="AN228" s="449"/>
      <c r="AO228" s="449"/>
      <c r="AP228" s="449"/>
      <c r="AQ228" s="392" t="str">
        <f>IFERROR(VLOOKUP(BG228,#REF!,1,0),"")</f>
        <v/>
      </c>
      <c r="AS228" s="259" t="s">
        <v>93</v>
      </c>
      <c r="BD228" s="202" t="str">
        <f t="shared" si="38"/>
        <v>팰리세이드2.2 디젤 프레스티지 2WD</v>
      </c>
      <c r="BE228" s="261" t="str">
        <f t="shared" si="44"/>
        <v>0024</v>
      </c>
      <c r="BF228" s="407" t="s">
        <v>875</v>
      </c>
      <c r="BG228" s="202" t="str">
        <f t="shared" si="39"/>
        <v>0024-0227</v>
      </c>
    </row>
    <row r="229" spans="1:59">
      <c r="A229" s="405">
        <v>4003</v>
      </c>
      <c r="B229" s="406">
        <v>4003</v>
      </c>
      <c r="C229" s="261" t="str">
        <f t="shared" si="40"/>
        <v>0005-0024</v>
      </c>
      <c r="D229" s="261" t="str">
        <f t="shared" si="41"/>
        <v>0005-0024-0006</v>
      </c>
      <c r="E229" s="407" t="s">
        <v>874</v>
      </c>
      <c r="F229" s="261" t="str">
        <f>TEXT(VLOOKUP(J229,'[3]1'!$B$2:$D$37,2,0),"0000")</f>
        <v>0005</v>
      </c>
      <c r="G229" s="261" t="str">
        <f t="shared" si="42"/>
        <v>0024</v>
      </c>
      <c r="H229" s="408">
        <f t="shared" si="43"/>
        <v>6</v>
      </c>
      <c r="I229" s="407" t="s">
        <v>874</v>
      </c>
      <c r="J229" s="258" t="s">
        <v>294</v>
      </c>
      <c r="K229" s="258" t="s">
        <v>2769</v>
      </c>
      <c r="L229" s="258" t="s">
        <v>2601</v>
      </c>
      <c r="M229" s="409">
        <v>39520000</v>
      </c>
      <c r="N229" s="258">
        <v>2199</v>
      </c>
      <c r="O229" s="258" t="s">
        <v>78</v>
      </c>
      <c r="P229" s="258" t="s">
        <v>1965</v>
      </c>
      <c r="Q229" s="258" t="s">
        <v>72</v>
      </c>
      <c r="R229" s="258">
        <v>5</v>
      </c>
      <c r="S229" s="410">
        <v>5</v>
      </c>
      <c r="T229" s="261">
        <v>6</v>
      </c>
      <c r="U229" s="261">
        <v>6</v>
      </c>
      <c r="V229" s="258" t="s">
        <v>71</v>
      </c>
      <c r="W229" s="261" t="str">
        <f t="shared" si="45"/>
        <v>현대자동차팰리세이드2.2 디젤 익스클루시브 4WD39520000</v>
      </c>
      <c r="X229" s="411">
        <f t="shared" si="46"/>
        <v>4003</v>
      </c>
      <c r="Y229" s="261">
        <v>6</v>
      </c>
      <c r="Z229" s="261">
        <v>6</v>
      </c>
      <c r="AA229" s="407" t="s">
        <v>874</v>
      </c>
      <c r="AB229" s="258" t="s">
        <v>1965</v>
      </c>
      <c r="AC229" s="258"/>
      <c r="AD229" s="258" t="s">
        <v>2132</v>
      </c>
      <c r="AE229" s="258" t="s">
        <v>2129</v>
      </c>
      <c r="AF229" s="259"/>
      <c r="AG229" s="260"/>
      <c r="AH229" s="259"/>
      <c r="AI229" s="259"/>
      <c r="AJ229" s="260"/>
      <c r="AK229" s="259">
        <v>26</v>
      </c>
      <c r="AL229" s="259"/>
      <c r="AM229" s="259" t="s">
        <v>93</v>
      </c>
      <c r="AN229" s="449"/>
      <c r="AO229" s="449"/>
      <c r="AP229" s="449"/>
      <c r="AQ229" s="392" t="str">
        <f>IFERROR(VLOOKUP(BG229,#REF!,1,0),"")</f>
        <v/>
      </c>
      <c r="AS229" s="259" t="s">
        <v>93</v>
      </c>
      <c r="BD229" s="202" t="str">
        <f t="shared" si="38"/>
        <v>팰리세이드2.2 디젤 익스클루시브 4WD</v>
      </c>
      <c r="BE229" s="261" t="str">
        <f t="shared" si="44"/>
        <v>0024</v>
      </c>
      <c r="BF229" s="407" t="s">
        <v>874</v>
      </c>
      <c r="BG229" s="202" t="str">
        <f t="shared" si="39"/>
        <v>0024-0228</v>
      </c>
    </row>
    <row r="230" spans="1:59">
      <c r="A230" s="405">
        <v>4004</v>
      </c>
      <c r="B230" s="406">
        <v>4004</v>
      </c>
      <c r="C230" s="261" t="str">
        <f t="shared" si="40"/>
        <v>0005-0024</v>
      </c>
      <c r="D230" s="261" t="str">
        <f t="shared" si="41"/>
        <v>0005-0024-0007</v>
      </c>
      <c r="E230" s="407" t="s">
        <v>873</v>
      </c>
      <c r="F230" s="261" t="str">
        <f>TEXT(VLOOKUP(J230,'[3]1'!$B$2:$D$37,2,0),"0000")</f>
        <v>0005</v>
      </c>
      <c r="G230" s="261" t="str">
        <f t="shared" si="42"/>
        <v>0024</v>
      </c>
      <c r="H230" s="408">
        <f t="shared" si="43"/>
        <v>7</v>
      </c>
      <c r="I230" s="407" t="s">
        <v>873</v>
      </c>
      <c r="J230" s="258" t="s">
        <v>294</v>
      </c>
      <c r="K230" s="258" t="s">
        <v>2769</v>
      </c>
      <c r="L230" s="258" t="s">
        <v>2602</v>
      </c>
      <c r="M230" s="409">
        <v>38040000</v>
      </c>
      <c r="N230" s="258">
        <v>3778</v>
      </c>
      <c r="O230" s="258" t="s">
        <v>77</v>
      </c>
      <c r="P230" s="258" t="s">
        <v>1965</v>
      </c>
      <c r="Q230" s="258" t="s">
        <v>72</v>
      </c>
      <c r="R230" s="258">
        <v>8</v>
      </c>
      <c r="S230" s="410">
        <v>17</v>
      </c>
      <c r="T230" s="261">
        <v>6</v>
      </c>
      <c r="U230" s="261">
        <v>6</v>
      </c>
      <c r="V230" s="258" t="s">
        <v>3329</v>
      </c>
      <c r="W230" s="261" t="str">
        <f t="shared" si="45"/>
        <v>현대자동차팰리세이드3.8 가솔린 익스클루시브 4WD38040000</v>
      </c>
      <c r="X230" s="411">
        <f t="shared" si="46"/>
        <v>4004</v>
      </c>
      <c r="Y230" s="261">
        <v>6</v>
      </c>
      <c r="Z230" s="261">
        <v>6</v>
      </c>
      <c r="AA230" s="407" t="s">
        <v>873</v>
      </c>
      <c r="AB230" s="258" t="s">
        <v>1965</v>
      </c>
      <c r="AC230" s="258"/>
      <c r="AD230" s="258" t="s">
        <v>2135</v>
      </c>
      <c r="AE230" s="258" t="s">
        <v>2129</v>
      </c>
      <c r="AF230" s="259"/>
      <c r="AG230" s="260"/>
      <c r="AH230" s="259"/>
      <c r="AI230" s="259"/>
      <c r="AJ230" s="260"/>
      <c r="AK230" s="259">
        <v>26</v>
      </c>
      <c r="AL230" s="259"/>
      <c r="AM230" s="259" t="s">
        <v>3236</v>
      </c>
      <c r="AN230" s="449"/>
      <c r="AO230" s="449"/>
      <c r="AP230" s="449"/>
      <c r="AQ230" s="392" t="str">
        <f>IFERROR(VLOOKUP(BG230,#REF!,1,0),"")</f>
        <v/>
      </c>
      <c r="AS230" s="259" t="s">
        <v>3236</v>
      </c>
      <c r="BD230" s="202" t="str">
        <f t="shared" si="38"/>
        <v>팰리세이드3.8 가솔린 익스클루시브 4WD</v>
      </c>
      <c r="BE230" s="261" t="str">
        <f t="shared" si="44"/>
        <v>0024</v>
      </c>
      <c r="BF230" s="407" t="s">
        <v>873</v>
      </c>
      <c r="BG230" s="202" t="str">
        <f t="shared" si="39"/>
        <v>0024-0229</v>
      </c>
    </row>
    <row r="231" spans="1:59">
      <c r="A231" s="405">
        <v>4005</v>
      </c>
      <c r="B231" s="406">
        <v>4005</v>
      </c>
      <c r="C231" s="261" t="str">
        <f t="shared" si="40"/>
        <v>0005-0024</v>
      </c>
      <c r="D231" s="261" t="str">
        <f t="shared" si="41"/>
        <v>0005-0024-0008</v>
      </c>
      <c r="E231" s="407" t="s">
        <v>872</v>
      </c>
      <c r="F231" s="261" t="str">
        <f>TEXT(VLOOKUP(J231,'[3]1'!$B$2:$D$37,2,0),"0000")</f>
        <v>0005</v>
      </c>
      <c r="G231" s="261" t="str">
        <f t="shared" si="42"/>
        <v>0024</v>
      </c>
      <c r="H231" s="408">
        <f t="shared" si="43"/>
        <v>8</v>
      </c>
      <c r="I231" s="407" t="s">
        <v>872</v>
      </c>
      <c r="J231" s="258" t="s">
        <v>294</v>
      </c>
      <c r="K231" s="258" t="s">
        <v>2769</v>
      </c>
      <c r="L231" s="258" t="s">
        <v>2603</v>
      </c>
      <c r="M231" s="409">
        <v>46240000</v>
      </c>
      <c r="N231" s="258">
        <v>3778</v>
      </c>
      <c r="O231" s="258" t="s">
        <v>77</v>
      </c>
      <c r="P231" s="258" t="s">
        <v>1965</v>
      </c>
      <c r="Q231" s="258" t="s">
        <v>72</v>
      </c>
      <c r="R231" s="258">
        <v>5</v>
      </c>
      <c r="S231" s="410">
        <v>17</v>
      </c>
      <c r="T231" s="261">
        <v>6</v>
      </c>
      <c r="U231" s="261">
        <v>6</v>
      </c>
      <c r="V231" s="258" t="s">
        <v>71</v>
      </c>
      <c r="W231" s="261" t="str">
        <f t="shared" si="45"/>
        <v>현대자동차팰리세이드3.8 가솔린 캘리그래피 2WD(7인승)46240000</v>
      </c>
      <c r="X231" s="411">
        <f t="shared" si="46"/>
        <v>4005</v>
      </c>
      <c r="Y231" s="261">
        <v>6</v>
      </c>
      <c r="Z231" s="261">
        <v>6</v>
      </c>
      <c r="AA231" s="407" t="s">
        <v>872</v>
      </c>
      <c r="AB231" s="258" t="s">
        <v>1965</v>
      </c>
      <c r="AC231" s="258"/>
      <c r="AD231" s="258" t="s">
        <v>2135</v>
      </c>
      <c r="AE231" s="258" t="s">
        <v>2129</v>
      </c>
      <c r="AF231" s="259"/>
      <c r="AG231" s="260"/>
      <c r="AH231" s="259"/>
      <c r="AI231" s="259"/>
      <c r="AJ231" s="260"/>
      <c r="AK231" s="259">
        <v>26</v>
      </c>
      <c r="AL231" s="259"/>
      <c r="AM231" s="259" t="s">
        <v>3236</v>
      </c>
      <c r="AN231" s="449"/>
      <c r="AO231" s="449"/>
      <c r="AP231" s="449"/>
      <c r="AQ231" s="392" t="str">
        <f>IFERROR(VLOOKUP(BG231,#REF!,1,0),"")</f>
        <v/>
      </c>
      <c r="AS231" s="259" t="s">
        <v>3236</v>
      </c>
      <c r="BD231" s="202" t="str">
        <f t="shared" si="38"/>
        <v>팰리세이드3.8 가솔린 캘리그래피 2WD(7인승)</v>
      </c>
      <c r="BE231" s="261" t="str">
        <f t="shared" si="44"/>
        <v>0024</v>
      </c>
      <c r="BF231" s="407" t="s">
        <v>872</v>
      </c>
      <c r="BG231" s="202" t="str">
        <f t="shared" si="39"/>
        <v>0024-0230</v>
      </c>
    </row>
    <row r="232" spans="1:59">
      <c r="A232" s="405">
        <v>4006</v>
      </c>
      <c r="B232" s="406">
        <v>4006</v>
      </c>
      <c r="C232" s="261" t="str">
        <f t="shared" si="40"/>
        <v>0005-0024</v>
      </c>
      <c r="D232" s="261" t="str">
        <f t="shared" si="41"/>
        <v>0005-0024-0009</v>
      </c>
      <c r="E232" s="407" t="s">
        <v>871</v>
      </c>
      <c r="F232" s="261" t="str">
        <f>TEXT(VLOOKUP(J232,'[3]1'!$B$2:$D$37,2,0),"0000")</f>
        <v>0005</v>
      </c>
      <c r="G232" s="261" t="str">
        <f t="shared" si="42"/>
        <v>0024</v>
      </c>
      <c r="H232" s="408">
        <f t="shared" si="43"/>
        <v>9</v>
      </c>
      <c r="I232" s="407" t="s">
        <v>871</v>
      </c>
      <c r="J232" s="258" t="s">
        <v>294</v>
      </c>
      <c r="K232" s="258" t="s">
        <v>2769</v>
      </c>
      <c r="L232" s="258" t="s">
        <v>2604</v>
      </c>
      <c r="M232" s="409">
        <v>48550000</v>
      </c>
      <c r="N232" s="258">
        <v>3778</v>
      </c>
      <c r="O232" s="258" t="s">
        <v>77</v>
      </c>
      <c r="P232" s="258" t="s">
        <v>1965</v>
      </c>
      <c r="Q232" s="258" t="s">
        <v>72</v>
      </c>
      <c r="R232" s="258">
        <v>7</v>
      </c>
      <c r="S232" s="410">
        <v>17</v>
      </c>
      <c r="T232" s="261">
        <v>6</v>
      </c>
      <c r="U232" s="261">
        <v>6</v>
      </c>
      <c r="V232" s="258" t="s">
        <v>3329</v>
      </c>
      <c r="W232" s="261" t="str">
        <f t="shared" si="45"/>
        <v>현대자동차팰리세이드3.8 가솔린 캘리그래피 4WD(7인승)48550000</v>
      </c>
      <c r="X232" s="411">
        <f t="shared" si="46"/>
        <v>4006</v>
      </c>
      <c r="Y232" s="261">
        <v>6</v>
      </c>
      <c r="Z232" s="261">
        <v>6</v>
      </c>
      <c r="AA232" s="407" t="s">
        <v>871</v>
      </c>
      <c r="AB232" s="258" t="s">
        <v>1965</v>
      </c>
      <c r="AC232" s="258"/>
      <c r="AD232" s="258" t="s">
        <v>2135</v>
      </c>
      <c r="AE232" s="258" t="s">
        <v>2129</v>
      </c>
      <c r="AF232" s="259"/>
      <c r="AG232" s="260"/>
      <c r="AH232" s="259"/>
      <c r="AI232" s="259"/>
      <c r="AJ232" s="260"/>
      <c r="AK232" s="259">
        <v>26</v>
      </c>
      <c r="AL232" s="259"/>
      <c r="AM232" s="259" t="s">
        <v>3236</v>
      </c>
      <c r="AN232" s="449"/>
      <c r="AO232" s="449"/>
      <c r="AP232" s="449"/>
      <c r="AQ232" s="392" t="str">
        <f>IFERROR(VLOOKUP(BG232,#REF!,1,0),"")</f>
        <v/>
      </c>
      <c r="AS232" s="259" t="s">
        <v>3236</v>
      </c>
      <c r="BD232" s="202" t="str">
        <f t="shared" si="38"/>
        <v>팰리세이드3.8 가솔린 캘리그래피 4WD(7인승)</v>
      </c>
      <c r="BE232" s="261" t="str">
        <f t="shared" si="44"/>
        <v>0024</v>
      </c>
      <c r="BF232" s="407" t="s">
        <v>871</v>
      </c>
      <c r="BG232" s="202" t="str">
        <f t="shared" si="39"/>
        <v>0024-0231</v>
      </c>
    </row>
    <row r="233" spans="1:59">
      <c r="A233" s="405">
        <v>4007</v>
      </c>
      <c r="B233" s="406">
        <v>4007</v>
      </c>
      <c r="C233" s="261" t="str">
        <f t="shared" si="40"/>
        <v>0005-0024</v>
      </c>
      <c r="D233" s="261" t="str">
        <f t="shared" si="41"/>
        <v>0005-0024-0010</v>
      </c>
      <c r="E233" s="407" t="s">
        <v>870</v>
      </c>
      <c r="F233" s="261" t="str">
        <f>TEXT(VLOOKUP(J233,'[3]1'!$B$2:$D$37,2,0),"0000")</f>
        <v>0005</v>
      </c>
      <c r="G233" s="261" t="str">
        <f t="shared" si="42"/>
        <v>0024</v>
      </c>
      <c r="H233" s="408">
        <f t="shared" si="43"/>
        <v>10</v>
      </c>
      <c r="I233" s="407" t="s">
        <v>870</v>
      </c>
      <c r="J233" s="258" t="s">
        <v>294</v>
      </c>
      <c r="K233" s="258" t="s">
        <v>2769</v>
      </c>
      <c r="L233" s="258" t="s">
        <v>2605</v>
      </c>
      <c r="M233" s="409">
        <v>41130000</v>
      </c>
      <c r="N233" s="258">
        <v>3778</v>
      </c>
      <c r="O233" s="258" t="s">
        <v>77</v>
      </c>
      <c r="P233" s="258" t="s">
        <v>1965</v>
      </c>
      <c r="Q233" s="258" t="s">
        <v>72</v>
      </c>
      <c r="R233" s="258">
        <v>8</v>
      </c>
      <c r="S233" s="410">
        <v>17</v>
      </c>
      <c r="T233" s="261">
        <v>6</v>
      </c>
      <c r="U233" s="261">
        <v>6</v>
      </c>
      <c r="V233" s="258" t="s">
        <v>3329</v>
      </c>
      <c r="W233" s="261" t="str">
        <f t="shared" si="45"/>
        <v>현대자동차팰리세이드3.8 가솔린 프레스티지 2WD41130000</v>
      </c>
      <c r="X233" s="411">
        <f t="shared" si="46"/>
        <v>4007</v>
      </c>
      <c r="Y233" s="261">
        <v>6</v>
      </c>
      <c r="Z233" s="261">
        <v>6</v>
      </c>
      <c r="AA233" s="407" t="s">
        <v>870</v>
      </c>
      <c r="AB233" s="258" t="s">
        <v>1965</v>
      </c>
      <c r="AC233" s="258"/>
      <c r="AD233" s="258" t="s">
        <v>2135</v>
      </c>
      <c r="AE233" s="258" t="s">
        <v>2129</v>
      </c>
      <c r="AF233" s="259"/>
      <c r="AG233" s="260"/>
      <c r="AH233" s="259"/>
      <c r="AI233" s="259"/>
      <c r="AJ233" s="260"/>
      <c r="AK233" s="259">
        <v>26</v>
      </c>
      <c r="AL233" s="259"/>
      <c r="AM233" s="259" t="s">
        <v>3236</v>
      </c>
      <c r="AN233" s="449"/>
      <c r="AO233" s="449"/>
      <c r="AP233" s="449"/>
      <c r="AQ233" s="392" t="str">
        <f>IFERROR(VLOOKUP(BG233,#REF!,1,0),"")</f>
        <v/>
      </c>
      <c r="AS233" s="259" t="s">
        <v>3236</v>
      </c>
      <c r="BD233" s="202" t="str">
        <f t="shared" si="38"/>
        <v>팰리세이드3.8 가솔린 프레스티지 2WD</v>
      </c>
      <c r="BE233" s="261" t="str">
        <f t="shared" si="44"/>
        <v>0024</v>
      </c>
      <c r="BF233" s="407" t="s">
        <v>870</v>
      </c>
      <c r="BG233" s="202" t="str">
        <f t="shared" si="39"/>
        <v>0024-0232</v>
      </c>
    </row>
    <row r="234" spans="1:59">
      <c r="A234" s="405">
        <v>4008</v>
      </c>
      <c r="B234" s="406">
        <v>4008</v>
      </c>
      <c r="C234" s="261" t="str">
        <f t="shared" si="40"/>
        <v>0005-0024</v>
      </c>
      <c r="D234" s="261" t="str">
        <f t="shared" si="41"/>
        <v>0005-0024-0011</v>
      </c>
      <c r="E234" s="407" t="s">
        <v>869</v>
      </c>
      <c r="F234" s="261" t="str">
        <f>TEXT(VLOOKUP(J234,'[3]1'!$B$2:$D$37,2,0),"0000")</f>
        <v>0005</v>
      </c>
      <c r="G234" s="261" t="str">
        <f t="shared" si="42"/>
        <v>0024</v>
      </c>
      <c r="H234" s="408">
        <f t="shared" si="43"/>
        <v>11</v>
      </c>
      <c r="I234" s="407" t="s">
        <v>869</v>
      </c>
      <c r="J234" s="258" t="s">
        <v>294</v>
      </c>
      <c r="K234" s="258" t="s">
        <v>2769</v>
      </c>
      <c r="L234" s="258" t="s">
        <v>2606</v>
      </c>
      <c r="M234" s="409">
        <v>35730000</v>
      </c>
      <c r="N234" s="258">
        <v>3778</v>
      </c>
      <c r="O234" s="258" t="s">
        <v>77</v>
      </c>
      <c r="P234" s="258" t="s">
        <v>1965</v>
      </c>
      <c r="Q234" s="258" t="s">
        <v>72</v>
      </c>
      <c r="R234" s="258">
        <v>8</v>
      </c>
      <c r="S234" s="410">
        <v>17</v>
      </c>
      <c r="T234" s="261">
        <v>6</v>
      </c>
      <c r="U234" s="261">
        <v>6</v>
      </c>
      <c r="V234" s="258" t="s">
        <v>3329</v>
      </c>
      <c r="W234" s="261" t="str">
        <f t="shared" si="45"/>
        <v>현대자동차팰리세이드3.8 가솔린 익스클루시브 2WD35730000</v>
      </c>
      <c r="X234" s="411">
        <f t="shared" si="46"/>
        <v>4008</v>
      </c>
      <c r="Y234" s="261">
        <v>6</v>
      </c>
      <c r="Z234" s="261">
        <v>6</v>
      </c>
      <c r="AA234" s="407" t="s">
        <v>869</v>
      </c>
      <c r="AB234" s="258" t="s">
        <v>1965</v>
      </c>
      <c r="AC234" s="258"/>
      <c r="AD234" s="258" t="s">
        <v>2135</v>
      </c>
      <c r="AE234" s="258" t="s">
        <v>2129</v>
      </c>
      <c r="AF234" s="259"/>
      <c r="AG234" s="260"/>
      <c r="AH234" s="259"/>
      <c r="AI234" s="259"/>
      <c r="AJ234" s="260"/>
      <c r="AK234" s="259">
        <v>26</v>
      </c>
      <c r="AL234" s="259"/>
      <c r="AM234" s="259" t="s">
        <v>3236</v>
      </c>
      <c r="AN234" s="449"/>
      <c r="AO234" s="449"/>
      <c r="AP234" s="449"/>
      <c r="AQ234" s="392" t="str">
        <f>IFERROR(VLOOKUP(BG234,#REF!,1,0),"")</f>
        <v/>
      </c>
      <c r="AS234" s="259" t="s">
        <v>3236</v>
      </c>
      <c r="BD234" s="202" t="str">
        <f t="shared" si="38"/>
        <v>팰리세이드3.8 가솔린 익스클루시브 2WD</v>
      </c>
      <c r="BE234" s="261" t="str">
        <f t="shared" si="44"/>
        <v>0024</v>
      </c>
      <c r="BF234" s="407" t="s">
        <v>869</v>
      </c>
      <c r="BG234" s="202" t="str">
        <f t="shared" si="39"/>
        <v>0024-0233</v>
      </c>
    </row>
    <row r="235" spans="1:59">
      <c r="A235" s="405">
        <v>4009</v>
      </c>
      <c r="B235" s="406">
        <v>4009</v>
      </c>
      <c r="C235" s="261" t="str">
        <f t="shared" si="40"/>
        <v>0005-0024</v>
      </c>
      <c r="D235" s="261" t="str">
        <f t="shared" si="41"/>
        <v>0005-0024-0012</v>
      </c>
      <c r="E235" s="407" t="s">
        <v>868</v>
      </c>
      <c r="F235" s="261" t="str">
        <f>TEXT(VLOOKUP(J235,'[3]1'!$B$2:$D$37,2,0),"0000")</f>
        <v>0005</v>
      </c>
      <c r="G235" s="261" t="str">
        <f t="shared" si="42"/>
        <v>0024</v>
      </c>
      <c r="H235" s="408">
        <f t="shared" si="43"/>
        <v>12</v>
      </c>
      <c r="I235" s="407" t="s">
        <v>868</v>
      </c>
      <c r="J235" s="258" t="s">
        <v>294</v>
      </c>
      <c r="K235" s="258" t="s">
        <v>2769</v>
      </c>
      <c r="L235" s="258" t="s">
        <v>2607</v>
      </c>
      <c r="M235" s="409">
        <v>43440000</v>
      </c>
      <c r="N235" s="258">
        <v>3778</v>
      </c>
      <c r="O235" s="258" t="s">
        <v>77</v>
      </c>
      <c r="P235" s="258" t="s">
        <v>1965</v>
      </c>
      <c r="Q235" s="258" t="s">
        <v>72</v>
      </c>
      <c r="R235" s="258">
        <v>8</v>
      </c>
      <c r="S235" s="410">
        <v>17</v>
      </c>
      <c r="T235" s="261">
        <v>6</v>
      </c>
      <c r="U235" s="261">
        <v>6</v>
      </c>
      <c r="V235" s="258" t="s">
        <v>3329</v>
      </c>
      <c r="W235" s="261" t="str">
        <f t="shared" si="45"/>
        <v>현대자동차팰리세이드3.8 가솔린 프레스티지 4WD43440000</v>
      </c>
      <c r="X235" s="411">
        <f t="shared" si="46"/>
        <v>4009</v>
      </c>
      <c r="Y235" s="261">
        <v>6</v>
      </c>
      <c r="Z235" s="261">
        <v>6</v>
      </c>
      <c r="AA235" s="407" t="s">
        <v>868</v>
      </c>
      <c r="AB235" s="258" t="s">
        <v>1965</v>
      </c>
      <c r="AC235" s="258"/>
      <c r="AD235" s="258" t="s">
        <v>2135</v>
      </c>
      <c r="AE235" s="258" t="s">
        <v>2129</v>
      </c>
      <c r="AF235" s="259"/>
      <c r="AG235" s="260"/>
      <c r="AH235" s="259"/>
      <c r="AI235" s="259"/>
      <c r="AJ235" s="260"/>
      <c r="AK235" s="259">
        <v>26</v>
      </c>
      <c r="AL235" s="259"/>
      <c r="AM235" s="259" t="s">
        <v>3236</v>
      </c>
      <c r="AN235" s="449"/>
      <c r="AO235" s="449"/>
      <c r="AP235" s="449"/>
      <c r="AQ235" s="392" t="str">
        <f>IFERROR(VLOOKUP(BG235,#REF!,1,0),"")</f>
        <v/>
      </c>
      <c r="AS235" s="259" t="s">
        <v>3236</v>
      </c>
      <c r="BD235" s="202" t="str">
        <f t="shared" si="38"/>
        <v>팰리세이드3.8 가솔린 프레스티지 4WD</v>
      </c>
      <c r="BE235" s="261" t="str">
        <f t="shared" si="44"/>
        <v>0024</v>
      </c>
      <c r="BF235" s="407" t="s">
        <v>868</v>
      </c>
      <c r="BG235" s="202" t="str">
        <f t="shared" si="39"/>
        <v>0024-0234</v>
      </c>
    </row>
    <row r="236" spans="1:59">
      <c r="A236" s="405">
        <v>4010</v>
      </c>
      <c r="B236" s="406">
        <v>4010</v>
      </c>
      <c r="C236" s="261" t="str">
        <f t="shared" si="40"/>
        <v>0005-0024</v>
      </c>
      <c r="D236" s="261" t="str">
        <f t="shared" si="41"/>
        <v>0005-0024-0013</v>
      </c>
      <c r="E236" s="407" t="s">
        <v>867</v>
      </c>
      <c r="F236" s="261" t="str">
        <f>TEXT(VLOOKUP(J236,'[3]1'!$B$2:$D$37,2,0),"0000")</f>
        <v>0005</v>
      </c>
      <c r="G236" s="261" t="str">
        <f t="shared" si="42"/>
        <v>0024</v>
      </c>
      <c r="H236" s="408">
        <f t="shared" si="43"/>
        <v>13</v>
      </c>
      <c r="I236" s="407" t="s">
        <v>867</v>
      </c>
      <c r="J236" s="258" t="s">
        <v>294</v>
      </c>
      <c r="K236" s="258" t="s">
        <v>2769</v>
      </c>
      <c r="L236" s="413" t="s">
        <v>2793</v>
      </c>
      <c r="M236" s="415">
        <v>51840000</v>
      </c>
      <c r="N236" s="416">
        <v>3778</v>
      </c>
      <c r="O236" s="258" t="s">
        <v>77</v>
      </c>
      <c r="P236" s="258" t="s">
        <v>1965</v>
      </c>
      <c r="Q236" s="413" t="s">
        <v>72</v>
      </c>
      <c r="R236" s="416">
        <v>7</v>
      </c>
      <c r="S236" s="410">
        <v>17</v>
      </c>
      <c r="T236" s="261">
        <v>6</v>
      </c>
      <c r="U236" s="261">
        <v>6</v>
      </c>
      <c r="V236" s="258" t="s">
        <v>1969</v>
      </c>
      <c r="W236" s="261" t="str">
        <f t="shared" si="45"/>
        <v>현대자동차팰리세이드3.8 가솔린 VIP 2WD (7인승)51840000</v>
      </c>
      <c r="X236" s="411">
        <f t="shared" si="46"/>
        <v>4010</v>
      </c>
      <c r="Y236" s="261">
        <v>6</v>
      </c>
      <c r="Z236" s="261">
        <v>6</v>
      </c>
      <c r="AA236" s="407" t="s">
        <v>867</v>
      </c>
      <c r="AB236" s="258" t="s">
        <v>1965</v>
      </c>
      <c r="AC236" s="258"/>
      <c r="AD236" s="258" t="s">
        <v>2135</v>
      </c>
      <c r="AE236" s="258" t="s">
        <v>2129</v>
      </c>
      <c r="AF236" s="259"/>
      <c r="AG236" s="260"/>
      <c r="AH236" s="259"/>
      <c r="AI236" s="259"/>
      <c r="AJ236" s="260"/>
      <c r="AK236" s="259">
        <v>26</v>
      </c>
      <c r="AL236" s="259"/>
      <c r="AM236" s="259" t="s">
        <v>3236</v>
      </c>
      <c r="AN236" s="449"/>
      <c r="AO236" s="449"/>
      <c r="AP236" s="449"/>
      <c r="AQ236" s="392" t="str">
        <f>IFERROR(VLOOKUP(BG236,#REF!,1,0),"")</f>
        <v/>
      </c>
      <c r="AS236" s="259" t="s">
        <v>3236</v>
      </c>
      <c r="BD236" s="202" t="str">
        <f t="shared" si="38"/>
        <v>팰리세이드3.8 가솔린 VIP 2WD (7인승)</v>
      </c>
      <c r="BE236" s="261" t="str">
        <f t="shared" si="44"/>
        <v>0024</v>
      </c>
      <c r="BF236" s="407" t="s">
        <v>867</v>
      </c>
      <c r="BG236" s="202" t="str">
        <f t="shared" si="39"/>
        <v>0024-0235</v>
      </c>
    </row>
    <row r="237" spans="1:59">
      <c r="A237" s="405">
        <v>4011</v>
      </c>
      <c r="B237" s="406">
        <v>4011</v>
      </c>
      <c r="C237" s="261" t="str">
        <f t="shared" si="40"/>
        <v>0005-0025</v>
      </c>
      <c r="D237" s="261" t="str">
        <f t="shared" si="41"/>
        <v>0005-0025-0001</v>
      </c>
      <c r="E237" s="407" t="s">
        <v>866</v>
      </c>
      <c r="F237" s="261" t="str">
        <f>TEXT(VLOOKUP(J237,'[3]1'!$B$2:$D$37,2,0),"0000")</f>
        <v>0005</v>
      </c>
      <c r="G237" s="261" t="str">
        <f t="shared" si="42"/>
        <v>0025</v>
      </c>
      <c r="H237" s="408">
        <f t="shared" si="43"/>
        <v>1</v>
      </c>
      <c r="I237" s="407" t="s">
        <v>866</v>
      </c>
      <c r="J237" s="258" t="s">
        <v>294</v>
      </c>
      <c r="K237" s="258" t="s">
        <v>2770</v>
      </c>
      <c r="L237" s="258" t="s">
        <v>2608</v>
      </c>
      <c r="M237" s="409">
        <v>20550000</v>
      </c>
      <c r="N237" s="258">
        <v>2497</v>
      </c>
      <c r="O237" s="258" t="s">
        <v>78</v>
      </c>
      <c r="P237" s="258" t="s">
        <v>86</v>
      </c>
      <c r="Q237" s="258" t="s">
        <v>72</v>
      </c>
      <c r="R237" s="258" t="e">
        <v>#N/A</v>
      </c>
      <c r="S237" s="410">
        <v>9</v>
      </c>
      <c r="T237" s="261">
        <v>6</v>
      </c>
      <c r="U237" s="261">
        <v>6</v>
      </c>
      <c r="V237" s="258" t="s">
        <v>3993</v>
      </c>
      <c r="W237" s="261" t="str">
        <f t="shared" si="45"/>
        <v>현대자동차포터ⅡCRDi 133마력 2WD 더블캡 초장축 Premium A/T20550000</v>
      </c>
      <c r="X237" s="411">
        <f t="shared" si="46"/>
        <v>4011</v>
      </c>
      <c r="Y237" s="261">
        <v>6</v>
      </c>
      <c r="Z237" s="261">
        <v>6</v>
      </c>
      <c r="AA237" s="407" t="s">
        <v>866</v>
      </c>
      <c r="AB237" s="258" t="e">
        <v>#N/A</v>
      </c>
      <c r="AC237" s="258"/>
      <c r="AD237" s="258" t="s">
        <v>2131</v>
      </c>
      <c r="AE237" s="258" t="s">
        <v>2129</v>
      </c>
      <c r="AF237" s="259"/>
      <c r="AG237" s="260"/>
      <c r="AH237" s="259"/>
      <c r="AI237" s="259"/>
      <c r="AJ237" s="260"/>
      <c r="AK237" s="259">
        <v>26</v>
      </c>
      <c r="AL237" s="259"/>
      <c r="AM237" s="259" t="s">
        <v>3222</v>
      </c>
      <c r="AN237" s="449"/>
      <c r="AO237" s="449"/>
      <c r="AP237" s="449"/>
      <c r="AQ237" s="392" t="str">
        <f>IFERROR(VLOOKUP(BG237,#REF!,1,0),"")</f>
        <v/>
      </c>
      <c r="AS237" s="259" t="s">
        <v>3222</v>
      </c>
      <c r="BD237" s="202" t="str">
        <f t="shared" si="38"/>
        <v>포터ⅡCRDi 133마력 2WD 더블캡 초장축 Premium A/T</v>
      </c>
      <c r="BE237" s="261" t="str">
        <f t="shared" si="44"/>
        <v>0025</v>
      </c>
      <c r="BF237" s="407" t="s">
        <v>866</v>
      </c>
      <c r="BG237" s="202" t="str">
        <f t="shared" si="39"/>
        <v>0025-0236</v>
      </c>
    </row>
    <row r="238" spans="1:59">
      <c r="A238" s="405">
        <v>4012</v>
      </c>
      <c r="B238" s="406">
        <v>4012</v>
      </c>
      <c r="C238" s="261" t="str">
        <f t="shared" si="40"/>
        <v>0005-0025</v>
      </c>
      <c r="D238" s="261" t="str">
        <f t="shared" si="41"/>
        <v>0005-0025-0002</v>
      </c>
      <c r="E238" s="407" t="s">
        <v>865</v>
      </c>
      <c r="F238" s="261" t="str">
        <f>TEXT(VLOOKUP(J238,'[3]1'!$B$2:$D$37,2,0),"0000")</f>
        <v>0005</v>
      </c>
      <c r="G238" s="261" t="str">
        <f t="shared" si="42"/>
        <v>0025</v>
      </c>
      <c r="H238" s="408">
        <f t="shared" si="43"/>
        <v>2</v>
      </c>
      <c r="I238" s="407" t="s">
        <v>865</v>
      </c>
      <c r="J238" s="258" t="s">
        <v>294</v>
      </c>
      <c r="K238" s="258" t="s">
        <v>2770</v>
      </c>
      <c r="L238" s="258" t="s">
        <v>2609</v>
      </c>
      <c r="M238" s="409">
        <v>16800000</v>
      </c>
      <c r="N238" s="258">
        <v>2497</v>
      </c>
      <c r="O238" s="258" t="s">
        <v>78</v>
      </c>
      <c r="P238" s="258" t="s">
        <v>86</v>
      </c>
      <c r="Q238" s="258" t="s">
        <v>88</v>
      </c>
      <c r="R238" s="258" t="e">
        <v>#N/A</v>
      </c>
      <c r="S238" s="410">
        <v>9</v>
      </c>
      <c r="T238" s="261">
        <v>6</v>
      </c>
      <c r="U238" s="261">
        <v>6</v>
      </c>
      <c r="V238" s="258" t="s">
        <v>3993</v>
      </c>
      <c r="W238" s="261" t="str">
        <f t="shared" si="45"/>
        <v>현대자동차포터ⅡCRDi 133마력 2WD 일반캡 초장축 Modern M/T16800000</v>
      </c>
      <c r="X238" s="411">
        <f t="shared" si="46"/>
        <v>4012</v>
      </c>
      <c r="Y238" s="261">
        <v>6</v>
      </c>
      <c r="Z238" s="261">
        <v>6</v>
      </c>
      <c r="AA238" s="407" t="s">
        <v>865</v>
      </c>
      <c r="AB238" s="258" t="e">
        <v>#N/A</v>
      </c>
      <c r="AC238" s="258"/>
      <c r="AD238" s="258" t="s">
        <v>2131</v>
      </c>
      <c r="AE238" s="258" t="s">
        <v>2129</v>
      </c>
      <c r="AF238" s="259"/>
      <c r="AG238" s="260"/>
      <c r="AH238" s="259"/>
      <c r="AI238" s="259"/>
      <c r="AJ238" s="260"/>
      <c r="AK238" s="259">
        <v>26</v>
      </c>
      <c r="AL238" s="259"/>
      <c r="AM238" s="259" t="s">
        <v>3222</v>
      </c>
      <c r="AN238" s="449"/>
      <c r="AO238" s="449"/>
      <c r="AP238" s="449"/>
      <c r="AQ238" s="392" t="str">
        <f>IFERROR(VLOOKUP(BG238,#REF!,1,0),"")</f>
        <v/>
      </c>
      <c r="AS238" s="259" t="s">
        <v>3222</v>
      </c>
      <c r="BD238" s="202" t="str">
        <f t="shared" si="38"/>
        <v>포터ⅡCRDi 133마력 2WD 일반캡 초장축 Modern M/T</v>
      </c>
      <c r="BE238" s="261" t="str">
        <f t="shared" si="44"/>
        <v>0025</v>
      </c>
      <c r="BF238" s="407" t="s">
        <v>865</v>
      </c>
      <c r="BG238" s="202" t="str">
        <f t="shared" si="39"/>
        <v>0025-0237</v>
      </c>
    </row>
    <row r="239" spans="1:59">
      <c r="A239" s="405">
        <v>4013</v>
      </c>
      <c r="B239" s="406">
        <v>4013</v>
      </c>
      <c r="C239" s="261" t="str">
        <f t="shared" si="40"/>
        <v>0005-0025</v>
      </c>
      <c r="D239" s="261" t="str">
        <f t="shared" si="41"/>
        <v>0005-0025-0003</v>
      </c>
      <c r="E239" s="407" t="s">
        <v>864</v>
      </c>
      <c r="F239" s="261" t="str">
        <f>TEXT(VLOOKUP(J239,'[3]1'!$B$2:$D$37,2,0),"0000")</f>
        <v>0005</v>
      </c>
      <c r="G239" s="261" t="str">
        <f t="shared" si="42"/>
        <v>0025</v>
      </c>
      <c r="H239" s="408">
        <f t="shared" si="43"/>
        <v>3</v>
      </c>
      <c r="I239" s="407" t="s">
        <v>864</v>
      </c>
      <c r="J239" s="258" t="s">
        <v>294</v>
      </c>
      <c r="K239" s="258" t="s">
        <v>2770</v>
      </c>
      <c r="L239" s="258" t="s">
        <v>2610</v>
      </c>
      <c r="M239" s="409">
        <v>18420000</v>
      </c>
      <c r="N239" s="258">
        <v>2497</v>
      </c>
      <c r="O239" s="258" t="s">
        <v>78</v>
      </c>
      <c r="P239" s="258" t="s">
        <v>86</v>
      </c>
      <c r="Q239" s="258" t="s">
        <v>88</v>
      </c>
      <c r="R239" s="258" t="e">
        <v>#N/A</v>
      </c>
      <c r="S239" s="410">
        <v>9</v>
      </c>
      <c r="T239" s="261">
        <v>6</v>
      </c>
      <c r="U239" s="261">
        <v>6</v>
      </c>
      <c r="V239" s="258" t="s">
        <v>3993</v>
      </c>
      <c r="W239" s="261" t="str">
        <f t="shared" si="45"/>
        <v>현대자동차포터ⅡCRDi 133마력 4WD 더블캡 장축 Style M/T18420000</v>
      </c>
      <c r="X239" s="411">
        <f t="shared" si="46"/>
        <v>4013</v>
      </c>
      <c r="Y239" s="261">
        <v>6</v>
      </c>
      <c r="Z239" s="261">
        <v>6</v>
      </c>
      <c r="AA239" s="407" t="s">
        <v>864</v>
      </c>
      <c r="AB239" s="258" t="e">
        <v>#N/A</v>
      </c>
      <c r="AC239" s="258"/>
      <c r="AD239" s="258" t="s">
        <v>2131</v>
      </c>
      <c r="AE239" s="258" t="s">
        <v>2129</v>
      </c>
      <c r="AF239" s="259"/>
      <c r="AG239" s="260"/>
      <c r="AH239" s="259"/>
      <c r="AI239" s="259"/>
      <c r="AJ239" s="260"/>
      <c r="AK239" s="259">
        <v>26</v>
      </c>
      <c r="AL239" s="259"/>
      <c r="AM239" s="259" t="s">
        <v>3222</v>
      </c>
      <c r="AN239" s="449"/>
      <c r="AO239" s="449"/>
      <c r="AP239" s="449"/>
      <c r="AQ239" s="392" t="str">
        <f>IFERROR(VLOOKUP(BG239,#REF!,1,0),"")</f>
        <v/>
      </c>
      <c r="AS239" s="259" t="s">
        <v>3222</v>
      </c>
      <c r="BD239" s="202" t="str">
        <f t="shared" si="38"/>
        <v>포터ⅡCRDi 133마력 4WD 더블캡 장축 Style M/T</v>
      </c>
      <c r="BE239" s="261" t="str">
        <f t="shared" si="44"/>
        <v>0025</v>
      </c>
      <c r="BF239" s="407" t="s">
        <v>864</v>
      </c>
      <c r="BG239" s="202" t="str">
        <f t="shared" si="39"/>
        <v>0025-0238</v>
      </c>
    </row>
    <row r="240" spans="1:59">
      <c r="A240" s="405">
        <v>4014</v>
      </c>
      <c r="B240" s="406">
        <v>4014</v>
      </c>
      <c r="C240" s="261" t="str">
        <f t="shared" si="40"/>
        <v>0005-0025</v>
      </c>
      <c r="D240" s="261" t="str">
        <f t="shared" si="41"/>
        <v>0005-0025-0004</v>
      </c>
      <c r="E240" s="407" t="s">
        <v>863</v>
      </c>
      <c r="F240" s="261" t="str">
        <f>TEXT(VLOOKUP(J240,'[3]1'!$B$2:$D$37,2,0),"0000")</f>
        <v>0005</v>
      </c>
      <c r="G240" s="261" t="str">
        <f t="shared" si="42"/>
        <v>0025</v>
      </c>
      <c r="H240" s="408">
        <f t="shared" si="43"/>
        <v>4</v>
      </c>
      <c r="I240" s="407" t="s">
        <v>863</v>
      </c>
      <c r="J240" s="258" t="s">
        <v>294</v>
      </c>
      <c r="K240" s="258" t="s">
        <v>2770</v>
      </c>
      <c r="L240" s="258" t="s">
        <v>2611</v>
      </c>
      <c r="M240" s="409">
        <v>17500000</v>
      </c>
      <c r="N240" s="258">
        <v>2497</v>
      </c>
      <c r="O240" s="258" t="s">
        <v>78</v>
      </c>
      <c r="P240" s="258" t="s">
        <v>86</v>
      </c>
      <c r="Q240" s="258" t="s">
        <v>72</v>
      </c>
      <c r="R240" s="258" t="e">
        <v>#N/A</v>
      </c>
      <c r="S240" s="410">
        <v>9</v>
      </c>
      <c r="T240" s="261">
        <v>6</v>
      </c>
      <c r="U240" s="261">
        <v>6</v>
      </c>
      <c r="V240" s="258" t="s">
        <v>3993</v>
      </c>
      <c r="W240" s="261" t="str">
        <f t="shared" si="45"/>
        <v>현대자동차포터ⅡCRDi 133마력 4WD 일반캡 장축 Smart A/T17500000</v>
      </c>
      <c r="X240" s="411">
        <f t="shared" si="46"/>
        <v>4014</v>
      </c>
      <c r="Y240" s="261">
        <v>6</v>
      </c>
      <c r="Z240" s="261">
        <v>6</v>
      </c>
      <c r="AA240" s="407" t="s">
        <v>863</v>
      </c>
      <c r="AB240" s="258" t="e">
        <v>#N/A</v>
      </c>
      <c r="AC240" s="258"/>
      <c r="AD240" s="258" t="s">
        <v>2131</v>
      </c>
      <c r="AE240" s="258" t="s">
        <v>2129</v>
      </c>
      <c r="AF240" s="259"/>
      <c r="AG240" s="260"/>
      <c r="AH240" s="259"/>
      <c r="AI240" s="259"/>
      <c r="AJ240" s="260"/>
      <c r="AK240" s="259">
        <v>26</v>
      </c>
      <c r="AL240" s="259"/>
      <c r="AM240" s="259" t="s">
        <v>3222</v>
      </c>
      <c r="AN240" s="449"/>
      <c r="AO240" s="449"/>
      <c r="AP240" s="449"/>
      <c r="AQ240" s="392" t="str">
        <f>IFERROR(VLOOKUP(BG240,#REF!,1,0),"")</f>
        <v/>
      </c>
      <c r="AS240" s="259" t="s">
        <v>3222</v>
      </c>
      <c r="BD240" s="202" t="str">
        <f t="shared" si="38"/>
        <v>포터ⅡCRDi 133마력 4WD 일반캡 장축 Smart A/T</v>
      </c>
      <c r="BE240" s="261" t="str">
        <f t="shared" si="44"/>
        <v>0025</v>
      </c>
      <c r="BF240" s="407" t="s">
        <v>863</v>
      </c>
      <c r="BG240" s="202" t="str">
        <f t="shared" si="39"/>
        <v>0025-0239</v>
      </c>
    </row>
    <row r="241" spans="1:59">
      <c r="A241" s="405">
        <v>4015</v>
      </c>
      <c r="B241" s="406">
        <v>4015</v>
      </c>
      <c r="C241" s="261" t="str">
        <f t="shared" si="40"/>
        <v>0005-0025</v>
      </c>
      <c r="D241" s="261" t="str">
        <f t="shared" si="41"/>
        <v>0005-0025-0005</v>
      </c>
      <c r="E241" s="407" t="s">
        <v>862</v>
      </c>
      <c r="F241" s="261" t="str">
        <f>TEXT(VLOOKUP(J241,'[3]1'!$B$2:$D$37,2,0),"0000")</f>
        <v>0005</v>
      </c>
      <c r="G241" s="261" t="str">
        <f t="shared" si="42"/>
        <v>0025</v>
      </c>
      <c r="H241" s="408">
        <f t="shared" si="43"/>
        <v>5</v>
      </c>
      <c r="I241" s="407" t="s">
        <v>862</v>
      </c>
      <c r="J241" s="258" t="s">
        <v>294</v>
      </c>
      <c r="K241" s="258" t="s">
        <v>2770</v>
      </c>
      <c r="L241" s="258" t="s">
        <v>2612</v>
      </c>
      <c r="M241" s="409">
        <v>18240000</v>
      </c>
      <c r="N241" s="258">
        <v>2497</v>
      </c>
      <c r="O241" s="258" t="s">
        <v>78</v>
      </c>
      <c r="P241" s="258" t="s">
        <v>86</v>
      </c>
      <c r="Q241" s="258" t="s">
        <v>72</v>
      </c>
      <c r="R241" s="258" t="e">
        <v>#N/A</v>
      </c>
      <c r="S241" s="410">
        <v>9</v>
      </c>
      <c r="T241" s="261">
        <v>6</v>
      </c>
      <c r="U241" s="261">
        <v>6</v>
      </c>
      <c r="V241" s="258" t="s">
        <v>3993</v>
      </c>
      <c r="W241" s="261" t="str">
        <f t="shared" si="45"/>
        <v>현대자동차포터ⅡCRDi 133마력 2WD 더블캡 초장축 Smart A/T18240000</v>
      </c>
      <c r="X241" s="411">
        <f t="shared" si="46"/>
        <v>4015</v>
      </c>
      <c r="Y241" s="261">
        <v>6</v>
      </c>
      <c r="Z241" s="261">
        <v>6</v>
      </c>
      <c r="AA241" s="407" t="s">
        <v>862</v>
      </c>
      <c r="AB241" s="258" t="e">
        <v>#N/A</v>
      </c>
      <c r="AC241" s="258"/>
      <c r="AD241" s="258" t="s">
        <v>2131</v>
      </c>
      <c r="AE241" s="258" t="s">
        <v>2129</v>
      </c>
      <c r="AF241" s="259"/>
      <c r="AG241" s="260"/>
      <c r="AH241" s="259"/>
      <c r="AI241" s="259"/>
      <c r="AJ241" s="260"/>
      <c r="AK241" s="259">
        <v>26</v>
      </c>
      <c r="AL241" s="259"/>
      <c r="AM241" s="259" t="s">
        <v>3222</v>
      </c>
      <c r="AN241" s="449"/>
      <c r="AO241" s="449"/>
      <c r="AP241" s="449"/>
      <c r="AQ241" s="392" t="str">
        <f>IFERROR(VLOOKUP(BG241,#REF!,1,0),"")</f>
        <v/>
      </c>
      <c r="AS241" s="259" t="s">
        <v>3222</v>
      </c>
      <c r="BD241" s="202" t="str">
        <f t="shared" si="38"/>
        <v>포터ⅡCRDi 133마력 2WD 더블캡 초장축 Smart A/T</v>
      </c>
      <c r="BE241" s="261" t="str">
        <f t="shared" si="44"/>
        <v>0025</v>
      </c>
      <c r="BF241" s="407" t="s">
        <v>862</v>
      </c>
      <c r="BG241" s="202" t="str">
        <f t="shared" si="39"/>
        <v>0025-0240</v>
      </c>
    </row>
    <row r="242" spans="1:59">
      <c r="A242" s="405">
        <v>4016</v>
      </c>
      <c r="B242" s="406">
        <v>4016</v>
      </c>
      <c r="C242" s="261" t="str">
        <f t="shared" si="40"/>
        <v>0005-0025</v>
      </c>
      <c r="D242" s="261" t="str">
        <f t="shared" si="41"/>
        <v>0005-0025-0006</v>
      </c>
      <c r="E242" s="407" t="s">
        <v>861</v>
      </c>
      <c r="F242" s="261" t="str">
        <f>TEXT(VLOOKUP(J242,'[3]1'!$B$2:$D$37,2,0),"0000")</f>
        <v>0005</v>
      </c>
      <c r="G242" s="261" t="str">
        <f t="shared" si="42"/>
        <v>0025</v>
      </c>
      <c r="H242" s="408">
        <f t="shared" si="43"/>
        <v>6</v>
      </c>
      <c r="I242" s="407" t="s">
        <v>861</v>
      </c>
      <c r="J242" s="258" t="s">
        <v>294</v>
      </c>
      <c r="K242" s="258" t="s">
        <v>2770</v>
      </c>
      <c r="L242" s="258" t="s">
        <v>2613</v>
      </c>
      <c r="M242" s="409">
        <v>18870000</v>
      </c>
      <c r="N242" s="258">
        <v>2497</v>
      </c>
      <c r="O242" s="258" t="s">
        <v>78</v>
      </c>
      <c r="P242" s="258" t="s">
        <v>86</v>
      </c>
      <c r="Q242" s="258" t="s">
        <v>72</v>
      </c>
      <c r="R242" s="258" t="e">
        <v>#N/A</v>
      </c>
      <c r="S242" s="410">
        <v>9</v>
      </c>
      <c r="T242" s="261">
        <v>6</v>
      </c>
      <c r="U242" s="261">
        <v>6</v>
      </c>
      <c r="V242" s="258" t="s">
        <v>3993</v>
      </c>
      <c r="W242" s="261" t="str">
        <f t="shared" si="45"/>
        <v>현대자동차포터ⅡCRDi 133마력 4WD 더블캡 장축 Smart A/T18870000</v>
      </c>
      <c r="X242" s="411">
        <f t="shared" si="46"/>
        <v>4016</v>
      </c>
      <c r="Y242" s="261">
        <v>6</v>
      </c>
      <c r="Z242" s="261">
        <v>6</v>
      </c>
      <c r="AA242" s="407" t="s">
        <v>861</v>
      </c>
      <c r="AB242" s="258" t="e">
        <v>#N/A</v>
      </c>
      <c r="AC242" s="258"/>
      <c r="AD242" s="258" t="s">
        <v>2131</v>
      </c>
      <c r="AE242" s="258" t="s">
        <v>2129</v>
      </c>
      <c r="AF242" s="259"/>
      <c r="AG242" s="260"/>
      <c r="AH242" s="259"/>
      <c r="AI242" s="259"/>
      <c r="AJ242" s="260"/>
      <c r="AK242" s="259">
        <v>26</v>
      </c>
      <c r="AL242" s="259"/>
      <c r="AM242" s="259" t="s">
        <v>3222</v>
      </c>
      <c r="AN242" s="449"/>
      <c r="AO242" s="449"/>
      <c r="AP242" s="449"/>
      <c r="AQ242" s="392" t="str">
        <f>IFERROR(VLOOKUP(BG242,#REF!,1,0),"")</f>
        <v/>
      </c>
      <c r="AS242" s="259" t="s">
        <v>3222</v>
      </c>
      <c r="BD242" s="202" t="str">
        <f t="shared" si="38"/>
        <v>포터ⅡCRDi 133마력 4WD 더블캡 장축 Smart A/T</v>
      </c>
      <c r="BE242" s="261" t="str">
        <f t="shared" si="44"/>
        <v>0025</v>
      </c>
      <c r="BF242" s="407" t="s">
        <v>861</v>
      </c>
      <c r="BG242" s="202" t="str">
        <f t="shared" si="39"/>
        <v>0025-0241</v>
      </c>
    </row>
    <row r="243" spans="1:59">
      <c r="A243" s="405">
        <v>4017</v>
      </c>
      <c r="B243" s="406">
        <v>4017</v>
      </c>
      <c r="C243" s="261" t="str">
        <f t="shared" si="40"/>
        <v>0005-0025</v>
      </c>
      <c r="D243" s="261" t="str">
        <f t="shared" si="41"/>
        <v>0005-0025-0007</v>
      </c>
      <c r="E243" s="407" t="s">
        <v>860</v>
      </c>
      <c r="F243" s="261" t="str">
        <f>TEXT(VLOOKUP(J243,'[3]1'!$B$2:$D$37,2,0),"0000")</f>
        <v>0005</v>
      </c>
      <c r="G243" s="261" t="str">
        <f t="shared" si="42"/>
        <v>0025</v>
      </c>
      <c r="H243" s="408">
        <f t="shared" si="43"/>
        <v>7</v>
      </c>
      <c r="I243" s="407" t="s">
        <v>860</v>
      </c>
      <c r="J243" s="258" t="s">
        <v>294</v>
      </c>
      <c r="K243" s="258" t="s">
        <v>2770</v>
      </c>
      <c r="L243" s="258" t="s">
        <v>2614</v>
      </c>
      <c r="M243" s="409">
        <v>16420000</v>
      </c>
      <c r="N243" s="258">
        <v>2497</v>
      </c>
      <c r="O243" s="258" t="s">
        <v>78</v>
      </c>
      <c r="P243" s="258" t="s">
        <v>86</v>
      </c>
      <c r="Q243" s="258" t="s">
        <v>72</v>
      </c>
      <c r="R243" s="258" t="e">
        <v>#N/A</v>
      </c>
      <c r="S243" s="410">
        <v>9</v>
      </c>
      <c r="T243" s="261">
        <v>6</v>
      </c>
      <c r="U243" s="261">
        <v>6</v>
      </c>
      <c r="V243" s="258" t="s">
        <v>3993</v>
      </c>
      <c r="W243" s="261" t="str">
        <f t="shared" si="45"/>
        <v>현대자동차포터ⅡCRDi 133마력 2WD 슈퍼캡 초장축 Style A/T16420000</v>
      </c>
      <c r="X243" s="411">
        <f t="shared" si="46"/>
        <v>4017</v>
      </c>
      <c r="Y243" s="261">
        <v>6</v>
      </c>
      <c r="Z243" s="261">
        <v>6</v>
      </c>
      <c r="AA243" s="407" t="s">
        <v>860</v>
      </c>
      <c r="AB243" s="258" t="e">
        <v>#N/A</v>
      </c>
      <c r="AC243" s="258"/>
      <c r="AD243" s="258" t="s">
        <v>2131</v>
      </c>
      <c r="AE243" s="258" t="s">
        <v>2129</v>
      </c>
      <c r="AF243" s="259"/>
      <c r="AG243" s="260"/>
      <c r="AH243" s="259"/>
      <c r="AI243" s="259"/>
      <c r="AJ243" s="260"/>
      <c r="AK243" s="259">
        <v>26</v>
      </c>
      <c r="AL243" s="259"/>
      <c r="AM243" s="259" t="s">
        <v>3222</v>
      </c>
      <c r="AN243" s="449"/>
      <c r="AO243" s="449"/>
      <c r="AP243" s="449"/>
      <c r="AQ243" s="392" t="str">
        <f>IFERROR(VLOOKUP(BG243,#REF!,1,0),"")</f>
        <v/>
      </c>
      <c r="AS243" s="259" t="s">
        <v>3222</v>
      </c>
      <c r="BD243" s="202" t="str">
        <f t="shared" si="38"/>
        <v>포터ⅡCRDi 133마력 2WD 슈퍼캡 초장축 Style A/T</v>
      </c>
      <c r="BE243" s="261" t="str">
        <f t="shared" si="44"/>
        <v>0025</v>
      </c>
      <c r="BF243" s="407" t="s">
        <v>860</v>
      </c>
      <c r="BG243" s="202" t="str">
        <f t="shared" si="39"/>
        <v>0025-0242</v>
      </c>
    </row>
    <row r="244" spans="1:59">
      <c r="A244" s="405">
        <v>4018</v>
      </c>
      <c r="B244" s="406">
        <v>4018</v>
      </c>
      <c r="C244" s="261" t="str">
        <f t="shared" si="40"/>
        <v>0005-0025</v>
      </c>
      <c r="D244" s="261" t="str">
        <f t="shared" si="41"/>
        <v>0005-0025-0008</v>
      </c>
      <c r="E244" s="407" t="s">
        <v>859</v>
      </c>
      <c r="F244" s="261" t="str">
        <f>TEXT(VLOOKUP(J244,'[3]1'!$B$2:$D$37,2,0),"0000")</f>
        <v>0005</v>
      </c>
      <c r="G244" s="261" t="str">
        <f t="shared" si="42"/>
        <v>0025</v>
      </c>
      <c r="H244" s="408">
        <f t="shared" si="43"/>
        <v>8</v>
      </c>
      <c r="I244" s="407" t="s">
        <v>859</v>
      </c>
      <c r="J244" s="258" t="s">
        <v>294</v>
      </c>
      <c r="K244" s="258" t="s">
        <v>2770</v>
      </c>
      <c r="L244" s="258" t="s">
        <v>2615</v>
      </c>
      <c r="M244" s="409">
        <v>16650000</v>
      </c>
      <c r="N244" s="258">
        <v>2497</v>
      </c>
      <c r="O244" s="258" t="s">
        <v>78</v>
      </c>
      <c r="P244" s="258" t="s">
        <v>86</v>
      </c>
      <c r="Q244" s="258" t="s">
        <v>72</v>
      </c>
      <c r="R244" s="258" t="e">
        <v>#N/A</v>
      </c>
      <c r="S244" s="410">
        <v>9</v>
      </c>
      <c r="T244" s="261">
        <v>6</v>
      </c>
      <c r="U244" s="261">
        <v>6</v>
      </c>
      <c r="V244" s="258" t="s">
        <v>3993</v>
      </c>
      <c r="W244" s="261" t="str">
        <f t="shared" si="45"/>
        <v>현대자동차포터ⅡCRDi 133마력 2WD 슈퍼캡 장축 Modern A/T16650000</v>
      </c>
      <c r="X244" s="411">
        <f t="shared" si="46"/>
        <v>4018</v>
      </c>
      <c r="Y244" s="261">
        <v>6</v>
      </c>
      <c r="Z244" s="261">
        <v>6</v>
      </c>
      <c r="AA244" s="407" t="s">
        <v>859</v>
      </c>
      <c r="AB244" s="258" t="e">
        <v>#N/A</v>
      </c>
      <c r="AC244" s="258"/>
      <c r="AD244" s="258" t="s">
        <v>2131</v>
      </c>
      <c r="AE244" s="258" t="s">
        <v>2129</v>
      </c>
      <c r="AF244" s="259"/>
      <c r="AG244" s="260"/>
      <c r="AH244" s="259"/>
      <c r="AI244" s="259"/>
      <c r="AJ244" s="260"/>
      <c r="AK244" s="259">
        <v>26</v>
      </c>
      <c r="AL244" s="259"/>
      <c r="AM244" s="259" t="s">
        <v>3222</v>
      </c>
      <c r="AN244" s="449"/>
      <c r="AO244" s="449"/>
      <c r="AP244" s="449"/>
      <c r="AQ244" s="392" t="str">
        <f>IFERROR(VLOOKUP(BG244,#REF!,1,0),"")</f>
        <v/>
      </c>
      <c r="AS244" s="259" t="s">
        <v>3222</v>
      </c>
      <c r="BD244" s="202" t="str">
        <f t="shared" si="38"/>
        <v>포터ⅡCRDi 133마력 2WD 슈퍼캡 장축 Modern A/T</v>
      </c>
      <c r="BE244" s="261" t="str">
        <f t="shared" si="44"/>
        <v>0025</v>
      </c>
      <c r="BF244" s="407" t="s">
        <v>859</v>
      </c>
      <c r="BG244" s="202" t="str">
        <f t="shared" si="39"/>
        <v>0025-0243</v>
      </c>
    </row>
    <row r="245" spans="1:59">
      <c r="A245" s="405">
        <v>4019</v>
      </c>
      <c r="B245" s="406">
        <v>4019</v>
      </c>
      <c r="C245" s="261" t="str">
        <f t="shared" si="40"/>
        <v>0005-0025</v>
      </c>
      <c r="D245" s="261" t="str">
        <f t="shared" si="41"/>
        <v>0005-0025-0009</v>
      </c>
      <c r="E245" s="407" t="s">
        <v>858</v>
      </c>
      <c r="F245" s="261" t="str">
        <f>TEXT(VLOOKUP(J245,'[3]1'!$B$2:$D$37,2,0),"0000")</f>
        <v>0005</v>
      </c>
      <c r="G245" s="261" t="str">
        <f t="shared" si="42"/>
        <v>0025</v>
      </c>
      <c r="H245" s="408">
        <f t="shared" si="43"/>
        <v>9</v>
      </c>
      <c r="I245" s="407" t="s">
        <v>858</v>
      </c>
      <c r="J245" s="258" t="s">
        <v>294</v>
      </c>
      <c r="K245" s="258" t="s">
        <v>2770</v>
      </c>
      <c r="L245" s="258" t="s">
        <v>2616</v>
      </c>
      <c r="M245" s="409">
        <v>19070000</v>
      </c>
      <c r="N245" s="258">
        <v>2497</v>
      </c>
      <c r="O245" s="258" t="s">
        <v>78</v>
      </c>
      <c r="P245" s="258" t="s">
        <v>86</v>
      </c>
      <c r="Q245" s="258" t="s">
        <v>72</v>
      </c>
      <c r="R245" s="258" t="e">
        <v>#N/A</v>
      </c>
      <c r="S245" s="410">
        <v>9</v>
      </c>
      <c r="T245" s="261">
        <v>6</v>
      </c>
      <c r="U245" s="261">
        <v>6</v>
      </c>
      <c r="V245" s="258" t="s">
        <v>3993</v>
      </c>
      <c r="W245" s="261" t="str">
        <f t="shared" si="45"/>
        <v>현대자동차포터ⅡCRDi 133마력 2WD 일반캡 초장축 Premium A/T19070000</v>
      </c>
      <c r="X245" s="411">
        <f t="shared" si="46"/>
        <v>4019</v>
      </c>
      <c r="Y245" s="261">
        <v>6</v>
      </c>
      <c r="Z245" s="261">
        <v>6</v>
      </c>
      <c r="AA245" s="407" t="s">
        <v>858</v>
      </c>
      <c r="AB245" s="258" t="e">
        <v>#N/A</v>
      </c>
      <c r="AC245" s="258"/>
      <c r="AD245" s="258" t="s">
        <v>2131</v>
      </c>
      <c r="AE245" s="258" t="s">
        <v>2129</v>
      </c>
      <c r="AF245" s="259"/>
      <c r="AG245" s="260"/>
      <c r="AH245" s="259"/>
      <c r="AI245" s="259"/>
      <c r="AJ245" s="260"/>
      <c r="AK245" s="259">
        <v>26</v>
      </c>
      <c r="AL245" s="259"/>
      <c r="AM245" s="259" t="s">
        <v>3222</v>
      </c>
      <c r="AN245" s="449"/>
      <c r="AO245" s="449"/>
      <c r="AP245" s="449"/>
      <c r="AQ245" s="392" t="str">
        <f>IFERROR(VLOOKUP(BG245,#REF!,1,0),"")</f>
        <v/>
      </c>
      <c r="AS245" s="259" t="s">
        <v>3222</v>
      </c>
      <c r="BD245" s="202" t="str">
        <f t="shared" si="38"/>
        <v>포터ⅡCRDi 133마력 2WD 일반캡 초장축 Premium A/T</v>
      </c>
      <c r="BE245" s="261" t="str">
        <f t="shared" si="44"/>
        <v>0025</v>
      </c>
      <c r="BF245" s="407" t="s">
        <v>858</v>
      </c>
      <c r="BG245" s="202" t="str">
        <f t="shared" si="39"/>
        <v>0025-0244</v>
      </c>
    </row>
    <row r="246" spans="1:59">
      <c r="A246" s="405">
        <v>4020</v>
      </c>
      <c r="B246" s="406">
        <v>4020</v>
      </c>
      <c r="C246" s="261" t="str">
        <f t="shared" si="40"/>
        <v>0005-0025</v>
      </c>
      <c r="D246" s="261" t="str">
        <f t="shared" si="41"/>
        <v>0005-0025-0010</v>
      </c>
      <c r="E246" s="407" t="s">
        <v>857</v>
      </c>
      <c r="F246" s="261" t="str">
        <f>TEXT(VLOOKUP(J246,'[3]1'!$B$2:$D$37,2,0),"0000")</f>
        <v>0005</v>
      </c>
      <c r="G246" s="261" t="str">
        <f t="shared" si="42"/>
        <v>0025</v>
      </c>
      <c r="H246" s="408">
        <f t="shared" si="43"/>
        <v>10</v>
      </c>
      <c r="I246" s="407" t="s">
        <v>857</v>
      </c>
      <c r="J246" s="258" t="s">
        <v>294</v>
      </c>
      <c r="K246" s="258" t="s">
        <v>2770</v>
      </c>
      <c r="L246" s="258" t="s">
        <v>2617</v>
      </c>
      <c r="M246" s="409">
        <v>17600000</v>
      </c>
      <c r="N246" s="258">
        <v>2497</v>
      </c>
      <c r="O246" s="258" t="s">
        <v>78</v>
      </c>
      <c r="P246" s="258" t="s">
        <v>86</v>
      </c>
      <c r="Q246" s="258" t="s">
        <v>72</v>
      </c>
      <c r="R246" s="258" t="e">
        <v>#N/A</v>
      </c>
      <c r="S246" s="410">
        <v>9</v>
      </c>
      <c r="T246" s="261">
        <v>6</v>
      </c>
      <c r="U246" s="261">
        <v>6</v>
      </c>
      <c r="V246" s="258" t="s">
        <v>3993</v>
      </c>
      <c r="W246" s="261" t="str">
        <f t="shared" si="45"/>
        <v>현대자동차포터ⅡCRDi 133마력 4WD 슈퍼캡 장축 Smart A/T17600000</v>
      </c>
      <c r="X246" s="411">
        <f t="shared" si="46"/>
        <v>4020</v>
      </c>
      <c r="Y246" s="261">
        <v>6</v>
      </c>
      <c r="Z246" s="261">
        <v>6</v>
      </c>
      <c r="AA246" s="407" t="s">
        <v>857</v>
      </c>
      <c r="AB246" s="258" t="e">
        <v>#N/A</v>
      </c>
      <c r="AC246" s="258"/>
      <c r="AD246" s="258" t="s">
        <v>2131</v>
      </c>
      <c r="AE246" s="258" t="s">
        <v>2129</v>
      </c>
      <c r="AF246" s="259"/>
      <c r="AG246" s="260"/>
      <c r="AH246" s="259"/>
      <c r="AI246" s="259"/>
      <c r="AJ246" s="260"/>
      <c r="AK246" s="259">
        <v>26</v>
      </c>
      <c r="AL246" s="259"/>
      <c r="AM246" s="259" t="s">
        <v>3222</v>
      </c>
      <c r="AN246" s="449"/>
      <c r="AO246" s="449"/>
      <c r="AP246" s="449"/>
      <c r="AQ246" s="392" t="str">
        <f>IFERROR(VLOOKUP(BG246,#REF!,1,0),"")</f>
        <v/>
      </c>
      <c r="AS246" s="259" t="s">
        <v>3222</v>
      </c>
      <c r="BD246" s="202" t="str">
        <f t="shared" si="38"/>
        <v>포터ⅡCRDi 133마력 4WD 슈퍼캡 장축 Smart A/T</v>
      </c>
      <c r="BE246" s="261" t="str">
        <f t="shared" si="44"/>
        <v>0025</v>
      </c>
      <c r="BF246" s="407" t="s">
        <v>857</v>
      </c>
      <c r="BG246" s="202" t="str">
        <f t="shared" si="39"/>
        <v>0025-0245</v>
      </c>
    </row>
    <row r="247" spans="1:59">
      <c r="A247" s="405">
        <v>4021</v>
      </c>
      <c r="B247" s="406">
        <v>4021</v>
      </c>
      <c r="C247" s="261" t="str">
        <f t="shared" si="40"/>
        <v>0005-0025</v>
      </c>
      <c r="D247" s="261" t="str">
        <f t="shared" si="41"/>
        <v>0005-0025-0011</v>
      </c>
      <c r="E247" s="407" t="s">
        <v>856</v>
      </c>
      <c r="F247" s="261" t="str">
        <f>TEXT(VLOOKUP(J247,'[3]1'!$B$2:$D$37,2,0),"0000")</f>
        <v>0005</v>
      </c>
      <c r="G247" s="261" t="str">
        <f t="shared" si="42"/>
        <v>0025</v>
      </c>
      <c r="H247" s="408">
        <f t="shared" si="43"/>
        <v>11</v>
      </c>
      <c r="I247" s="407" t="s">
        <v>856</v>
      </c>
      <c r="J247" s="258" t="s">
        <v>294</v>
      </c>
      <c r="K247" s="258" t="s">
        <v>2770</v>
      </c>
      <c r="L247" s="258" t="s">
        <v>2618</v>
      </c>
      <c r="M247" s="409">
        <v>18390000</v>
      </c>
      <c r="N247" s="258">
        <v>2497</v>
      </c>
      <c r="O247" s="258" t="s">
        <v>78</v>
      </c>
      <c r="P247" s="258" t="s">
        <v>86</v>
      </c>
      <c r="Q247" s="258" t="s">
        <v>72</v>
      </c>
      <c r="R247" s="258" t="e">
        <v>#N/A</v>
      </c>
      <c r="S247" s="410">
        <v>9</v>
      </c>
      <c r="T247" s="261">
        <v>6</v>
      </c>
      <c r="U247" s="261">
        <v>6</v>
      </c>
      <c r="V247" s="258" t="s">
        <v>3993</v>
      </c>
      <c r="W247" s="261" t="str">
        <f t="shared" si="45"/>
        <v>현대자동차포터ⅡCRDi 133마력 4WD 슈퍼캡 장축 Modern A/T18390000</v>
      </c>
      <c r="X247" s="411">
        <f t="shared" si="46"/>
        <v>4021</v>
      </c>
      <c r="Y247" s="261">
        <v>6</v>
      </c>
      <c r="Z247" s="261">
        <v>6</v>
      </c>
      <c r="AA247" s="407" t="s">
        <v>856</v>
      </c>
      <c r="AB247" s="258" t="e">
        <v>#N/A</v>
      </c>
      <c r="AC247" s="258"/>
      <c r="AD247" s="258" t="s">
        <v>2131</v>
      </c>
      <c r="AE247" s="258" t="s">
        <v>2129</v>
      </c>
      <c r="AF247" s="259"/>
      <c r="AG247" s="260"/>
      <c r="AH247" s="259"/>
      <c r="AI247" s="259"/>
      <c r="AJ247" s="260"/>
      <c r="AK247" s="259">
        <v>26</v>
      </c>
      <c r="AL247" s="259"/>
      <c r="AM247" s="259" t="s">
        <v>3222</v>
      </c>
      <c r="AN247" s="449"/>
      <c r="AO247" s="449"/>
      <c r="AP247" s="449"/>
      <c r="AQ247" s="392" t="str">
        <f>IFERROR(VLOOKUP(BG247,#REF!,1,0),"")</f>
        <v/>
      </c>
      <c r="AS247" s="259" t="s">
        <v>3222</v>
      </c>
      <c r="BD247" s="202" t="str">
        <f t="shared" si="38"/>
        <v>포터ⅡCRDi 133마력 4WD 슈퍼캡 장축 Modern A/T</v>
      </c>
      <c r="BE247" s="261" t="str">
        <f t="shared" si="44"/>
        <v>0025</v>
      </c>
      <c r="BF247" s="407" t="s">
        <v>856</v>
      </c>
      <c r="BG247" s="202" t="str">
        <f t="shared" si="39"/>
        <v>0025-0246</v>
      </c>
    </row>
    <row r="248" spans="1:59">
      <c r="A248" s="405">
        <v>4022</v>
      </c>
      <c r="B248" s="406">
        <v>4022</v>
      </c>
      <c r="C248" s="261" t="str">
        <f t="shared" si="40"/>
        <v>0005-0025</v>
      </c>
      <c r="D248" s="261" t="str">
        <f t="shared" si="41"/>
        <v>0005-0025-0012</v>
      </c>
      <c r="E248" s="407" t="s">
        <v>855</v>
      </c>
      <c r="F248" s="261" t="str">
        <f>TEXT(VLOOKUP(J248,'[3]1'!$B$2:$D$37,2,0),"0000")</f>
        <v>0005</v>
      </c>
      <c r="G248" s="261" t="str">
        <f t="shared" si="42"/>
        <v>0025</v>
      </c>
      <c r="H248" s="408">
        <f t="shared" si="43"/>
        <v>12</v>
      </c>
      <c r="I248" s="407" t="s">
        <v>855</v>
      </c>
      <c r="J248" s="258" t="s">
        <v>294</v>
      </c>
      <c r="K248" s="258" t="s">
        <v>2770</v>
      </c>
      <c r="L248" s="258" t="s">
        <v>2619</v>
      </c>
      <c r="M248" s="409">
        <v>19430000</v>
      </c>
      <c r="N248" s="258">
        <v>2497</v>
      </c>
      <c r="O248" s="258" t="s">
        <v>78</v>
      </c>
      <c r="P248" s="258" t="s">
        <v>86</v>
      </c>
      <c r="Q248" s="258" t="s">
        <v>72</v>
      </c>
      <c r="R248" s="258" t="e">
        <v>#N/A</v>
      </c>
      <c r="S248" s="410">
        <v>9</v>
      </c>
      <c r="T248" s="261">
        <v>6</v>
      </c>
      <c r="U248" s="261">
        <v>6</v>
      </c>
      <c r="V248" s="258" t="s">
        <v>3993</v>
      </c>
      <c r="W248" s="261" t="str">
        <f t="shared" si="45"/>
        <v>현대자동차포터ⅡCRDi 133마력 2WD 더블캡 초장축 Premium M/T19430000</v>
      </c>
      <c r="X248" s="411">
        <f t="shared" si="46"/>
        <v>4022</v>
      </c>
      <c r="Y248" s="261">
        <v>6</v>
      </c>
      <c r="Z248" s="261">
        <v>6</v>
      </c>
      <c r="AA248" s="407" t="s">
        <v>855</v>
      </c>
      <c r="AB248" s="258" t="e">
        <v>#N/A</v>
      </c>
      <c r="AC248" s="258"/>
      <c r="AD248" s="258" t="s">
        <v>2131</v>
      </c>
      <c r="AE248" s="258" t="s">
        <v>2129</v>
      </c>
      <c r="AF248" s="259"/>
      <c r="AG248" s="260"/>
      <c r="AH248" s="259"/>
      <c r="AI248" s="259"/>
      <c r="AJ248" s="260"/>
      <c r="AK248" s="259">
        <v>26</v>
      </c>
      <c r="AL248" s="259"/>
      <c r="AM248" s="259" t="s">
        <v>3222</v>
      </c>
      <c r="AN248" s="449"/>
      <c r="AO248" s="449"/>
      <c r="AP248" s="449"/>
      <c r="AQ248" s="392" t="str">
        <f>IFERROR(VLOOKUP(BG248,#REF!,1,0),"")</f>
        <v/>
      </c>
      <c r="AS248" s="259" t="s">
        <v>3222</v>
      </c>
      <c r="BD248" s="202" t="str">
        <f t="shared" si="38"/>
        <v>포터ⅡCRDi 133마력 2WD 더블캡 초장축 Premium M/T</v>
      </c>
      <c r="BE248" s="261" t="str">
        <f t="shared" si="44"/>
        <v>0025</v>
      </c>
      <c r="BF248" s="407" t="s">
        <v>855</v>
      </c>
      <c r="BG248" s="202" t="str">
        <f t="shared" si="39"/>
        <v>0025-0247</v>
      </c>
    </row>
    <row r="249" spans="1:59">
      <c r="A249" s="405">
        <v>4023</v>
      </c>
      <c r="B249" s="406">
        <v>4023</v>
      </c>
      <c r="C249" s="261" t="str">
        <f t="shared" si="40"/>
        <v>0005-0025</v>
      </c>
      <c r="D249" s="261" t="str">
        <f t="shared" si="41"/>
        <v>0005-0025-0013</v>
      </c>
      <c r="E249" s="407" t="s">
        <v>854</v>
      </c>
      <c r="F249" s="261" t="str">
        <f>TEXT(VLOOKUP(J249,'[3]1'!$B$2:$D$37,2,0),"0000")</f>
        <v>0005</v>
      </c>
      <c r="G249" s="261" t="str">
        <f t="shared" si="42"/>
        <v>0025</v>
      </c>
      <c r="H249" s="408">
        <f t="shared" si="43"/>
        <v>13</v>
      </c>
      <c r="I249" s="407" t="s">
        <v>854</v>
      </c>
      <c r="J249" s="258" t="s">
        <v>294</v>
      </c>
      <c r="K249" s="258" t="s">
        <v>2770</v>
      </c>
      <c r="L249" s="258" t="s">
        <v>2620</v>
      </c>
      <c r="M249" s="409">
        <v>15850000</v>
      </c>
      <c r="N249" s="258">
        <v>2497</v>
      </c>
      <c r="O249" s="258" t="s">
        <v>78</v>
      </c>
      <c r="P249" s="258" t="s">
        <v>86</v>
      </c>
      <c r="Q249" s="258" t="s">
        <v>88</v>
      </c>
      <c r="R249" s="258" t="e">
        <v>#N/A</v>
      </c>
      <c r="S249" s="410">
        <v>9</v>
      </c>
      <c r="T249" s="261">
        <v>6</v>
      </c>
      <c r="U249" s="261">
        <v>6</v>
      </c>
      <c r="V249" s="258" t="s">
        <v>3993</v>
      </c>
      <c r="W249" s="261" t="str">
        <f t="shared" si="45"/>
        <v>현대자동차포터ⅡCRDi 133마력 2WD 슈퍼캡 초장축 Smart M/T15850000</v>
      </c>
      <c r="X249" s="411">
        <f t="shared" si="46"/>
        <v>4023</v>
      </c>
      <c r="Y249" s="261">
        <v>6</v>
      </c>
      <c r="Z249" s="261">
        <v>6</v>
      </c>
      <c r="AA249" s="407" t="s">
        <v>854</v>
      </c>
      <c r="AB249" s="258" t="e">
        <v>#N/A</v>
      </c>
      <c r="AC249" s="258"/>
      <c r="AD249" s="258" t="s">
        <v>2131</v>
      </c>
      <c r="AE249" s="258" t="s">
        <v>2129</v>
      </c>
      <c r="AF249" s="259"/>
      <c r="AG249" s="260"/>
      <c r="AH249" s="259"/>
      <c r="AI249" s="259"/>
      <c r="AJ249" s="260"/>
      <c r="AK249" s="259">
        <v>26</v>
      </c>
      <c r="AL249" s="259"/>
      <c r="AM249" s="259" t="s">
        <v>3222</v>
      </c>
      <c r="AN249" s="449"/>
      <c r="AO249" s="449"/>
      <c r="AP249" s="449"/>
      <c r="AQ249" s="392" t="str">
        <f>IFERROR(VLOOKUP(BG249,#REF!,1,0),"")</f>
        <v/>
      </c>
      <c r="AS249" s="259" t="s">
        <v>3222</v>
      </c>
      <c r="BD249" s="202" t="str">
        <f t="shared" si="38"/>
        <v>포터ⅡCRDi 133마력 2WD 슈퍼캡 초장축 Smart M/T</v>
      </c>
      <c r="BE249" s="261" t="str">
        <f t="shared" si="44"/>
        <v>0025</v>
      </c>
      <c r="BF249" s="407" t="s">
        <v>854</v>
      </c>
      <c r="BG249" s="202" t="str">
        <f t="shared" si="39"/>
        <v>0025-0248</v>
      </c>
    </row>
    <row r="250" spans="1:59">
      <c r="A250" s="405">
        <v>4024</v>
      </c>
      <c r="B250" s="406">
        <v>4024</v>
      </c>
      <c r="C250" s="261" t="str">
        <f t="shared" si="40"/>
        <v>0005-0025</v>
      </c>
      <c r="D250" s="261" t="str">
        <f t="shared" si="41"/>
        <v>0005-0025-0014</v>
      </c>
      <c r="E250" s="407" t="s">
        <v>853</v>
      </c>
      <c r="F250" s="261" t="str">
        <f>TEXT(VLOOKUP(J250,'[3]1'!$B$2:$D$37,2,0),"0000")</f>
        <v>0005</v>
      </c>
      <c r="G250" s="261" t="str">
        <f t="shared" si="42"/>
        <v>0025</v>
      </c>
      <c r="H250" s="408">
        <f t="shared" si="43"/>
        <v>14</v>
      </c>
      <c r="I250" s="407" t="s">
        <v>853</v>
      </c>
      <c r="J250" s="258" t="s">
        <v>294</v>
      </c>
      <c r="K250" s="258" t="s">
        <v>2770</v>
      </c>
      <c r="L250" s="258" t="s">
        <v>2621</v>
      </c>
      <c r="M250" s="409">
        <v>16320000</v>
      </c>
      <c r="N250" s="258">
        <v>2497</v>
      </c>
      <c r="O250" s="258" t="s">
        <v>78</v>
      </c>
      <c r="P250" s="258" t="s">
        <v>86</v>
      </c>
      <c r="Q250" s="258" t="s">
        <v>72</v>
      </c>
      <c r="R250" s="258" t="e">
        <v>#N/A</v>
      </c>
      <c r="S250" s="410">
        <v>9</v>
      </c>
      <c r="T250" s="261">
        <v>6</v>
      </c>
      <c r="U250" s="261">
        <v>6</v>
      </c>
      <c r="V250" s="258" t="s">
        <v>3993</v>
      </c>
      <c r="W250" s="261" t="str">
        <f t="shared" si="45"/>
        <v>현대자동차포터ⅡCRDi 133마력 2WD 일반캡 초장축 Style A/T16320000</v>
      </c>
      <c r="X250" s="411">
        <f t="shared" si="46"/>
        <v>4024</v>
      </c>
      <c r="Y250" s="261">
        <v>6</v>
      </c>
      <c r="Z250" s="261">
        <v>6</v>
      </c>
      <c r="AA250" s="407" t="s">
        <v>853</v>
      </c>
      <c r="AB250" s="258" t="e">
        <v>#N/A</v>
      </c>
      <c r="AC250" s="258"/>
      <c r="AD250" s="258" t="s">
        <v>2131</v>
      </c>
      <c r="AE250" s="258" t="s">
        <v>2129</v>
      </c>
      <c r="AF250" s="259"/>
      <c r="AG250" s="260"/>
      <c r="AH250" s="259"/>
      <c r="AI250" s="259"/>
      <c r="AJ250" s="260"/>
      <c r="AK250" s="259">
        <v>26</v>
      </c>
      <c r="AL250" s="259"/>
      <c r="AM250" s="259" t="s">
        <v>3222</v>
      </c>
      <c r="AN250" s="449"/>
      <c r="AO250" s="449"/>
      <c r="AP250" s="449"/>
      <c r="AQ250" s="392" t="str">
        <f>IFERROR(VLOOKUP(BG250,#REF!,1,0),"")</f>
        <v/>
      </c>
      <c r="AS250" s="259" t="s">
        <v>3222</v>
      </c>
      <c r="BD250" s="202" t="str">
        <f t="shared" si="38"/>
        <v>포터ⅡCRDi 133마력 2WD 일반캡 초장축 Style A/T</v>
      </c>
      <c r="BE250" s="261" t="str">
        <f t="shared" si="44"/>
        <v>0025</v>
      </c>
      <c r="BF250" s="407" t="s">
        <v>853</v>
      </c>
      <c r="BG250" s="202" t="str">
        <f t="shared" si="39"/>
        <v>0025-0249</v>
      </c>
    </row>
    <row r="251" spans="1:59">
      <c r="A251" s="405">
        <v>4025</v>
      </c>
      <c r="B251" s="406">
        <v>4025</v>
      </c>
      <c r="C251" s="261" t="str">
        <f t="shared" si="40"/>
        <v>0005-0025</v>
      </c>
      <c r="D251" s="261" t="str">
        <f t="shared" si="41"/>
        <v>0005-0025-0015</v>
      </c>
      <c r="E251" s="407" t="s">
        <v>852</v>
      </c>
      <c r="F251" s="261" t="str">
        <f>TEXT(VLOOKUP(J251,'[3]1'!$B$2:$D$37,2,0),"0000")</f>
        <v>0005</v>
      </c>
      <c r="G251" s="261" t="str">
        <f t="shared" si="42"/>
        <v>0025</v>
      </c>
      <c r="H251" s="408">
        <f t="shared" si="43"/>
        <v>15</v>
      </c>
      <c r="I251" s="407" t="s">
        <v>852</v>
      </c>
      <c r="J251" s="258" t="s">
        <v>294</v>
      </c>
      <c r="K251" s="258" t="s">
        <v>2770</v>
      </c>
      <c r="L251" s="258" t="s">
        <v>2622</v>
      </c>
      <c r="M251" s="409">
        <v>17920000</v>
      </c>
      <c r="N251" s="258">
        <v>2497</v>
      </c>
      <c r="O251" s="258" t="s">
        <v>78</v>
      </c>
      <c r="P251" s="258" t="s">
        <v>86</v>
      </c>
      <c r="Q251" s="258" t="s">
        <v>72</v>
      </c>
      <c r="R251" s="258" t="e">
        <v>#N/A</v>
      </c>
      <c r="S251" s="410">
        <v>9</v>
      </c>
      <c r="T251" s="261">
        <v>6</v>
      </c>
      <c r="U251" s="261">
        <v>6</v>
      </c>
      <c r="V251" s="258" t="s">
        <v>3993</v>
      </c>
      <c r="W251" s="261" t="str">
        <f t="shared" si="45"/>
        <v>현대자동차포터ⅡCRDi 133마력 2WD 일반캡 초장축 Modern A/T17920000</v>
      </c>
      <c r="X251" s="411">
        <f t="shared" si="46"/>
        <v>4025</v>
      </c>
      <c r="Y251" s="261">
        <v>6</v>
      </c>
      <c r="Z251" s="261">
        <v>6</v>
      </c>
      <c r="AA251" s="407" t="s">
        <v>852</v>
      </c>
      <c r="AB251" s="258" t="e">
        <v>#N/A</v>
      </c>
      <c r="AC251" s="258"/>
      <c r="AD251" s="258" t="s">
        <v>2131</v>
      </c>
      <c r="AE251" s="258" t="s">
        <v>2129</v>
      </c>
      <c r="AF251" s="259"/>
      <c r="AG251" s="260"/>
      <c r="AH251" s="259"/>
      <c r="AI251" s="259"/>
      <c r="AJ251" s="260"/>
      <c r="AK251" s="259">
        <v>26</v>
      </c>
      <c r="AL251" s="259"/>
      <c r="AM251" s="259" t="s">
        <v>3222</v>
      </c>
      <c r="AN251" s="449"/>
      <c r="AO251" s="449"/>
      <c r="AP251" s="449"/>
      <c r="AQ251" s="392" t="str">
        <f>IFERROR(VLOOKUP(BG251,#REF!,1,0),"")</f>
        <v/>
      </c>
      <c r="AS251" s="259" t="s">
        <v>3222</v>
      </c>
      <c r="BD251" s="202" t="str">
        <f t="shared" si="38"/>
        <v>포터ⅡCRDi 133마력 2WD 일반캡 초장축 Modern A/T</v>
      </c>
      <c r="BE251" s="261" t="str">
        <f t="shared" si="44"/>
        <v>0025</v>
      </c>
      <c r="BF251" s="407" t="s">
        <v>852</v>
      </c>
      <c r="BG251" s="202" t="str">
        <f t="shared" si="39"/>
        <v>0025-0250</v>
      </c>
    </row>
    <row r="252" spans="1:59">
      <c r="A252" s="405">
        <v>4026</v>
      </c>
      <c r="B252" s="406">
        <v>4026</v>
      </c>
      <c r="C252" s="261" t="str">
        <f t="shared" si="40"/>
        <v>0005-0025</v>
      </c>
      <c r="D252" s="261" t="str">
        <f t="shared" si="41"/>
        <v>0005-0025-0016</v>
      </c>
      <c r="E252" s="407" t="s">
        <v>851</v>
      </c>
      <c r="F252" s="261" t="str">
        <f>TEXT(VLOOKUP(J252,'[3]1'!$B$2:$D$37,2,0),"0000")</f>
        <v>0005</v>
      </c>
      <c r="G252" s="261" t="str">
        <f t="shared" si="42"/>
        <v>0025</v>
      </c>
      <c r="H252" s="408">
        <f t="shared" si="43"/>
        <v>16</v>
      </c>
      <c r="I252" s="407" t="s">
        <v>851</v>
      </c>
      <c r="J252" s="258" t="s">
        <v>294</v>
      </c>
      <c r="K252" s="258" t="s">
        <v>2770</v>
      </c>
      <c r="L252" s="258" t="s">
        <v>2623</v>
      </c>
      <c r="M252" s="409">
        <v>18070000</v>
      </c>
      <c r="N252" s="258">
        <v>2497</v>
      </c>
      <c r="O252" s="258" t="s">
        <v>78</v>
      </c>
      <c r="P252" s="258" t="s">
        <v>86</v>
      </c>
      <c r="Q252" s="258" t="s">
        <v>72</v>
      </c>
      <c r="R252" s="258" t="e">
        <v>#N/A</v>
      </c>
      <c r="S252" s="410">
        <v>9</v>
      </c>
      <c r="T252" s="261">
        <v>6</v>
      </c>
      <c r="U252" s="261">
        <v>6</v>
      </c>
      <c r="V252" s="258" t="s">
        <v>3993</v>
      </c>
      <c r="W252" s="261" t="str">
        <f t="shared" si="45"/>
        <v>현대자동차포터ⅡCRDi 133마력 2WD 슈퍼캡 초장축 Modern A/T18070000</v>
      </c>
      <c r="X252" s="411">
        <f t="shared" si="46"/>
        <v>4026</v>
      </c>
      <c r="Y252" s="261">
        <v>6</v>
      </c>
      <c r="Z252" s="261">
        <v>6</v>
      </c>
      <c r="AA252" s="407" t="s">
        <v>851</v>
      </c>
      <c r="AB252" s="258" t="e">
        <v>#N/A</v>
      </c>
      <c r="AC252" s="258"/>
      <c r="AD252" s="258" t="s">
        <v>2131</v>
      </c>
      <c r="AE252" s="258" t="s">
        <v>2129</v>
      </c>
      <c r="AF252" s="259"/>
      <c r="AG252" s="260"/>
      <c r="AH252" s="259"/>
      <c r="AI252" s="259"/>
      <c r="AJ252" s="260"/>
      <c r="AK252" s="259">
        <v>26</v>
      </c>
      <c r="AL252" s="259"/>
      <c r="AM252" s="259" t="s">
        <v>3222</v>
      </c>
      <c r="AN252" s="449"/>
      <c r="AO252" s="449"/>
      <c r="AP252" s="449"/>
      <c r="AQ252" s="392" t="str">
        <f>IFERROR(VLOOKUP(BG252,#REF!,1,0),"")</f>
        <v/>
      </c>
      <c r="AS252" s="259" t="s">
        <v>3222</v>
      </c>
      <c r="BD252" s="202" t="str">
        <f t="shared" si="38"/>
        <v>포터ⅡCRDi 133마력 2WD 슈퍼캡 초장축 Modern A/T</v>
      </c>
      <c r="BE252" s="261" t="str">
        <f t="shared" si="44"/>
        <v>0025</v>
      </c>
      <c r="BF252" s="407" t="s">
        <v>851</v>
      </c>
      <c r="BG252" s="202" t="str">
        <f t="shared" si="39"/>
        <v>0025-0251</v>
      </c>
    </row>
    <row r="253" spans="1:59">
      <c r="A253" s="405">
        <v>4027</v>
      </c>
      <c r="B253" s="406">
        <v>4027</v>
      </c>
      <c r="C253" s="261" t="str">
        <f t="shared" si="40"/>
        <v>0005-0025</v>
      </c>
      <c r="D253" s="261" t="str">
        <f t="shared" si="41"/>
        <v>0005-0025-0017</v>
      </c>
      <c r="E253" s="407" t="s">
        <v>850</v>
      </c>
      <c r="F253" s="261" t="str">
        <f>TEXT(VLOOKUP(J253,'[3]1'!$B$2:$D$37,2,0),"0000")</f>
        <v>0005</v>
      </c>
      <c r="G253" s="261" t="str">
        <f t="shared" si="42"/>
        <v>0025</v>
      </c>
      <c r="H253" s="408">
        <f t="shared" si="43"/>
        <v>17</v>
      </c>
      <c r="I253" s="407" t="s">
        <v>850</v>
      </c>
      <c r="J253" s="258" t="s">
        <v>294</v>
      </c>
      <c r="K253" s="258" t="s">
        <v>2770</v>
      </c>
      <c r="L253" s="258" t="s">
        <v>2624</v>
      </c>
      <c r="M253" s="409">
        <v>18100000</v>
      </c>
      <c r="N253" s="258">
        <v>2497</v>
      </c>
      <c r="O253" s="258" t="s">
        <v>78</v>
      </c>
      <c r="P253" s="258" t="s">
        <v>86</v>
      </c>
      <c r="Q253" s="258" t="s">
        <v>88</v>
      </c>
      <c r="R253" s="258" t="e">
        <v>#N/A</v>
      </c>
      <c r="S253" s="410">
        <v>9</v>
      </c>
      <c r="T253" s="261">
        <v>6</v>
      </c>
      <c r="U253" s="261">
        <v>6</v>
      </c>
      <c r="V253" s="258" t="s">
        <v>3993</v>
      </c>
      <c r="W253" s="261" t="str">
        <f t="shared" si="45"/>
        <v>현대자동차포터ⅡCRDi 133마력 2WD 슈퍼캡 초장축 Premium M/T18100000</v>
      </c>
      <c r="X253" s="411">
        <f t="shared" si="46"/>
        <v>4027</v>
      </c>
      <c r="Y253" s="261">
        <v>6</v>
      </c>
      <c r="Z253" s="261">
        <v>6</v>
      </c>
      <c r="AA253" s="407" t="s">
        <v>850</v>
      </c>
      <c r="AB253" s="258" t="e">
        <v>#N/A</v>
      </c>
      <c r="AC253" s="258"/>
      <c r="AD253" s="258" t="s">
        <v>2131</v>
      </c>
      <c r="AE253" s="258" t="s">
        <v>2129</v>
      </c>
      <c r="AF253" s="259"/>
      <c r="AG253" s="260"/>
      <c r="AH253" s="259"/>
      <c r="AI253" s="259"/>
      <c r="AJ253" s="260"/>
      <c r="AK253" s="259">
        <v>26</v>
      </c>
      <c r="AL253" s="259"/>
      <c r="AM253" s="259" t="s">
        <v>3222</v>
      </c>
      <c r="AN253" s="449"/>
      <c r="AO253" s="449"/>
      <c r="AP253" s="449"/>
      <c r="AQ253" s="392" t="str">
        <f>IFERROR(VLOOKUP(BG253,#REF!,1,0),"")</f>
        <v/>
      </c>
      <c r="AS253" s="259" t="s">
        <v>3222</v>
      </c>
      <c r="BD253" s="202" t="str">
        <f t="shared" si="38"/>
        <v>포터ⅡCRDi 133마력 2WD 슈퍼캡 초장축 Premium M/T</v>
      </c>
      <c r="BE253" s="261" t="str">
        <f t="shared" si="44"/>
        <v>0025</v>
      </c>
      <c r="BF253" s="407" t="s">
        <v>850</v>
      </c>
      <c r="BG253" s="202" t="str">
        <f t="shared" si="39"/>
        <v>0025-0252</v>
      </c>
    </row>
    <row r="254" spans="1:59">
      <c r="A254" s="405">
        <v>4028</v>
      </c>
      <c r="B254" s="406">
        <v>4028</v>
      </c>
      <c r="C254" s="261" t="str">
        <f t="shared" si="40"/>
        <v>0005-0025</v>
      </c>
      <c r="D254" s="261" t="str">
        <f t="shared" si="41"/>
        <v>0005-0025-0018</v>
      </c>
      <c r="E254" s="407" t="s">
        <v>849</v>
      </c>
      <c r="F254" s="261" t="str">
        <f>TEXT(VLOOKUP(J254,'[3]1'!$B$2:$D$37,2,0),"0000")</f>
        <v>0005</v>
      </c>
      <c r="G254" s="261" t="str">
        <f t="shared" si="42"/>
        <v>0025</v>
      </c>
      <c r="H254" s="408">
        <f t="shared" si="43"/>
        <v>18</v>
      </c>
      <c r="I254" s="407" t="s">
        <v>849</v>
      </c>
      <c r="J254" s="258" t="s">
        <v>294</v>
      </c>
      <c r="K254" s="258" t="s">
        <v>2770</v>
      </c>
      <c r="L254" s="258" t="s">
        <v>2625</v>
      </c>
      <c r="M254" s="409">
        <v>18220000</v>
      </c>
      <c r="N254" s="258">
        <v>2497</v>
      </c>
      <c r="O254" s="258" t="s">
        <v>78</v>
      </c>
      <c r="P254" s="258" t="s">
        <v>86</v>
      </c>
      <c r="Q254" s="258" t="s">
        <v>88</v>
      </c>
      <c r="R254" s="258" t="e">
        <v>#N/A</v>
      </c>
      <c r="S254" s="410">
        <v>9</v>
      </c>
      <c r="T254" s="261">
        <v>6</v>
      </c>
      <c r="U254" s="261">
        <v>6</v>
      </c>
      <c r="V254" s="258" t="s">
        <v>3993</v>
      </c>
      <c r="W254" s="261" t="str">
        <f t="shared" si="45"/>
        <v>현대자동차포터ⅡCRDi 133마력 2WD 더블캡 초장축 Modern M/T18220000</v>
      </c>
      <c r="X254" s="411">
        <f t="shared" si="46"/>
        <v>4028</v>
      </c>
      <c r="Y254" s="261">
        <v>6</v>
      </c>
      <c r="Z254" s="261">
        <v>6</v>
      </c>
      <c r="AA254" s="407" t="s">
        <v>849</v>
      </c>
      <c r="AB254" s="258" t="e">
        <v>#N/A</v>
      </c>
      <c r="AC254" s="258"/>
      <c r="AD254" s="258" t="s">
        <v>2131</v>
      </c>
      <c r="AE254" s="258" t="s">
        <v>2129</v>
      </c>
      <c r="AF254" s="259"/>
      <c r="AG254" s="260"/>
      <c r="AH254" s="259"/>
      <c r="AI254" s="259"/>
      <c r="AJ254" s="260"/>
      <c r="AK254" s="259">
        <v>26</v>
      </c>
      <c r="AL254" s="259"/>
      <c r="AM254" s="259" t="s">
        <v>3222</v>
      </c>
      <c r="AN254" s="449"/>
      <c r="AO254" s="449"/>
      <c r="AP254" s="449"/>
      <c r="AQ254" s="392" t="str">
        <f>IFERROR(VLOOKUP(BG254,#REF!,1,0),"")</f>
        <v/>
      </c>
      <c r="AS254" s="259" t="s">
        <v>3222</v>
      </c>
      <c r="BD254" s="202" t="str">
        <f t="shared" si="38"/>
        <v>포터ⅡCRDi 133마력 2WD 더블캡 초장축 Modern M/T</v>
      </c>
      <c r="BE254" s="261" t="str">
        <f t="shared" si="44"/>
        <v>0025</v>
      </c>
      <c r="BF254" s="407" t="s">
        <v>849</v>
      </c>
      <c r="BG254" s="202" t="str">
        <f t="shared" si="39"/>
        <v>0025-0253</v>
      </c>
    </row>
    <row r="255" spans="1:59">
      <c r="A255" s="405">
        <v>4029</v>
      </c>
      <c r="B255" s="406">
        <v>4029</v>
      </c>
      <c r="C255" s="261" t="str">
        <f t="shared" si="40"/>
        <v>0005-0025</v>
      </c>
      <c r="D255" s="261" t="str">
        <f t="shared" si="41"/>
        <v>0005-0025-0019</v>
      </c>
      <c r="E255" s="407" t="s">
        <v>848</v>
      </c>
      <c r="F255" s="261" t="str">
        <f>TEXT(VLOOKUP(J255,'[3]1'!$B$2:$D$37,2,0),"0000")</f>
        <v>0005</v>
      </c>
      <c r="G255" s="261" t="str">
        <f t="shared" si="42"/>
        <v>0025</v>
      </c>
      <c r="H255" s="408">
        <f t="shared" si="43"/>
        <v>19</v>
      </c>
      <c r="I255" s="407" t="s">
        <v>848</v>
      </c>
      <c r="J255" s="258" t="s">
        <v>294</v>
      </c>
      <c r="K255" s="258" t="s">
        <v>2770</v>
      </c>
      <c r="L255" s="258" t="s">
        <v>2626</v>
      </c>
      <c r="M255" s="409">
        <v>19340000</v>
      </c>
      <c r="N255" s="258">
        <v>2497</v>
      </c>
      <c r="O255" s="258" t="s">
        <v>78</v>
      </c>
      <c r="P255" s="258" t="s">
        <v>86</v>
      </c>
      <c r="Q255" s="258" t="s">
        <v>72</v>
      </c>
      <c r="R255" s="258" t="e">
        <v>#N/A</v>
      </c>
      <c r="S255" s="410">
        <v>9</v>
      </c>
      <c r="T255" s="261">
        <v>6</v>
      </c>
      <c r="U255" s="261">
        <v>6</v>
      </c>
      <c r="V255" s="258" t="s">
        <v>3993</v>
      </c>
      <c r="W255" s="261" t="str">
        <f t="shared" si="45"/>
        <v>현대자동차포터ⅡCRDi 133마력 4WD 슈퍼캡 장축 Premium A/T19340000</v>
      </c>
      <c r="X255" s="411">
        <f t="shared" si="46"/>
        <v>4029</v>
      </c>
      <c r="Y255" s="261">
        <v>6</v>
      </c>
      <c r="Z255" s="261">
        <v>6</v>
      </c>
      <c r="AA255" s="407" t="s">
        <v>848</v>
      </c>
      <c r="AB255" s="258" t="e">
        <v>#N/A</v>
      </c>
      <c r="AC255" s="258"/>
      <c r="AD255" s="258" t="s">
        <v>2131</v>
      </c>
      <c r="AE255" s="258" t="s">
        <v>2129</v>
      </c>
      <c r="AF255" s="259"/>
      <c r="AG255" s="260"/>
      <c r="AH255" s="259"/>
      <c r="AI255" s="259"/>
      <c r="AJ255" s="260"/>
      <c r="AK255" s="259">
        <v>26</v>
      </c>
      <c r="AL255" s="259"/>
      <c r="AM255" s="259" t="s">
        <v>3222</v>
      </c>
      <c r="AN255" s="449"/>
      <c r="AO255" s="449"/>
      <c r="AP255" s="449"/>
      <c r="AQ255" s="392" t="str">
        <f>IFERROR(VLOOKUP(BG255,#REF!,1,0),"")</f>
        <v/>
      </c>
      <c r="AS255" s="259" t="s">
        <v>3222</v>
      </c>
      <c r="BD255" s="202" t="str">
        <f t="shared" si="38"/>
        <v>포터ⅡCRDi 133마력 4WD 슈퍼캡 장축 Premium A/T</v>
      </c>
      <c r="BE255" s="261" t="str">
        <f t="shared" si="44"/>
        <v>0025</v>
      </c>
      <c r="BF255" s="407" t="s">
        <v>848</v>
      </c>
      <c r="BG255" s="202" t="str">
        <f t="shared" si="39"/>
        <v>0025-0254</v>
      </c>
    </row>
    <row r="256" spans="1:59">
      <c r="A256" s="405">
        <v>4030</v>
      </c>
      <c r="B256" s="406">
        <v>4030</v>
      </c>
      <c r="C256" s="261" t="str">
        <f t="shared" si="40"/>
        <v>0005-0025</v>
      </c>
      <c r="D256" s="261" t="str">
        <f t="shared" si="41"/>
        <v>0005-0025-0020</v>
      </c>
      <c r="E256" s="407" t="s">
        <v>847</v>
      </c>
      <c r="F256" s="261" t="str">
        <f>TEXT(VLOOKUP(J256,'[3]1'!$B$2:$D$37,2,0),"0000")</f>
        <v>0005</v>
      </c>
      <c r="G256" s="261" t="str">
        <f t="shared" si="42"/>
        <v>0025</v>
      </c>
      <c r="H256" s="408">
        <f t="shared" si="43"/>
        <v>20</v>
      </c>
      <c r="I256" s="407" t="s">
        <v>847</v>
      </c>
      <c r="J256" s="258" t="s">
        <v>294</v>
      </c>
      <c r="K256" s="258" t="s">
        <v>2770</v>
      </c>
      <c r="L256" s="258" t="s">
        <v>2627</v>
      </c>
      <c r="M256" s="409">
        <v>15200000</v>
      </c>
      <c r="N256" s="258">
        <v>2497</v>
      </c>
      <c r="O256" s="258" t="s">
        <v>78</v>
      </c>
      <c r="P256" s="258" t="s">
        <v>86</v>
      </c>
      <c r="Q256" s="258" t="s">
        <v>88</v>
      </c>
      <c r="R256" s="258">
        <v>5</v>
      </c>
      <c r="S256" s="410">
        <v>9</v>
      </c>
      <c r="T256" s="261">
        <v>6</v>
      </c>
      <c r="U256" s="261">
        <v>6</v>
      </c>
      <c r="V256" s="258" t="s">
        <v>71</v>
      </c>
      <c r="W256" s="261" t="str">
        <f t="shared" si="45"/>
        <v>현대자동차포터ⅡCRDi 133마력 2WD 일반캡 초장축 Style M/T15200000</v>
      </c>
      <c r="X256" s="411">
        <f t="shared" si="46"/>
        <v>4030</v>
      </c>
      <c r="Y256" s="261">
        <v>6</v>
      </c>
      <c r="Z256" s="261">
        <v>6</v>
      </c>
      <c r="AA256" s="407" t="s">
        <v>847</v>
      </c>
      <c r="AB256" s="258" t="s">
        <v>73</v>
      </c>
      <c r="AC256" s="258"/>
      <c r="AD256" s="258" t="s">
        <v>2131</v>
      </c>
      <c r="AE256" s="258" t="s">
        <v>2129</v>
      </c>
      <c r="AF256" s="259"/>
      <c r="AG256" s="260"/>
      <c r="AH256" s="259"/>
      <c r="AI256" s="259"/>
      <c r="AJ256" s="260"/>
      <c r="AK256" s="259">
        <v>26</v>
      </c>
      <c r="AL256" s="259"/>
      <c r="AM256" s="259" t="s">
        <v>3222</v>
      </c>
      <c r="AN256" s="449"/>
      <c r="AO256" s="449"/>
      <c r="AP256" s="449"/>
      <c r="AQ256" s="392" t="str">
        <f>IFERROR(VLOOKUP(BG256,#REF!,1,0),"")</f>
        <v/>
      </c>
      <c r="AS256" s="259" t="s">
        <v>3222</v>
      </c>
      <c r="BD256" s="202" t="str">
        <f t="shared" si="38"/>
        <v>포터ⅡCRDi 133마력 2WD 일반캡 초장축 Style M/T</v>
      </c>
      <c r="BE256" s="261" t="str">
        <f t="shared" si="44"/>
        <v>0025</v>
      </c>
      <c r="BF256" s="407" t="s">
        <v>847</v>
      </c>
      <c r="BG256" s="202" t="str">
        <f t="shared" si="39"/>
        <v>0025-0255</v>
      </c>
    </row>
    <row r="257" spans="1:59">
      <c r="A257" s="405">
        <v>4031</v>
      </c>
      <c r="B257" s="406">
        <v>4031</v>
      </c>
      <c r="C257" s="261" t="str">
        <f t="shared" si="40"/>
        <v>0005-0025</v>
      </c>
      <c r="D257" s="261" t="str">
        <f t="shared" si="41"/>
        <v>0005-0025-0021</v>
      </c>
      <c r="E257" s="407" t="s">
        <v>846</v>
      </c>
      <c r="F257" s="261" t="str">
        <f>TEXT(VLOOKUP(J257,'[3]1'!$B$2:$D$37,2,0),"0000")</f>
        <v>0005</v>
      </c>
      <c r="G257" s="261" t="str">
        <f t="shared" si="42"/>
        <v>0025</v>
      </c>
      <c r="H257" s="408">
        <f t="shared" si="43"/>
        <v>21</v>
      </c>
      <c r="I257" s="407" t="s">
        <v>846</v>
      </c>
      <c r="J257" s="258" t="s">
        <v>294</v>
      </c>
      <c r="K257" s="258" t="s">
        <v>2770</v>
      </c>
      <c r="L257" s="258" t="s">
        <v>2628</v>
      </c>
      <c r="M257" s="409">
        <v>17050000</v>
      </c>
      <c r="N257" s="258">
        <v>2497</v>
      </c>
      <c r="O257" s="258" t="s">
        <v>78</v>
      </c>
      <c r="P257" s="258" t="s">
        <v>86</v>
      </c>
      <c r="Q257" s="258" t="s">
        <v>88</v>
      </c>
      <c r="R257" s="258">
        <v>5</v>
      </c>
      <c r="S257" s="410">
        <v>9</v>
      </c>
      <c r="T257" s="261">
        <v>6</v>
      </c>
      <c r="U257" s="261">
        <v>6</v>
      </c>
      <c r="V257" s="258" t="s">
        <v>71</v>
      </c>
      <c r="W257" s="261" t="str">
        <f t="shared" si="45"/>
        <v>현대자동차포터ⅡCRDi 133마력 4WD 일반캡 장축 Style M/T17050000</v>
      </c>
      <c r="X257" s="411">
        <f t="shared" si="46"/>
        <v>4031</v>
      </c>
      <c r="Y257" s="261">
        <v>6</v>
      </c>
      <c r="Z257" s="261">
        <v>6</v>
      </c>
      <c r="AA257" s="407" t="s">
        <v>846</v>
      </c>
      <c r="AB257" s="258" t="s">
        <v>73</v>
      </c>
      <c r="AC257" s="258"/>
      <c r="AD257" s="258" t="s">
        <v>2131</v>
      </c>
      <c r="AE257" s="258" t="s">
        <v>2129</v>
      </c>
      <c r="AF257" s="259"/>
      <c r="AG257" s="260"/>
      <c r="AH257" s="259"/>
      <c r="AI257" s="259"/>
      <c r="AJ257" s="260"/>
      <c r="AK257" s="259">
        <v>26</v>
      </c>
      <c r="AL257" s="259"/>
      <c r="AM257" s="259" t="s">
        <v>3222</v>
      </c>
      <c r="AN257" s="449"/>
      <c r="AO257" s="449"/>
      <c r="AP257" s="449"/>
      <c r="AQ257" s="392" t="str">
        <f>IFERROR(VLOOKUP(BG257,#REF!,1,0),"")</f>
        <v/>
      </c>
      <c r="AS257" s="259" t="s">
        <v>3222</v>
      </c>
      <c r="BD257" s="202" t="str">
        <f t="shared" si="38"/>
        <v>포터ⅡCRDi 133마력 4WD 일반캡 장축 Style M/T</v>
      </c>
      <c r="BE257" s="261" t="str">
        <f t="shared" si="44"/>
        <v>0025</v>
      </c>
      <c r="BF257" s="407" t="s">
        <v>846</v>
      </c>
      <c r="BG257" s="202" t="str">
        <f t="shared" si="39"/>
        <v>0025-0256</v>
      </c>
    </row>
    <row r="258" spans="1:59">
      <c r="A258" s="405">
        <v>4032</v>
      </c>
      <c r="B258" s="406">
        <v>4032</v>
      </c>
      <c r="C258" s="261" t="str">
        <f t="shared" si="40"/>
        <v>0005-0025</v>
      </c>
      <c r="D258" s="261" t="str">
        <f t="shared" si="41"/>
        <v>0005-0025-0022</v>
      </c>
      <c r="E258" s="407" t="s">
        <v>845</v>
      </c>
      <c r="F258" s="261" t="str">
        <f>TEXT(VLOOKUP(J258,'[3]1'!$B$2:$D$37,2,0),"0000")</f>
        <v>0005</v>
      </c>
      <c r="G258" s="261" t="str">
        <f t="shared" si="42"/>
        <v>0025</v>
      </c>
      <c r="H258" s="408">
        <f t="shared" si="43"/>
        <v>22</v>
      </c>
      <c r="I258" s="407" t="s">
        <v>845</v>
      </c>
      <c r="J258" s="258" t="s">
        <v>294</v>
      </c>
      <c r="K258" s="258" t="s">
        <v>2770</v>
      </c>
      <c r="L258" s="258" t="s">
        <v>2629</v>
      </c>
      <c r="M258" s="409">
        <v>15750000</v>
      </c>
      <c r="N258" s="258">
        <v>2497</v>
      </c>
      <c r="O258" s="258" t="s">
        <v>78</v>
      </c>
      <c r="P258" s="258" t="s">
        <v>86</v>
      </c>
      <c r="Q258" s="258" t="s">
        <v>88</v>
      </c>
      <c r="R258" s="258">
        <v>5</v>
      </c>
      <c r="S258" s="410">
        <v>9</v>
      </c>
      <c r="T258" s="261">
        <v>6</v>
      </c>
      <c r="U258" s="261">
        <v>6</v>
      </c>
      <c r="V258" s="258" t="s">
        <v>71</v>
      </c>
      <c r="W258" s="261" t="str">
        <f t="shared" si="45"/>
        <v>현대자동차포터ⅡCRDi 133마력 2WD 일반캡 초장축 Smart M/T15750000</v>
      </c>
      <c r="X258" s="411">
        <f t="shared" si="46"/>
        <v>4032</v>
      </c>
      <c r="Y258" s="261">
        <v>6</v>
      </c>
      <c r="Z258" s="261">
        <v>6</v>
      </c>
      <c r="AA258" s="407" t="s">
        <v>845</v>
      </c>
      <c r="AB258" s="258" t="s">
        <v>73</v>
      </c>
      <c r="AC258" s="258"/>
      <c r="AD258" s="258" t="s">
        <v>2131</v>
      </c>
      <c r="AE258" s="258" t="s">
        <v>2129</v>
      </c>
      <c r="AF258" s="259"/>
      <c r="AG258" s="260"/>
      <c r="AH258" s="259"/>
      <c r="AI258" s="259"/>
      <c r="AJ258" s="260"/>
      <c r="AK258" s="259">
        <v>26</v>
      </c>
      <c r="AL258" s="259"/>
      <c r="AM258" s="259" t="s">
        <v>3222</v>
      </c>
      <c r="AN258" s="449"/>
      <c r="AO258" s="449"/>
      <c r="AP258" s="449"/>
      <c r="AQ258" s="392" t="str">
        <f>IFERROR(VLOOKUP(BG258,#REF!,1,0),"")</f>
        <v/>
      </c>
      <c r="AS258" s="259" t="s">
        <v>3222</v>
      </c>
      <c r="BD258" s="202" t="str">
        <f t="shared" si="38"/>
        <v>포터ⅡCRDi 133마력 2WD 일반캡 초장축 Smart M/T</v>
      </c>
      <c r="BE258" s="261" t="str">
        <f t="shared" si="44"/>
        <v>0025</v>
      </c>
      <c r="BF258" s="407" t="s">
        <v>845</v>
      </c>
      <c r="BG258" s="202" t="str">
        <f t="shared" si="39"/>
        <v>0025-0257</v>
      </c>
    </row>
    <row r="259" spans="1:59">
      <c r="A259" s="405">
        <v>4033</v>
      </c>
      <c r="B259" s="406">
        <v>4033</v>
      </c>
      <c r="C259" s="261" t="str">
        <f t="shared" si="40"/>
        <v>0005-0025</v>
      </c>
      <c r="D259" s="261" t="str">
        <f t="shared" si="41"/>
        <v>0005-0025-0023</v>
      </c>
      <c r="E259" s="407" t="s">
        <v>844</v>
      </c>
      <c r="F259" s="261" t="str">
        <f>TEXT(VLOOKUP(J259,'[3]1'!$B$2:$D$37,2,0),"0000")</f>
        <v>0005</v>
      </c>
      <c r="G259" s="261" t="str">
        <f t="shared" si="42"/>
        <v>0025</v>
      </c>
      <c r="H259" s="408">
        <f t="shared" si="43"/>
        <v>23</v>
      </c>
      <c r="I259" s="407" t="s">
        <v>844</v>
      </c>
      <c r="J259" s="258" t="s">
        <v>294</v>
      </c>
      <c r="K259" s="258" t="s">
        <v>2770</v>
      </c>
      <c r="L259" s="258" t="s">
        <v>2630</v>
      </c>
      <c r="M259" s="409">
        <v>17950000</v>
      </c>
      <c r="N259" s="258">
        <v>2497</v>
      </c>
      <c r="O259" s="258" t="s">
        <v>78</v>
      </c>
      <c r="P259" s="258" t="s">
        <v>86</v>
      </c>
      <c r="Q259" s="258" t="s">
        <v>88</v>
      </c>
      <c r="R259" s="258" t="e">
        <v>#N/A</v>
      </c>
      <c r="S259" s="410">
        <v>9</v>
      </c>
      <c r="T259" s="261">
        <v>6</v>
      </c>
      <c r="U259" s="261">
        <v>6</v>
      </c>
      <c r="V259" s="258" t="s">
        <v>3993</v>
      </c>
      <c r="W259" s="261" t="str">
        <f t="shared" si="45"/>
        <v>현대자동차포터ⅡCRDi 133마력 2WD 일반캡 초장축 Premium M/T17950000</v>
      </c>
      <c r="X259" s="411">
        <f t="shared" si="46"/>
        <v>4033</v>
      </c>
      <c r="Y259" s="261">
        <v>6</v>
      </c>
      <c r="Z259" s="261">
        <v>6</v>
      </c>
      <c r="AA259" s="407" t="s">
        <v>844</v>
      </c>
      <c r="AB259" s="258" t="e">
        <v>#N/A</v>
      </c>
      <c r="AC259" s="258"/>
      <c r="AD259" s="258" t="s">
        <v>2131</v>
      </c>
      <c r="AE259" s="258" t="s">
        <v>2129</v>
      </c>
      <c r="AF259" s="259"/>
      <c r="AG259" s="260"/>
      <c r="AH259" s="259"/>
      <c r="AI259" s="259"/>
      <c r="AJ259" s="260"/>
      <c r="AK259" s="259">
        <v>26</v>
      </c>
      <c r="AL259" s="259"/>
      <c r="AM259" s="259" t="s">
        <v>3222</v>
      </c>
      <c r="AN259" s="449"/>
      <c r="AO259" s="449"/>
      <c r="AP259" s="449"/>
      <c r="AQ259" s="392" t="str">
        <f>IFERROR(VLOOKUP(BG259,#REF!,1,0),"")</f>
        <v/>
      </c>
      <c r="AS259" s="259" t="s">
        <v>3222</v>
      </c>
      <c r="BD259" s="202" t="str">
        <f t="shared" si="38"/>
        <v>포터ⅡCRDi 133마력 2WD 일반캡 초장축 Premium M/T</v>
      </c>
      <c r="BE259" s="261" t="str">
        <f t="shared" si="44"/>
        <v>0025</v>
      </c>
      <c r="BF259" s="407" t="s">
        <v>844</v>
      </c>
      <c r="BG259" s="202" t="str">
        <f t="shared" si="39"/>
        <v>0025-0258</v>
      </c>
    </row>
    <row r="260" spans="1:59">
      <c r="A260" s="405">
        <v>4034</v>
      </c>
      <c r="B260" s="406">
        <v>4034</v>
      </c>
      <c r="C260" s="261" t="str">
        <f t="shared" si="40"/>
        <v>0005-0025</v>
      </c>
      <c r="D260" s="261" t="str">
        <f t="shared" si="41"/>
        <v>0005-0025-0024</v>
      </c>
      <c r="E260" s="407" t="s">
        <v>843</v>
      </c>
      <c r="F260" s="261" t="str">
        <f>TEXT(VLOOKUP(J260,'[3]1'!$B$2:$D$37,2,0),"0000")</f>
        <v>0005</v>
      </c>
      <c r="G260" s="261" t="str">
        <f t="shared" si="42"/>
        <v>0025</v>
      </c>
      <c r="H260" s="408">
        <f t="shared" si="43"/>
        <v>24</v>
      </c>
      <c r="I260" s="407" t="s">
        <v>843</v>
      </c>
      <c r="J260" s="258" t="s">
        <v>294</v>
      </c>
      <c r="K260" s="258" t="s">
        <v>2770</v>
      </c>
      <c r="L260" s="258" t="s">
        <v>2631</v>
      </c>
      <c r="M260" s="409">
        <v>15300000</v>
      </c>
      <c r="N260" s="258">
        <v>2497</v>
      </c>
      <c r="O260" s="258" t="s">
        <v>78</v>
      </c>
      <c r="P260" s="258" t="s">
        <v>86</v>
      </c>
      <c r="Q260" s="258" t="s">
        <v>88</v>
      </c>
      <c r="R260" s="258" t="e">
        <v>#N/A</v>
      </c>
      <c r="S260" s="410">
        <v>9</v>
      </c>
      <c r="T260" s="261">
        <v>6</v>
      </c>
      <c r="U260" s="261">
        <v>6</v>
      </c>
      <c r="V260" s="258" t="s">
        <v>3993</v>
      </c>
      <c r="W260" s="261" t="str">
        <f t="shared" si="45"/>
        <v>현대자동차포터ⅡCRDi 133마력 2WD 슈퍼캡 초장축 Style M/T15300000</v>
      </c>
      <c r="X260" s="411">
        <f t="shared" si="46"/>
        <v>4034</v>
      </c>
      <c r="Y260" s="261">
        <v>6</v>
      </c>
      <c r="Z260" s="261">
        <v>6</v>
      </c>
      <c r="AA260" s="407" t="s">
        <v>843</v>
      </c>
      <c r="AB260" s="258" t="e">
        <v>#N/A</v>
      </c>
      <c r="AC260" s="258"/>
      <c r="AD260" s="258" t="s">
        <v>2131</v>
      </c>
      <c r="AE260" s="258" t="s">
        <v>2129</v>
      </c>
      <c r="AF260" s="259"/>
      <c r="AG260" s="260"/>
      <c r="AH260" s="259"/>
      <c r="AI260" s="259"/>
      <c r="AJ260" s="260"/>
      <c r="AK260" s="259">
        <v>26</v>
      </c>
      <c r="AL260" s="259"/>
      <c r="AM260" s="259" t="s">
        <v>3222</v>
      </c>
      <c r="AN260" s="449"/>
      <c r="AO260" s="449"/>
      <c r="AP260" s="449"/>
      <c r="AQ260" s="392" t="str">
        <f>IFERROR(VLOOKUP(BG260,#REF!,1,0),"")</f>
        <v/>
      </c>
      <c r="AS260" s="259" t="s">
        <v>3222</v>
      </c>
      <c r="BD260" s="202" t="str">
        <f t="shared" si="38"/>
        <v>포터ⅡCRDi 133마력 2WD 슈퍼캡 초장축 Style M/T</v>
      </c>
      <c r="BE260" s="261" t="str">
        <f t="shared" si="44"/>
        <v>0025</v>
      </c>
      <c r="BF260" s="407" t="s">
        <v>843</v>
      </c>
      <c r="BG260" s="202" t="str">
        <f t="shared" si="39"/>
        <v>0025-0259</v>
      </c>
    </row>
    <row r="261" spans="1:59">
      <c r="A261" s="405">
        <v>4035</v>
      </c>
      <c r="B261" s="406">
        <v>4035</v>
      </c>
      <c r="C261" s="261" t="str">
        <f t="shared" si="40"/>
        <v>0005-0025</v>
      </c>
      <c r="D261" s="261" t="str">
        <f t="shared" si="41"/>
        <v>0005-0025-0025</v>
      </c>
      <c r="E261" s="407" t="s">
        <v>842</v>
      </c>
      <c r="F261" s="261" t="str">
        <f>TEXT(VLOOKUP(J261,'[3]1'!$B$2:$D$37,2,0),"0000")</f>
        <v>0005</v>
      </c>
      <c r="G261" s="261" t="str">
        <f t="shared" si="42"/>
        <v>0025</v>
      </c>
      <c r="H261" s="408">
        <f t="shared" si="43"/>
        <v>25</v>
      </c>
      <c r="I261" s="407" t="s">
        <v>842</v>
      </c>
      <c r="J261" s="258" t="s">
        <v>294</v>
      </c>
      <c r="K261" s="258" t="s">
        <v>2770</v>
      </c>
      <c r="L261" s="258" t="s">
        <v>2632</v>
      </c>
      <c r="M261" s="409">
        <v>16950000</v>
      </c>
      <c r="N261" s="258">
        <v>2497</v>
      </c>
      <c r="O261" s="258" t="s">
        <v>78</v>
      </c>
      <c r="P261" s="258" t="s">
        <v>86</v>
      </c>
      <c r="Q261" s="258" t="s">
        <v>88</v>
      </c>
      <c r="R261" s="258" t="e">
        <v>#N/A</v>
      </c>
      <c r="S261" s="410">
        <v>9</v>
      </c>
      <c r="T261" s="261">
        <v>6</v>
      </c>
      <c r="U261" s="261">
        <v>6</v>
      </c>
      <c r="V261" s="258" t="s">
        <v>3993</v>
      </c>
      <c r="W261" s="261" t="str">
        <f t="shared" si="45"/>
        <v>현대자동차포터ⅡCRDi 133마력 2WD 슈퍼캡 초장축 Modern M/T16950000</v>
      </c>
      <c r="X261" s="411">
        <f t="shared" si="46"/>
        <v>4035</v>
      </c>
      <c r="Y261" s="261">
        <v>6</v>
      </c>
      <c r="Z261" s="261">
        <v>6</v>
      </c>
      <c r="AA261" s="407" t="s">
        <v>842</v>
      </c>
      <c r="AB261" s="258" t="e">
        <v>#N/A</v>
      </c>
      <c r="AC261" s="258"/>
      <c r="AD261" s="258" t="s">
        <v>2131</v>
      </c>
      <c r="AE261" s="258" t="s">
        <v>2129</v>
      </c>
      <c r="AF261" s="259"/>
      <c r="AG261" s="260"/>
      <c r="AH261" s="259"/>
      <c r="AI261" s="259"/>
      <c r="AJ261" s="260"/>
      <c r="AK261" s="259">
        <v>26</v>
      </c>
      <c r="AL261" s="259"/>
      <c r="AM261" s="259" t="s">
        <v>3222</v>
      </c>
      <c r="AN261" s="449"/>
      <c r="AO261" s="449"/>
      <c r="AP261" s="449"/>
      <c r="AQ261" s="392" t="str">
        <f>IFERROR(VLOOKUP(BG261,#REF!,1,0),"")</f>
        <v/>
      </c>
      <c r="AS261" s="259" t="s">
        <v>3222</v>
      </c>
      <c r="BD261" s="202" t="str">
        <f t="shared" ref="BD261:BD324" si="47">K261&amp;L261</f>
        <v>포터ⅡCRDi 133마력 2WD 슈퍼캡 초장축 Modern M/T</v>
      </c>
      <c r="BE261" s="261" t="str">
        <f t="shared" si="44"/>
        <v>0025</v>
      </c>
      <c r="BF261" s="407" t="s">
        <v>842</v>
      </c>
      <c r="BG261" s="202" t="str">
        <f t="shared" ref="BG261:BG324" si="48">BE261&amp;"-"&amp;BF261</f>
        <v>0025-0260</v>
      </c>
    </row>
    <row r="262" spans="1:59" ht="18" customHeight="1">
      <c r="A262" s="405">
        <v>4036</v>
      </c>
      <c r="B262" s="406">
        <v>4036</v>
      </c>
      <c r="C262" s="261" t="str">
        <f t="shared" ref="C262:C325" si="49">TEXT(F262,"0000")&amp;"-"&amp;TEXT(G262,"0000")</f>
        <v>0005-0025</v>
      </c>
      <c r="D262" s="261" t="str">
        <f t="shared" ref="D262:D325" si="50">TEXT(F262,"0000")&amp;"-"&amp;TEXT(G262,"0000")&amp;"-"&amp;TEXT(H262,"0000")</f>
        <v>0005-0025-0026</v>
      </c>
      <c r="E262" s="407" t="s">
        <v>841</v>
      </c>
      <c r="F262" s="261" t="str">
        <f>TEXT(VLOOKUP(J262,'[3]1'!$B$2:$D$37,2,0),"0000")</f>
        <v>0005</v>
      </c>
      <c r="G262" s="261" t="str">
        <f t="shared" ref="G262:G325" si="51">IF(K262=K261,TEXT(G261,"0000"),TEXT(G261+1,"0000"))</f>
        <v>0025</v>
      </c>
      <c r="H262" s="408">
        <f t="shared" ref="H262:H325" si="52">IF(F262&amp;G262=F261&amp;G261,H261+1,1)</f>
        <v>26</v>
      </c>
      <c r="I262" s="407" t="s">
        <v>841</v>
      </c>
      <c r="J262" s="258" t="s">
        <v>294</v>
      </c>
      <c r="K262" s="258" t="s">
        <v>2770</v>
      </c>
      <c r="L262" s="258" t="s">
        <v>2633</v>
      </c>
      <c r="M262" s="409">
        <v>16820000</v>
      </c>
      <c r="N262" s="258">
        <v>2497</v>
      </c>
      <c r="O262" s="258" t="s">
        <v>78</v>
      </c>
      <c r="P262" s="258" t="s">
        <v>86</v>
      </c>
      <c r="Q262" s="258" t="s">
        <v>72</v>
      </c>
      <c r="R262" s="258">
        <v>7</v>
      </c>
      <c r="S262" s="410">
        <v>9</v>
      </c>
      <c r="T262" s="261">
        <v>6</v>
      </c>
      <c r="U262" s="261">
        <v>6</v>
      </c>
      <c r="V262" s="258" t="s">
        <v>71</v>
      </c>
      <c r="W262" s="261" t="str">
        <f t="shared" si="45"/>
        <v>현대자동차포터ⅡCRDi 133마력 2WD 더블캡 장축 Smart A/T16820000</v>
      </c>
      <c r="X262" s="411">
        <f t="shared" si="46"/>
        <v>4036</v>
      </c>
      <c r="Y262" s="261">
        <v>6</v>
      </c>
      <c r="Z262" s="261">
        <v>6</v>
      </c>
      <c r="AA262" s="407" t="s">
        <v>841</v>
      </c>
      <c r="AB262" s="258" t="s">
        <v>73</v>
      </c>
      <c r="AC262" s="258"/>
      <c r="AD262" s="258" t="s">
        <v>2131</v>
      </c>
      <c r="AE262" s="258" t="s">
        <v>2129</v>
      </c>
      <c r="AF262" s="259"/>
      <c r="AG262" s="260"/>
      <c r="AH262" s="259"/>
      <c r="AI262" s="259"/>
      <c r="AJ262" s="260"/>
      <c r="AK262" s="259">
        <v>26</v>
      </c>
      <c r="AL262" s="259"/>
      <c r="AM262" s="259" t="s">
        <v>3222</v>
      </c>
      <c r="AN262" s="449"/>
      <c r="AO262" s="449"/>
      <c r="AP262" s="449"/>
      <c r="AQ262" s="392" t="str">
        <f>IFERROR(VLOOKUP(BG262,#REF!,1,0),"")</f>
        <v/>
      </c>
      <c r="AS262" s="259" t="s">
        <v>3222</v>
      </c>
      <c r="BD262" s="202" t="str">
        <f t="shared" si="47"/>
        <v>포터ⅡCRDi 133마력 2WD 더블캡 장축 Smart A/T</v>
      </c>
      <c r="BE262" s="261" t="str">
        <f t="shared" ref="BE262:BE325" si="53">IF(K261=K262,TEXT(G261,"0000"),TEXT(G261+1,"0000"))</f>
        <v>0025</v>
      </c>
      <c r="BF262" s="407" t="s">
        <v>841</v>
      </c>
      <c r="BG262" s="202" t="str">
        <f t="shared" si="48"/>
        <v>0025-0261</v>
      </c>
    </row>
    <row r="263" spans="1:59">
      <c r="A263" s="405">
        <v>4037</v>
      </c>
      <c r="B263" s="406">
        <v>4037</v>
      </c>
      <c r="C263" s="261" t="str">
        <f t="shared" si="49"/>
        <v>0005-0025</v>
      </c>
      <c r="D263" s="261" t="str">
        <f t="shared" si="50"/>
        <v>0005-0025-0027</v>
      </c>
      <c r="E263" s="407" t="s">
        <v>840</v>
      </c>
      <c r="F263" s="261" t="str">
        <f>TEXT(VLOOKUP(J263,'[3]1'!$B$2:$D$37,2,0),"0000")</f>
        <v>0005</v>
      </c>
      <c r="G263" s="261" t="str">
        <f t="shared" si="51"/>
        <v>0025</v>
      </c>
      <c r="H263" s="408">
        <f t="shared" si="52"/>
        <v>27</v>
      </c>
      <c r="I263" s="407" t="s">
        <v>840</v>
      </c>
      <c r="J263" s="258" t="s">
        <v>294</v>
      </c>
      <c r="K263" s="258" t="s">
        <v>2770</v>
      </c>
      <c r="L263" s="258" t="s">
        <v>2634</v>
      </c>
      <c r="M263" s="409">
        <v>17120000</v>
      </c>
      <c r="N263" s="258">
        <v>2497</v>
      </c>
      <c r="O263" s="258" t="s">
        <v>78</v>
      </c>
      <c r="P263" s="258" t="s">
        <v>86</v>
      </c>
      <c r="Q263" s="258" t="s">
        <v>88</v>
      </c>
      <c r="R263" s="258">
        <v>5</v>
      </c>
      <c r="S263" s="410">
        <v>9</v>
      </c>
      <c r="T263" s="261">
        <v>6</v>
      </c>
      <c r="U263" s="261">
        <v>6</v>
      </c>
      <c r="V263" s="258" t="s">
        <v>71</v>
      </c>
      <c r="W263" s="261" t="str">
        <f t="shared" ref="W263:W326" si="54">J263&amp;K263&amp;L263&amp;M263</f>
        <v>현대자동차포터ⅡCRDi 133마력 2WD 더블캡 초장축 Smart M/T17120000</v>
      </c>
      <c r="X263" s="411">
        <f t="shared" ref="X263:X326" si="55">B263</f>
        <v>4037</v>
      </c>
      <c r="Y263" s="261">
        <v>6</v>
      </c>
      <c r="Z263" s="261">
        <v>6</v>
      </c>
      <c r="AA263" s="407" t="s">
        <v>840</v>
      </c>
      <c r="AB263" s="258" t="s">
        <v>73</v>
      </c>
      <c r="AC263" s="258"/>
      <c r="AD263" s="258" t="s">
        <v>2131</v>
      </c>
      <c r="AE263" s="258" t="s">
        <v>2129</v>
      </c>
      <c r="AF263" s="259"/>
      <c r="AG263" s="260"/>
      <c r="AH263" s="259"/>
      <c r="AI263" s="259"/>
      <c r="AJ263" s="260"/>
      <c r="AK263" s="259">
        <v>26</v>
      </c>
      <c r="AL263" s="259"/>
      <c r="AM263" s="259" t="s">
        <v>3222</v>
      </c>
      <c r="AN263" s="449"/>
      <c r="AO263" s="449"/>
      <c r="AP263" s="449"/>
      <c r="AQ263" s="392" t="str">
        <f>IFERROR(VLOOKUP(BG263,#REF!,1,0),"")</f>
        <v/>
      </c>
      <c r="AS263" s="259" t="s">
        <v>3222</v>
      </c>
      <c r="BD263" s="202" t="str">
        <f t="shared" si="47"/>
        <v>포터ⅡCRDi 133마력 2WD 더블캡 초장축 Smart M/T</v>
      </c>
      <c r="BE263" s="261" t="str">
        <f t="shared" si="53"/>
        <v>0025</v>
      </c>
      <c r="BF263" s="407" t="s">
        <v>840</v>
      </c>
      <c r="BG263" s="202" t="str">
        <f t="shared" si="48"/>
        <v>0025-0262</v>
      </c>
    </row>
    <row r="264" spans="1:59">
      <c r="A264" s="405">
        <v>4038</v>
      </c>
      <c r="B264" s="406">
        <v>4038</v>
      </c>
      <c r="C264" s="261" t="str">
        <f t="shared" si="49"/>
        <v>0005-0025</v>
      </c>
      <c r="D264" s="261" t="str">
        <f t="shared" si="50"/>
        <v>0005-0025-0028</v>
      </c>
      <c r="E264" s="407" t="s">
        <v>839</v>
      </c>
      <c r="F264" s="261" t="str">
        <f>TEXT(VLOOKUP(J264,'[3]1'!$B$2:$D$37,2,0),"0000")</f>
        <v>0005</v>
      </c>
      <c r="G264" s="261" t="str">
        <f t="shared" si="51"/>
        <v>0025</v>
      </c>
      <c r="H264" s="408">
        <f t="shared" si="52"/>
        <v>28</v>
      </c>
      <c r="I264" s="407" t="s">
        <v>839</v>
      </c>
      <c r="J264" s="258" t="s">
        <v>294</v>
      </c>
      <c r="K264" s="258" t="s">
        <v>2770</v>
      </c>
      <c r="L264" s="258" t="s">
        <v>2619</v>
      </c>
      <c r="M264" s="409">
        <v>19430000</v>
      </c>
      <c r="N264" s="258">
        <v>2497</v>
      </c>
      <c r="O264" s="258" t="s">
        <v>78</v>
      </c>
      <c r="P264" s="258" t="s">
        <v>86</v>
      </c>
      <c r="Q264" s="258" t="s">
        <v>88</v>
      </c>
      <c r="R264" s="258" t="e">
        <v>#N/A</v>
      </c>
      <c r="S264" s="410">
        <v>9</v>
      </c>
      <c r="T264" s="261">
        <v>6</v>
      </c>
      <c r="U264" s="261">
        <v>6</v>
      </c>
      <c r="V264" s="258" t="s">
        <v>3993</v>
      </c>
      <c r="W264" s="261" t="str">
        <f t="shared" si="54"/>
        <v>현대자동차포터ⅡCRDi 133마력 2WD 더블캡 초장축 Premium M/T19430000</v>
      </c>
      <c r="X264" s="411">
        <f t="shared" si="55"/>
        <v>4038</v>
      </c>
      <c r="Y264" s="261">
        <v>6</v>
      </c>
      <c r="Z264" s="261">
        <v>6</v>
      </c>
      <c r="AA264" s="407" t="s">
        <v>839</v>
      </c>
      <c r="AB264" s="258" t="e">
        <v>#N/A</v>
      </c>
      <c r="AC264" s="258"/>
      <c r="AD264" s="258" t="s">
        <v>2131</v>
      </c>
      <c r="AE264" s="258" t="s">
        <v>2129</v>
      </c>
      <c r="AF264" s="259"/>
      <c r="AG264" s="260"/>
      <c r="AH264" s="259"/>
      <c r="AI264" s="259"/>
      <c r="AJ264" s="260"/>
      <c r="AK264" s="259">
        <v>26</v>
      </c>
      <c r="AL264" s="259"/>
      <c r="AM264" s="259" t="s">
        <v>3222</v>
      </c>
      <c r="AN264" s="449"/>
      <c r="AO264" s="449"/>
      <c r="AP264" s="449"/>
      <c r="AQ264" s="392" t="str">
        <f>IFERROR(VLOOKUP(BG264,#REF!,1,0),"")</f>
        <v/>
      </c>
      <c r="AS264" s="259" t="s">
        <v>3222</v>
      </c>
      <c r="BD264" s="202" t="str">
        <f t="shared" si="47"/>
        <v>포터ⅡCRDi 133마력 2WD 더블캡 초장축 Premium M/T</v>
      </c>
      <c r="BE264" s="261" t="str">
        <f t="shared" si="53"/>
        <v>0025</v>
      </c>
      <c r="BF264" s="407" t="s">
        <v>839</v>
      </c>
      <c r="BG264" s="202" t="str">
        <f t="shared" si="48"/>
        <v>0025-0263</v>
      </c>
    </row>
    <row r="265" spans="1:59">
      <c r="A265" s="405">
        <v>4039</v>
      </c>
      <c r="B265" s="406">
        <v>4039</v>
      </c>
      <c r="C265" s="261" t="str">
        <f t="shared" si="49"/>
        <v>0005-0025</v>
      </c>
      <c r="D265" s="261" t="str">
        <f t="shared" si="50"/>
        <v>0005-0025-0029</v>
      </c>
      <c r="E265" s="407" t="s">
        <v>838</v>
      </c>
      <c r="F265" s="261" t="str">
        <f>TEXT(VLOOKUP(J265,'[3]1'!$B$2:$D$37,2,0),"0000")</f>
        <v>0005</v>
      </c>
      <c r="G265" s="261" t="str">
        <f t="shared" si="51"/>
        <v>0025</v>
      </c>
      <c r="H265" s="408">
        <f t="shared" si="52"/>
        <v>29</v>
      </c>
      <c r="I265" s="407" t="s">
        <v>838</v>
      </c>
      <c r="J265" s="258" t="s">
        <v>294</v>
      </c>
      <c r="K265" s="258" t="s">
        <v>2770</v>
      </c>
      <c r="L265" s="258" t="s">
        <v>2635</v>
      </c>
      <c r="M265" s="409">
        <v>16870000</v>
      </c>
      <c r="N265" s="258">
        <v>2497</v>
      </c>
      <c r="O265" s="258" t="s">
        <v>78</v>
      </c>
      <c r="P265" s="258" t="s">
        <v>86</v>
      </c>
      <c r="Q265" s="258" t="s">
        <v>72</v>
      </c>
      <c r="R265" s="258">
        <v>5</v>
      </c>
      <c r="S265" s="410">
        <v>9</v>
      </c>
      <c r="T265" s="261">
        <v>6</v>
      </c>
      <c r="U265" s="261">
        <v>6</v>
      </c>
      <c r="V265" s="258" t="s">
        <v>71</v>
      </c>
      <c r="W265" s="261" t="str">
        <f t="shared" si="54"/>
        <v>현대자동차포터ⅡCRDi 133마력 2WD 일반캡 초장축 Smart A/T16870000</v>
      </c>
      <c r="X265" s="411">
        <f t="shared" si="55"/>
        <v>4039</v>
      </c>
      <c r="Y265" s="261">
        <v>6</v>
      </c>
      <c r="Z265" s="261">
        <v>6</v>
      </c>
      <c r="AA265" s="407" t="s">
        <v>838</v>
      </c>
      <c r="AB265" s="258" t="s">
        <v>73</v>
      </c>
      <c r="AC265" s="258"/>
      <c r="AD265" s="258" t="s">
        <v>2131</v>
      </c>
      <c r="AE265" s="258" t="s">
        <v>2129</v>
      </c>
      <c r="AF265" s="259"/>
      <c r="AG265" s="260"/>
      <c r="AH265" s="259"/>
      <c r="AI265" s="259"/>
      <c r="AJ265" s="260"/>
      <c r="AK265" s="259">
        <v>26</v>
      </c>
      <c r="AL265" s="259"/>
      <c r="AM265" s="259" t="s">
        <v>3222</v>
      </c>
      <c r="AN265" s="449"/>
      <c r="AO265" s="449"/>
      <c r="AP265" s="449"/>
      <c r="AQ265" s="392" t="str">
        <f>IFERROR(VLOOKUP(BG265,#REF!,1,0),"")</f>
        <v/>
      </c>
      <c r="AS265" s="259" t="s">
        <v>3222</v>
      </c>
      <c r="BD265" s="202" t="str">
        <f t="shared" si="47"/>
        <v>포터ⅡCRDi 133마력 2WD 일반캡 초장축 Smart A/T</v>
      </c>
      <c r="BE265" s="261" t="str">
        <f t="shared" si="53"/>
        <v>0025</v>
      </c>
      <c r="BF265" s="407" t="s">
        <v>838</v>
      </c>
      <c r="BG265" s="202" t="str">
        <f t="shared" si="48"/>
        <v>0025-0264</v>
      </c>
    </row>
    <row r="266" spans="1:59">
      <c r="A266" s="405">
        <v>4040</v>
      </c>
      <c r="B266" s="406">
        <v>4040</v>
      </c>
      <c r="C266" s="261" t="str">
        <f t="shared" si="49"/>
        <v>0005-0025</v>
      </c>
      <c r="D266" s="261" t="str">
        <f t="shared" si="50"/>
        <v>0005-0025-0030</v>
      </c>
      <c r="E266" s="407" t="s">
        <v>837</v>
      </c>
      <c r="F266" s="261" t="str">
        <f>TEXT(VLOOKUP(J266,'[3]1'!$B$2:$D$37,2,0),"0000")</f>
        <v>0005</v>
      </c>
      <c r="G266" s="261" t="str">
        <f t="shared" si="51"/>
        <v>0025</v>
      </c>
      <c r="H266" s="408">
        <f t="shared" si="52"/>
        <v>30</v>
      </c>
      <c r="I266" s="407" t="s">
        <v>837</v>
      </c>
      <c r="J266" s="258" t="s">
        <v>294</v>
      </c>
      <c r="K266" s="258" t="s">
        <v>2770</v>
      </c>
      <c r="L266" s="258" t="s">
        <v>2636</v>
      </c>
      <c r="M266" s="409">
        <v>18290000</v>
      </c>
      <c r="N266" s="258">
        <v>2497</v>
      </c>
      <c r="O266" s="258" t="s">
        <v>78</v>
      </c>
      <c r="P266" s="258" t="s">
        <v>86</v>
      </c>
      <c r="Q266" s="258" t="s">
        <v>72</v>
      </c>
      <c r="R266" s="258">
        <v>5</v>
      </c>
      <c r="S266" s="410">
        <v>9</v>
      </c>
      <c r="T266" s="261">
        <v>6</v>
      </c>
      <c r="U266" s="261">
        <v>6</v>
      </c>
      <c r="V266" s="258" t="s">
        <v>71</v>
      </c>
      <c r="W266" s="261" t="str">
        <f t="shared" si="54"/>
        <v>현대자동차포터ⅡCRDi 133마력 4WD 일반캡 장축 Modern A/T18290000</v>
      </c>
      <c r="X266" s="411">
        <f t="shared" si="55"/>
        <v>4040</v>
      </c>
      <c r="Y266" s="261">
        <v>6</v>
      </c>
      <c r="Z266" s="261">
        <v>6</v>
      </c>
      <c r="AA266" s="407" t="s">
        <v>837</v>
      </c>
      <c r="AB266" s="258" t="s">
        <v>73</v>
      </c>
      <c r="AC266" s="258"/>
      <c r="AD266" s="258" t="s">
        <v>2131</v>
      </c>
      <c r="AE266" s="258" t="s">
        <v>2129</v>
      </c>
      <c r="AF266" s="259"/>
      <c r="AG266" s="260"/>
      <c r="AH266" s="259"/>
      <c r="AI266" s="259"/>
      <c r="AJ266" s="260"/>
      <c r="AK266" s="259">
        <v>26</v>
      </c>
      <c r="AL266" s="259"/>
      <c r="AM266" s="259" t="s">
        <v>3222</v>
      </c>
      <c r="AN266" s="449"/>
      <c r="AO266" s="449"/>
      <c r="AP266" s="449"/>
      <c r="AQ266" s="392" t="str">
        <f>IFERROR(VLOOKUP(BG266,#REF!,1,0),"")</f>
        <v/>
      </c>
      <c r="AS266" s="259" t="s">
        <v>3222</v>
      </c>
      <c r="BD266" s="202" t="str">
        <f t="shared" si="47"/>
        <v>포터ⅡCRDi 133마력 4WD 일반캡 장축 Modern A/T</v>
      </c>
      <c r="BE266" s="261" t="str">
        <f t="shared" si="53"/>
        <v>0025</v>
      </c>
      <c r="BF266" s="407" t="s">
        <v>837</v>
      </c>
      <c r="BG266" s="202" t="str">
        <f t="shared" si="48"/>
        <v>0025-0265</v>
      </c>
    </row>
    <row r="267" spans="1:59">
      <c r="A267" s="405">
        <v>4041</v>
      </c>
      <c r="B267" s="406">
        <v>4041</v>
      </c>
      <c r="C267" s="261" t="str">
        <f t="shared" si="49"/>
        <v>0005-0025</v>
      </c>
      <c r="D267" s="261" t="str">
        <f t="shared" si="50"/>
        <v>0005-0025-0031</v>
      </c>
      <c r="E267" s="407" t="s">
        <v>836</v>
      </c>
      <c r="F267" s="261" t="str">
        <f>TEXT(VLOOKUP(J267,'[3]1'!$B$2:$D$37,2,0),"0000")</f>
        <v>0005</v>
      </c>
      <c r="G267" s="261" t="str">
        <f t="shared" si="51"/>
        <v>0025</v>
      </c>
      <c r="H267" s="408">
        <f t="shared" si="52"/>
        <v>31</v>
      </c>
      <c r="I267" s="407" t="s">
        <v>836</v>
      </c>
      <c r="J267" s="258" t="s">
        <v>294</v>
      </c>
      <c r="K267" s="258" t="s">
        <v>2770</v>
      </c>
      <c r="L267" s="258" t="s">
        <v>2637</v>
      </c>
      <c r="M267" s="409">
        <v>16570000</v>
      </c>
      <c r="N267" s="258">
        <v>2497</v>
      </c>
      <c r="O267" s="258" t="s">
        <v>78</v>
      </c>
      <c r="P267" s="258" t="s">
        <v>86</v>
      </c>
      <c r="Q267" s="258" t="s">
        <v>88</v>
      </c>
      <c r="R267" s="258">
        <v>3</v>
      </c>
      <c r="S267" s="410">
        <v>9</v>
      </c>
      <c r="T267" s="261">
        <v>6</v>
      </c>
      <c r="U267" s="261">
        <v>6</v>
      </c>
      <c r="V267" s="258" t="s">
        <v>71</v>
      </c>
      <c r="W267" s="261" t="str">
        <f t="shared" si="54"/>
        <v>현대자동차포터ⅡCRDi 133마력 2WD 더블캡 초장축 Style M/T16570000</v>
      </c>
      <c r="X267" s="411">
        <f t="shared" si="55"/>
        <v>4041</v>
      </c>
      <c r="Y267" s="261">
        <v>6</v>
      </c>
      <c r="Z267" s="261">
        <v>6</v>
      </c>
      <c r="AA267" s="407" t="s">
        <v>836</v>
      </c>
      <c r="AB267" s="258" t="s">
        <v>86</v>
      </c>
      <c r="AC267" s="258"/>
      <c r="AD267" s="258" t="s">
        <v>2131</v>
      </c>
      <c r="AE267" s="258" t="s">
        <v>2129</v>
      </c>
      <c r="AF267" s="259"/>
      <c r="AG267" s="260"/>
      <c r="AH267" s="259"/>
      <c r="AI267" s="259"/>
      <c r="AJ267" s="260"/>
      <c r="AK267" s="259">
        <v>26</v>
      </c>
      <c r="AL267" s="259"/>
      <c r="AM267" s="259" t="s">
        <v>3222</v>
      </c>
      <c r="AN267" s="449"/>
      <c r="AO267" s="449"/>
      <c r="AP267" s="449"/>
      <c r="AQ267" s="392" t="str">
        <f>IFERROR(VLOOKUP(BG267,#REF!,1,0),"")</f>
        <v/>
      </c>
      <c r="AS267" s="259" t="s">
        <v>3222</v>
      </c>
      <c r="BD267" s="202" t="str">
        <f t="shared" si="47"/>
        <v>포터ⅡCRDi 133마력 2WD 더블캡 초장축 Style M/T</v>
      </c>
      <c r="BE267" s="261" t="str">
        <f t="shared" si="53"/>
        <v>0025</v>
      </c>
      <c r="BF267" s="407" t="s">
        <v>836</v>
      </c>
      <c r="BG267" s="202" t="str">
        <f t="shared" si="48"/>
        <v>0025-0266</v>
      </c>
    </row>
    <row r="268" spans="1:59">
      <c r="A268" s="405">
        <v>4042</v>
      </c>
      <c r="B268" s="406">
        <v>4042</v>
      </c>
      <c r="C268" s="261" t="str">
        <f t="shared" si="49"/>
        <v>0005-0025</v>
      </c>
      <c r="D268" s="261" t="str">
        <f t="shared" si="50"/>
        <v>0005-0025-0032</v>
      </c>
      <c r="E268" s="407" t="s">
        <v>835</v>
      </c>
      <c r="F268" s="261" t="str">
        <f>TEXT(VLOOKUP(J268,'[3]1'!$B$2:$D$37,2,0),"0000")</f>
        <v>0005</v>
      </c>
      <c r="G268" s="261" t="str">
        <f t="shared" si="51"/>
        <v>0025</v>
      </c>
      <c r="H268" s="408">
        <f t="shared" si="52"/>
        <v>32</v>
      </c>
      <c r="I268" s="407" t="s">
        <v>835</v>
      </c>
      <c r="J268" s="258" t="s">
        <v>294</v>
      </c>
      <c r="K268" s="258" t="s">
        <v>2770</v>
      </c>
      <c r="L268" s="258" t="s">
        <v>2638</v>
      </c>
      <c r="M268" s="409">
        <v>17690000</v>
      </c>
      <c r="N268" s="258">
        <v>2497</v>
      </c>
      <c r="O268" s="258" t="s">
        <v>78</v>
      </c>
      <c r="P268" s="258" t="s">
        <v>86</v>
      </c>
      <c r="Q268" s="258" t="s">
        <v>72</v>
      </c>
      <c r="R268" s="258">
        <v>4</v>
      </c>
      <c r="S268" s="410">
        <v>9</v>
      </c>
      <c r="T268" s="261">
        <v>6</v>
      </c>
      <c r="U268" s="261">
        <v>6</v>
      </c>
      <c r="V268" s="258" t="s">
        <v>1295</v>
      </c>
      <c r="W268" s="261" t="str">
        <f t="shared" si="54"/>
        <v>현대자동차포터ⅡCRDi 133마력 2WD 더블캡 초장축 Style A/T17690000</v>
      </c>
      <c r="X268" s="411">
        <f t="shared" si="55"/>
        <v>4042</v>
      </c>
      <c r="Y268" s="261">
        <v>6</v>
      </c>
      <c r="Z268" s="261">
        <v>6</v>
      </c>
      <c r="AA268" s="407" t="s">
        <v>835</v>
      </c>
      <c r="AB268" s="258" t="s">
        <v>73</v>
      </c>
      <c r="AC268" s="258"/>
      <c r="AD268" s="258" t="s">
        <v>2131</v>
      </c>
      <c r="AE268" s="258" t="s">
        <v>2129</v>
      </c>
      <c r="AF268" s="259"/>
      <c r="AG268" s="260"/>
      <c r="AH268" s="259"/>
      <c r="AI268" s="259"/>
      <c r="AJ268" s="260"/>
      <c r="AK268" s="259">
        <v>26</v>
      </c>
      <c r="AL268" s="259"/>
      <c r="AM268" s="259" t="s">
        <v>3222</v>
      </c>
      <c r="AN268" s="449"/>
      <c r="AO268" s="449"/>
      <c r="AP268" s="449"/>
      <c r="AQ268" s="392" t="str">
        <f>IFERROR(VLOOKUP(BG268,#REF!,1,0),"")</f>
        <v/>
      </c>
      <c r="AS268" s="259" t="s">
        <v>3222</v>
      </c>
      <c r="BD268" s="202" t="str">
        <f t="shared" si="47"/>
        <v>포터ⅡCRDi 133마력 2WD 더블캡 초장축 Style A/T</v>
      </c>
      <c r="BE268" s="261" t="str">
        <f t="shared" si="53"/>
        <v>0025</v>
      </c>
      <c r="BF268" s="407" t="s">
        <v>835</v>
      </c>
      <c r="BG268" s="202" t="str">
        <f t="shared" si="48"/>
        <v>0025-0267</v>
      </c>
    </row>
    <row r="269" spans="1:59">
      <c r="A269" s="405">
        <v>4043</v>
      </c>
      <c r="B269" s="406">
        <v>4043</v>
      </c>
      <c r="C269" s="261" t="str">
        <f t="shared" si="49"/>
        <v>0005-0025</v>
      </c>
      <c r="D269" s="261" t="str">
        <f t="shared" si="50"/>
        <v>0005-0025-0033</v>
      </c>
      <c r="E269" s="407" t="s">
        <v>834</v>
      </c>
      <c r="F269" s="261" t="str">
        <f>TEXT(VLOOKUP(J269,'[3]1'!$B$2:$D$37,2,0),"0000")</f>
        <v>0005</v>
      </c>
      <c r="G269" s="261" t="str">
        <f t="shared" si="51"/>
        <v>0025</v>
      </c>
      <c r="H269" s="408">
        <f t="shared" si="52"/>
        <v>33</v>
      </c>
      <c r="I269" s="407" t="s">
        <v>834</v>
      </c>
      <c r="J269" s="258" t="s">
        <v>294</v>
      </c>
      <c r="K269" s="258" t="s">
        <v>2770</v>
      </c>
      <c r="L269" s="258" t="s">
        <v>2640</v>
      </c>
      <c r="M269" s="409">
        <v>16970000</v>
      </c>
      <c r="N269" s="258">
        <v>2497</v>
      </c>
      <c r="O269" s="258" t="s">
        <v>78</v>
      </c>
      <c r="P269" s="258" t="s">
        <v>86</v>
      </c>
      <c r="Q269" s="258" t="s">
        <v>72</v>
      </c>
      <c r="R269" s="258">
        <v>5</v>
      </c>
      <c r="S269" s="410">
        <v>9</v>
      </c>
      <c r="T269" s="261">
        <v>6</v>
      </c>
      <c r="U269" s="261">
        <v>6</v>
      </c>
      <c r="V269" s="258" t="s">
        <v>71</v>
      </c>
      <c r="W269" s="261" t="str">
        <f t="shared" si="54"/>
        <v>현대자동차포터ⅡCRDi 133마력 2WD 슈퍼캡 초장축 Smart A/T16970000</v>
      </c>
      <c r="X269" s="411">
        <f t="shared" si="55"/>
        <v>4043</v>
      </c>
      <c r="Y269" s="261">
        <v>6</v>
      </c>
      <c r="Z269" s="261">
        <v>6</v>
      </c>
      <c r="AA269" s="407" t="s">
        <v>834</v>
      </c>
      <c r="AB269" s="258" t="s">
        <v>73</v>
      </c>
      <c r="AC269" s="258"/>
      <c r="AD269" s="258" t="s">
        <v>2131</v>
      </c>
      <c r="AE269" s="258" t="s">
        <v>2129</v>
      </c>
      <c r="AF269" s="259"/>
      <c r="AG269" s="260"/>
      <c r="AH269" s="259"/>
      <c r="AI269" s="259"/>
      <c r="AJ269" s="260"/>
      <c r="AK269" s="259">
        <v>26</v>
      </c>
      <c r="AL269" s="259"/>
      <c r="AM269" s="259" t="s">
        <v>3222</v>
      </c>
      <c r="AN269" s="449"/>
      <c r="AO269" s="449"/>
      <c r="AP269" s="449"/>
      <c r="AQ269" s="392" t="str">
        <f>IFERROR(VLOOKUP(BG269,#REF!,1,0),"")</f>
        <v/>
      </c>
      <c r="AS269" s="259" t="s">
        <v>3222</v>
      </c>
      <c r="BD269" s="202" t="str">
        <f t="shared" si="47"/>
        <v>포터ⅡCRDi 133마력 2WD 슈퍼캡 초장축 Smart A/T</v>
      </c>
      <c r="BE269" s="261" t="str">
        <f t="shared" si="53"/>
        <v>0025</v>
      </c>
      <c r="BF269" s="407" t="s">
        <v>834</v>
      </c>
      <c r="BG269" s="202" t="str">
        <f t="shared" si="48"/>
        <v>0025-0268</v>
      </c>
    </row>
    <row r="270" spans="1:59">
      <c r="A270" s="405">
        <v>4044</v>
      </c>
      <c r="B270" s="406">
        <v>4044</v>
      </c>
      <c r="C270" s="261" t="str">
        <f t="shared" si="49"/>
        <v>0005-0025</v>
      </c>
      <c r="D270" s="261" t="str">
        <f t="shared" si="50"/>
        <v>0005-0025-0034</v>
      </c>
      <c r="E270" s="407" t="s">
        <v>833</v>
      </c>
      <c r="F270" s="261" t="str">
        <f>TEXT(VLOOKUP(J270,'[3]1'!$B$2:$D$37,2,0),"0000")</f>
        <v>0005</v>
      </c>
      <c r="G270" s="261" t="str">
        <f t="shared" si="51"/>
        <v>0025</v>
      </c>
      <c r="H270" s="408">
        <f t="shared" si="52"/>
        <v>34</v>
      </c>
      <c r="I270" s="407" t="s">
        <v>833</v>
      </c>
      <c r="J270" s="258" t="s">
        <v>294</v>
      </c>
      <c r="K270" s="258" t="s">
        <v>2770</v>
      </c>
      <c r="L270" s="258" t="s">
        <v>2641</v>
      </c>
      <c r="M270" s="409">
        <v>19220000</v>
      </c>
      <c r="N270" s="258">
        <v>2497</v>
      </c>
      <c r="O270" s="258" t="s">
        <v>78</v>
      </c>
      <c r="P270" s="258" t="s">
        <v>86</v>
      </c>
      <c r="Q270" s="258" t="s">
        <v>72</v>
      </c>
      <c r="R270" s="258" t="e">
        <v>#N/A</v>
      </c>
      <c r="S270" s="410">
        <v>9</v>
      </c>
      <c r="T270" s="261">
        <v>6</v>
      </c>
      <c r="U270" s="261">
        <v>6</v>
      </c>
      <c r="V270" s="258" t="s">
        <v>3993</v>
      </c>
      <c r="W270" s="261" t="str">
        <f t="shared" si="54"/>
        <v>현대자동차포터ⅡCRDi 133마력 2WD 슈퍼캡 초장축 Premium A/T19220000</v>
      </c>
      <c r="X270" s="411">
        <f t="shared" si="55"/>
        <v>4044</v>
      </c>
      <c r="Y270" s="261">
        <v>6</v>
      </c>
      <c r="Z270" s="261">
        <v>6</v>
      </c>
      <c r="AA270" s="407" t="s">
        <v>833</v>
      </c>
      <c r="AB270" s="258" t="e">
        <v>#N/A</v>
      </c>
      <c r="AC270" s="258"/>
      <c r="AD270" s="258" t="s">
        <v>2131</v>
      </c>
      <c r="AE270" s="258" t="s">
        <v>2129</v>
      </c>
      <c r="AF270" s="259"/>
      <c r="AG270" s="260"/>
      <c r="AH270" s="259"/>
      <c r="AI270" s="259"/>
      <c r="AJ270" s="260"/>
      <c r="AK270" s="259">
        <v>26</v>
      </c>
      <c r="AL270" s="259"/>
      <c r="AM270" s="259" t="s">
        <v>3222</v>
      </c>
      <c r="AN270" s="449"/>
      <c r="AO270" s="449"/>
      <c r="AP270" s="449"/>
      <c r="AQ270" s="392" t="str">
        <f>IFERROR(VLOOKUP(BG270,#REF!,1,0),"")</f>
        <v/>
      </c>
      <c r="AS270" s="259" t="s">
        <v>3222</v>
      </c>
      <c r="BD270" s="202" t="str">
        <f t="shared" si="47"/>
        <v>포터ⅡCRDi 133마력 2WD 슈퍼캡 초장축 Premium A/T</v>
      </c>
      <c r="BE270" s="261" t="str">
        <f t="shared" si="53"/>
        <v>0025</v>
      </c>
      <c r="BF270" s="407" t="s">
        <v>833</v>
      </c>
      <c r="BG270" s="202" t="str">
        <f t="shared" si="48"/>
        <v>0025-0269</v>
      </c>
    </row>
    <row r="271" spans="1:59">
      <c r="A271" s="405">
        <v>4045</v>
      </c>
      <c r="B271" s="406">
        <v>4045</v>
      </c>
      <c r="C271" s="261" t="str">
        <f t="shared" si="49"/>
        <v>0005-0025</v>
      </c>
      <c r="D271" s="261" t="str">
        <f t="shared" si="50"/>
        <v>0005-0025-0035</v>
      </c>
      <c r="E271" s="407" t="s">
        <v>832</v>
      </c>
      <c r="F271" s="261" t="str">
        <f>TEXT(VLOOKUP(J271,'[3]1'!$B$2:$D$37,2,0),"0000")</f>
        <v>0005</v>
      </c>
      <c r="G271" s="261" t="str">
        <f t="shared" si="51"/>
        <v>0025</v>
      </c>
      <c r="H271" s="408">
        <f t="shared" si="52"/>
        <v>35</v>
      </c>
      <c r="I271" s="407" t="s">
        <v>832</v>
      </c>
      <c r="J271" s="258" t="s">
        <v>294</v>
      </c>
      <c r="K271" s="258" t="s">
        <v>2770</v>
      </c>
      <c r="L271" s="258" t="s">
        <v>2642</v>
      </c>
      <c r="M271" s="409">
        <v>20610000</v>
      </c>
      <c r="N271" s="258">
        <v>2497</v>
      </c>
      <c r="O271" s="258" t="s">
        <v>78</v>
      </c>
      <c r="P271" s="258" t="s">
        <v>86</v>
      </c>
      <c r="Q271" s="258" t="s">
        <v>72</v>
      </c>
      <c r="R271" s="258" t="e">
        <v>#N/A</v>
      </c>
      <c r="S271" s="410">
        <v>9</v>
      </c>
      <c r="T271" s="261">
        <v>6</v>
      </c>
      <c r="U271" s="261">
        <v>6</v>
      </c>
      <c r="V271" s="258" t="s">
        <v>3993</v>
      </c>
      <c r="W271" s="261" t="str">
        <f t="shared" si="54"/>
        <v>현대자동차포터ⅡCRDi 133마력 4WD 더블캡 장축 Premium A/T20610000</v>
      </c>
      <c r="X271" s="411">
        <f t="shared" si="55"/>
        <v>4045</v>
      </c>
      <c r="Y271" s="261">
        <v>6</v>
      </c>
      <c r="Z271" s="261">
        <v>6</v>
      </c>
      <c r="AA271" s="407" t="s">
        <v>832</v>
      </c>
      <c r="AB271" s="258" t="e">
        <v>#N/A</v>
      </c>
      <c r="AC271" s="258"/>
      <c r="AD271" s="258" t="s">
        <v>2131</v>
      </c>
      <c r="AE271" s="258" t="s">
        <v>2129</v>
      </c>
      <c r="AF271" s="259"/>
      <c r="AG271" s="260"/>
      <c r="AH271" s="259"/>
      <c r="AI271" s="259"/>
      <c r="AJ271" s="260"/>
      <c r="AK271" s="259">
        <v>26</v>
      </c>
      <c r="AL271" s="259"/>
      <c r="AM271" s="259" t="s">
        <v>3222</v>
      </c>
      <c r="AN271" s="449"/>
      <c r="AO271" s="449"/>
      <c r="AP271" s="449"/>
      <c r="AQ271" s="392" t="str">
        <f>IFERROR(VLOOKUP(BG271,#REF!,1,0),"")</f>
        <v/>
      </c>
      <c r="AS271" s="259" t="s">
        <v>3222</v>
      </c>
      <c r="BD271" s="202" t="str">
        <f t="shared" si="47"/>
        <v>포터ⅡCRDi 133마력 4WD 더블캡 장축 Premium A/T</v>
      </c>
      <c r="BE271" s="261" t="str">
        <f t="shared" si="53"/>
        <v>0025</v>
      </c>
      <c r="BF271" s="407" t="s">
        <v>832</v>
      </c>
      <c r="BG271" s="202" t="str">
        <f t="shared" si="48"/>
        <v>0025-0270</v>
      </c>
    </row>
    <row r="272" spans="1:59">
      <c r="A272" s="405">
        <v>4046</v>
      </c>
      <c r="B272" s="406">
        <v>4046</v>
      </c>
      <c r="C272" s="261" t="str">
        <f t="shared" si="49"/>
        <v>0005-0025</v>
      </c>
      <c r="D272" s="261" t="str">
        <f t="shared" si="50"/>
        <v>0005-0025-0036</v>
      </c>
      <c r="E272" s="407" t="s">
        <v>831</v>
      </c>
      <c r="F272" s="261" t="str">
        <f>TEXT(VLOOKUP(J272,'[3]1'!$B$2:$D$37,2,0),"0000")</f>
        <v>0005</v>
      </c>
      <c r="G272" s="261" t="str">
        <f t="shared" si="51"/>
        <v>0025</v>
      </c>
      <c r="H272" s="408">
        <f t="shared" si="52"/>
        <v>36</v>
      </c>
      <c r="I272" s="407" t="s">
        <v>831</v>
      </c>
      <c r="J272" s="258" t="s">
        <v>294</v>
      </c>
      <c r="K272" s="258" t="s">
        <v>2770</v>
      </c>
      <c r="L272" s="258" t="s">
        <v>2643</v>
      </c>
      <c r="M272" s="409">
        <v>15550000</v>
      </c>
      <c r="N272" s="258">
        <v>2497</v>
      </c>
      <c r="O272" s="258" t="s">
        <v>78</v>
      </c>
      <c r="P272" s="258" t="s">
        <v>86</v>
      </c>
      <c r="Q272" s="258" t="s">
        <v>72</v>
      </c>
      <c r="R272" s="258">
        <v>5</v>
      </c>
      <c r="S272" s="410">
        <v>9</v>
      </c>
      <c r="T272" s="261">
        <v>6</v>
      </c>
      <c r="U272" s="261">
        <v>6</v>
      </c>
      <c r="V272" s="258" t="s">
        <v>71</v>
      </c>
      <c r="W272" s="261" t="str">
        <f t="shared" si="54"/>
        <v>현대자동차포터ⅡCRDi 133마력 2WD 슈퍼캡 장축 Smart A/T15550000</v>
      </c>
      <c r="X272" s="411">
        <f t="shared" si="55"/>
        <v>4046</v>
      </c>
      <c r="Y272" s="261">
        <v>6</v>
      </c>
      <c r="Z272" s="261">
        <v>6</v>
      </c>
      <c r="AA272" s="407" t="s">
        <v>831</v>
      </c>
      <c r="AB272" s="258" t="s">
        <v>73</v>
      </c>
      <c r="AC272" s="258"/>
      <c r="AD272" s="258" t="s">
        <v>2131</v>
      </c>
      <c r="AE272" s="258" t="s">
        <v>2129</v>
      </c>
      <c r="AF272" s="259"/>
      <c r="AG272" s="260"/>
      <c r="AH272" s="259"/>
      <c r="AI272" s="259"/>
      <c r="AJ272" s="260"/>
      <c r="AK272" s="259">
        <v>26</v>
      </c>
      <c r="AL272" s="259"/>
      <c r="AM272" s="259" t="s">
        <v>3222</v>
      </c>
      <c r="AN272" s="449"/>
      <c r="AO272" s="449"/>
      <c r="AP272" s="449"/>
      <c r="AQ272" s="392" t="str">
        <f>IFERROR(VLOOKUP(BG272,#REF!,1,0),"")</f>
        <v/>
      </c>
      <c r="AS272" s="259" t="s">
        <v>3222</v>
      </c>
      <c r="BD272" s="202" t="str">
        <f t="shared" si="47"/>
        <v>포터ⅡCRDi 133마력 2WD 슈퍼캡 장축 Smart A/T</v>
      </c>
      <c r="BE272" s="261" t="str">
        <f t="shared" si="53"/>
        <v>0025</v>
      </c>
      <c r="BF272" s="407" t="s">
        <v>831</v>
      </c>
      <c r="BG272" s="202" t="str">
        <f t="shared" si="48"/>
        <v>0025-0271</v>
      </c>
    </row>
    <row r="273" spans="1:59">
      <c r="A273" s="405">
        <v>4047</v>
      </c>
      <c r="B273" s="406">
        <v>4047</v>
      </c>
      <c r="C273" s="261" t="str">
        <f t="shared" si="49"/>
        <v>0005-0025</v>
      </c>
      <c r="D273" s="261" t="str">
        <f t="shared" si="50"/>
        <v>0005-0025-0037</v>
      </c>
      <c r="E273" s="407" t="s">
        <v>830</v>
      </c>
      <c r="F273" s="261" t="str">
        <f>TEXT(VLOOKUP(J273,'[3]1'!$B$2:$D$37,2,0),"0000")</f>
        <v>0005</v>
      </c>
      <c r="G273" s="261" t="str">
        <f t="shared" si="51"/>
        <v>0025</v>
      </c>
      <c r="H273" s="408">
        <f t="shared" si="52"/>
        <v>37</v>
      </c>
      <c r="I273" s="407" t="s">
        <v>830</v>
      </c>
      <c r="J273" s="258" t="s">
        <v>294</v>
      </c>
      <c r="K273" s="258" t="s">
        <v>2770</v>
      </c>
      <c r="L273" s="258" t="s">
        <v>2644</v>
      </c>
      <c r="M273" s="409">
        <v>19340000</v>
      </c>
      <c r="N273" s="258">
        <v>2497</v>
      </c>
      <c r="O273" s="258" t="s">
        <v>78</v>
      </c>
      <c r="P273" s="258" t="s">
        <v>86</v>
      </c>
      <c r="Q273" s="258" t="s">
        <v>72</v>
      </c>
      <c r="R273" s="258">
        <v>5</v>
      </c>
      <c r="S273" s="410">
        <v>9</v>
      </c>
      <c r="T273" s="261">
        <v>6</v>
      </c>
      <c r="U273" s="261">
        <v>6</v>
      </c>
      <c r="V273" s="258" t="s">
        <v>71</v>
      </c>
      <c r="W273" s="261" t="str">
        <f t="shared" si="54"/>
        <v>현대자동차포터ⅡCRDi 133마력 2WD 더블캡 초장축 Modern A/T19340000</v>
      </c>
      <c r="X273" s="411">
        <f t="shared" si="55"/>
        <v>4047</v>
      </c>
      <c r="Y273" s="261">
        <v>6</v>
      </c>
      <c r="Z273" s="261">
        <v>6</v>
      </c>
      <c r="AA273" s="407" t="s">
        <v>830</v>
      </c>
      <c r="AB273" s="258" t="s">
        <v>73</v>
      </c>
      <c r="AC273" s="258"/>
      <c r="AD273" s="258" t="s">
        <v>2131</v>
      </c>
      <c r="AE273" s="258" t="s">
        <v>2129</v>
      </c>
      <c r="AF273" s="259"/>
      <c r="AG273" s="260"/>
      <c r="AH273" s="259"/>
      <c r="AI273" s="259"/>
      <c r="AJ273" s="260"/>
      <c r="AK273" s="259">
        <v>26</v>
      </c>
      <c r="AL273" s="259"/>
      <c r="AM273" s="259" t="s">
        <v>3222</v>
      </c>
      <c r="AN273" s="449"/>
      <c r="AO273" s="449"/>
      <c r="AP273" s="449"/>
      <c r="AQ273" s="392" t="str">
        <f>IFERROR(VLOOKUP(BG273,#REF!,1,0),"")</f>
        <v/>
      </c>
      <c r="AS273" s="259" t="s">
        <v>3222</v>
      </c>
      <c r="BD273" s="202" t="str">
        <f t="shared" si="47"/>
        <v>포터ⅡCRDi 133마력 2WD 더블캡 초장축 Modern A/T</v>
      </c>
      <c r="BE273" s="261" t="str">
        <f t="shared" si="53"/>
        <v>0025</v>
      </c>
      <c r="BF273" s="407" t="s">
        <v>830</v>
      </c>
      <c r="BG273" s="202" t="str">
        <f t="shared" si="48"/>
        <v>0025-0272</v>
      </c>
    </row>
    <row r="274" spans="1:59">
      <c r="A274" s="405">
        <v>4048</v>
      </c>
      <c r="B274" s="406">
        <v>4048</v>
      </c>
      <c r="C274" s="261" t="str">
        <f t="shared" si="49"/>
        <v>0005-0025</v>
      </c>
      <c r="D274" s="261" t="str">
        <f t="shared" si="50"/>
        <v>0005-0025-0038</v>
      </c>
      <c r="E274" s="407" t="s">
        <v>829</v>
      </c>
      <c r="F274" s="261" t="str">
        <f>TEXT(VLOOKUP(J274,'[3]1'!$B$2:$D$37,2,0),"0000")</f>
        <v>0005</v>
      </c>
      <c r="G274" s="261" t="str">
        <f t="shared" si="51"/>
        <v>0025</v>
      </c>
      <c r="H274" s="408">
        <f t="shared" si="52"/>
        <v>38</v>
      </c>
      <c r="I274" s="407" t="s">
        <v>829</v>
      </c>
      <c r="J274" s="258" t="s">
        <v>294</v>
      </c>
      <c r="K274" s="258" t="s">
        <v>2770</v>
      </c>
      <c r="L274" s="258" t="s">
        <v>2645</v>
      </c>
      <c r="M274" s="409">
        <v>19240000</v>
      </c>
      <c r="N274" s="258">
        <v>2497</v>
      </c>
      <c r="O274" s="258" t="s">
        <v>78</v>
      </c>
      <c r="P274" s="258" t="s">
        <v>86</v>
      </c>
      <c r="Q274" s="258" t="s">
        <v>72</v>
      </c>
      <c r="R274" s="258" t="e">
        <v>#N/A</v>
      </c>
      <c r="S274" s="410">
        <v>9</v>
      </c>
      <c r="T274" s="261">
        <v>6</v>
      </c>
      <c r="U274" s="261">
        <v>6</v>
      </c>
      <c r="V274" s="258" t="s">
        <v>3993</v>
      </c>
      <c r="W274" s="261" t="str">
        <f t="shared" si="54"/>
        <v>현대자동차포터ⅡCRDi 133마력 4WD 일반캡 장축 Premium A/T19240000</v>
      </c>
      <c r="X274" s="411">
        <f t="shared" si="55"/>
        <v>4048</v>
      </c>
      <c r="Y274" s="261">
        <v>6</v>
      </c>
      <c r="Z274" s="261">
        <v>6</v>
      </c>
      <c r="AA274" s="407" t="s">
        <v>829</v>
      </c>
      <c r="AB274" s="258" t="e">
        <v>#N/A</v>
      </c>
      <c r="AC274" s="258"/>
      <c r="AD274" s="258" t="s">
        <v>2131</v>
      </c>
      <c r="AE274" s="258" t="s">
        <v>2129</v>
      </c>
      <c r="AF274" s="259"/>
      <c r="AG274" s="260"/>
      <c r="AH274" s="259"/>
      <c r="AI274" s="259"/>
      <c r="AJ274" s="260"/>
      <c r="AK274" s="259">
        <v>26</v>
      </c>
      <c r="AL274" s="259"/>
      <c r="AM274" s="259" t="s">
        <v>3222</v>
      </c>
      <c r="AN274" s="449"/>
      <c r="AO274" s="449"/>
      <c r="AP274" s="449"/>
      <c r="AQ274" s="392" t="str">
        <f>IFERROR(VLOOKUP(BG274,#REF!,1,0),"")</f>
        <v/>
      </c>
      <c r="AS274" s="259" t="s">
        <v>3222</v>
      </c>
      <c r="BD274" s="202" t="str">
        <f t="shared" si="47"/>
        <v>포터ⅡCRDi 133마력 4WD 일반캡 장축 Premium A/T</v>
      </c>
      <c r="BE274" s="261" t="str">
        <f t="shared" si="53"/>
        <v>0025</v>
      </c>
      <c r="BF274" s="407" t="s">
        <v>829</v>
      </c>
      <c r="BG274" s="202" t="str">
        <f t="shared" si="48"/>
        <v>0025-0273</v>
      </c>
    </row>
    <row r="275" spans="1:59">
      <c r="A275" s="405">
        <v>4049</v>
      </c>
      <c r="B275" s="406">
        <v>4049</v>
      </c>
      <c r="C275" s="261" t="str">
        <f t="shared" si="49"/>
        <v>0005-0025</v>
      </c>
      <c r="D275" s="261" t="str">
        <f t="shared" si="50"/>
        <v>0005-0025-0039</v>
      </c>
      <c r="E275" s="407" t="s">
        <v>827</v>
      </c>
      <c r="F275" s="261" t="str">
        <f>TEXT(VLOOKUP(J275,'[3]1'!$B$2:$D$37,2,0),"0000")</f>
        <v>0005</v>
      </c>
      <c r="G275" s="261" t="str">
        <f t="shared" si="51"/>
        <v>0025</v>
      </c>
      <c r="H275" s="408">
        <f t="shared" si="52"/>
        <v>39</v>
      </c>
      <c r="I275" s="407" t="s">
        <v>827</v>
      </c>
      <c r="J275" s="258" t="s">
        <v>294</v>
      </c>
      <c r="K275" s="258" t="s">
        <v>2770</v>
      </c>
      <c r="L275" s="258" t="s">
        <v>2646</v>
      </c>
      <c r="M275" s="409">
        <v>17150000</v>
      </c>
      <c r="N275" s="258">
        <v>2497</v>
      </c>
      <c r="O275" s="258" t="s">
        <v>78</v>
      </c>
      <c r="P275" s="258" t="s">
        <v>86</v>
      </c>
      <c r="Q275" s="258" t="s">
        <v>88</v>
      </c>
      <c r="R275" s="258">
        <v>5</v>
      </c>
      <c r="S275" s="410">
        <v>9</v>
      </c>
      <c r="T275" s="261">
        <v>6</v>
      </c>
      <c r="U275" s="261">
        <v>6</v>
      </c>
      <c r="V275" s="258" t="s">
        <v>71</v>
      </c>
      <c r="W275" s="261" t="str">
        <f t="shared" si="54"/>
        <v>현대자동차포터ⅡCRDi 133마력 4WD 슈퍼캡 장축 Style M/T17150000</v>
      </c>
      <c r="X275" s="411">
        <f t="shared" si="55"/>
        <v>4049</v>
      </c>
      <c r="Y275" s="261">
        <v>6</v>
      </c>
      <c r="Z275" s="261">
        <v>6</v>
      </c>
      <c r="AA275" s="407" t="s">
        <v>827</v>
      </c>
      <c r="AB275" s="258" t="s">
        <v>73</v>
      </c>
      <c r="AC275" s="258"/>
      <c r="AD275" s="258" t="s">
        <v>2131</v>
      </c>
      <c r="AE275" s="258" t="s">
        <v>2129</v>
      </c>
      <c r="AF275" s="259"/>
      <c r="AG275" s="260"/>
      <c r="AH275" s="259"/>
      <c r="AI275" s="259"/>
      <c r="AJ275" s="260"/>
      <c r="AK275" s="259">
        <v>26</v>
      </c>
      <c r="AL275" s="259"/>
      <c r="AM275" s="259" t="s">
        <v>3222</v>
      </c>
      <c r="AN275" s="449"/>
      <c r="AO275" s="449"/>
      <c r="AP275" s="449"/>
      <c r="AQ275" s="392" t="str">
        <f>IFERROR(VLOOKUP(BG275,#REF!,1,0),"")</f>
        <v/>
      </c>
      <c r="AS275" s="259" t="s">
        <v>3222</v>
      </c>
      <c r="BD275" s="202" t="str">
        <f t="shared" si="47"/>
        <v>포터ⅡCRDi 133마력 4WD 슈퍼캡 장축 Style M/T</v>
      </c>
      <c r="BE275" s="261" t="str">
        <f t="shared" si="53"/>
        <v>0025</v>
      </c>
      <c r="BF275" s="407" t="s">
        <v>827</v>
      </c>
      <c r="BG275" s="202" t="str">
        <f t="shared" si="48"/>
        <v>0025-0274</v>
      </c>
    </row>
    <row r="276" spans="1:59">
      <c r="A276" s="405">
        <v>4050</v>
      </c>
      <c r="B276" s="406">
        <v>4050</v>
      </c>
      <c r="C276" s="261" t="str">
        <f t="shared" si="49"/>
        <v>0005-0025</v>
      </c>
      <c r="D276" s="261" t="str">
        <f t="shared" si="50"/>
        <v>0005-0025-0040</v>
      </c>
      <c r="E276" s="407" t="s">
        <v>826</v>
      </c>
      <c r="F276" s="261" t="str">
        <f>TEXT(VLOOKUP(J276,'[3]1'!$B$2:$D$37,2,0),"0000")</f>
        <v>0005</v>
      </c>
      <c r="G276" s="261" t="str">
        <f t="shared" si="51"/>
        <v>0025</v>
      </c>
      <c r="H276" s="408">
        <f t="shared" si="52"/>
        <v>40</v>
      </c>
      <c r="I276" s="407" t="s">
        <v>826</v>
      </c>
      <c r="J276" s="258" t="s">
        <v>294</v>
      </c>
      <c r="K276" s="258" t="s">
        <v>2770</v>
      </c>
      <c r="L276" s="258" t="s">
        <v>2647</v>
      </c>
      <c r="M276" s="409">
        <v>19660000</v>
      </c>
      <c r="N276" s="258">
        <v>2497</v>
      </c>
      <c r="O276" s="258" t="s">
        <v>78</v>
      </c>
      <c r="P276" s="258" t="s">
        <v>86</v>
      </c>
      <c r="Q276" s="258" t="s">
        <v>72</v>
      </c>
      <c r="R276" s="258">
        <v>5</v>
      </c>
      <c r="S276" s="410">
        <v>9</v>
      </c>
      <c r="T276" s="261">
        <v>6</v>
      </c>
      <c r="U276" s="261">
        <v>6</v>
      </c>
      <c r="V276" s="258" t="s">
        <v>71</v>
      </c>
      <c r="W276" s="261" t="str">
        <f t="shared" si="54"/>
        <v>현대자동차포터ⅡCRDi 133마력 4WD 더블캡 장축 Modern A/T19660000</v>
      </c>
      <c r="X276" s="411">
        <f t="shared" si="55"/>
        <v>4050</v>
      </c>
      <c r="Y276" s="261">
        <v>6</v>
      </c>
      <c r="Z276" s="261">
        <v>6</v>
      </c>
      <c r="AA276" s="407" t="s">
        <v>826</v>
      </c>
      <c r="AB276" s="258" t="s">
        <v>73</v>
      </c>
      <c r="AC276" s="258"/>
      <c r="AD276" s="258" t="s">
        <v>2131</v>
      </c>
      <c r="AE276" s="258" t="s">
        <v>2129</v>
      </c>
      <c r="AF276" s="259"/>
      <c r="AG276" s="260"/>
      <c r="AH276" s="259"/>
      <c r="AI276" s="259"/>
      <c r="AJ276" s="260"/>
      <c r="AK276" s="259">
        <v>26</v>
      </c>
      <c r="AL276" s="259"/>
      <c r="AM276" s="259" t="s">
        <v>3222</v>
      </c>
      <c r="AN276" s="449"/>
      <c r="AO276" s="449"/>
      <c r="AP276" s="449"/>
      <c r="AQ276" s="392" t="str">
        <f>IFERROR(VLOOKUP(BG276,#REF!,1,0),"")</f>
        <v/>
      </c>
      <c r="AS276" s="259" t="s">
        <v>3222</v>
      </c>
      <c r="BD276" s="202" t="str">
        <f t="shared" si="47"/>
        <v>포터ⅡCRDi 133마력 4WD 더블캡 장축 Modern A/T</v>
      </c>
      <c r="BE276" s="261" t="str">
        <f t="shared" si="53"/>
        <v>0025</v>
      </c>
      <c r="BF276" s="407" t="s">
        <v>826</v>
      </c>
      <c r="BG276" s="202" t="str">
        <f t="shared" si="48"/>
        <v>0025-0275</v>
      </c>
    </row>
    <row r="277" spans="1:59">
      <c r="A277" s="405">
        <v>4051</v>
      </c>
      <c r="B277" s="406">
        <v>4051</v>
      </c>
      <c r="C277" s="261" t="str">
        <f t="shared" si="49"/>
        <v>0005-0025</v>
      </c>
      <c r="D277" s="261" t="str">
        <f t="shared" si="50"/>
        <v>0005-0025-0041</v>
      </c>
      <c r="E277" s="407" t="s">
        <v>825</v>
      </c>
      <c r="F277" s="261" t="str">
        <f>TEXT(VLOOKUP(J277,'[3]1'!$B$2:$D$37,2,0),"0000")</f>
        <v>0005</v>
      </c>
      <c r="G277" s="261" t="str">
        <f t="shared" si="51"/>
        <v>0025</v>
      </c>
      <c r="H277" s="408">
        <f t="shared" si="52"/>
        <v>41</v>
      </c>
      <c r="I277" s="407" t="s">
        <v>825</v>
      </c>
      <c r="J277" s="258" t="s">
        <v>294</v>
      </c>
      <c r="K277" s="258" t="s">
        <v>2770</v>
      </c>
      <c r="L277" s="258" t="s">
        <v>2639</v>
      </c>
      <c r="M277" s="409">
        <v>22840000</v>
      </c>
      <c r="N277" s="258">
        <v>2497</v>
      </c>
      <c r="O277" s="258" t="s">
        <v>78</v>
      </c>
      <c r="P277" s="258" t="s">
        <v>86</v>
      </c>
      <c r="Q277" s="258" t="s">
        <v>72</v>
      </c>
      <c r="R277" s="258" t="e">
        <v>#N/A</v>
      </c>
      <c r="S277" s="410">
        <v>9</v>
      </c>
      <c r="T277" s="261">
        <v>6</v>
      </c>
      <c r="U277" s="261">
        <v>6</v>
      </c>
      <c r="V277" s="258" t="s">
        <v>3993</v>
      </c>
      <c r="W277" s="261" t="str">
        <f t="shared" si="54"/>
        <v>현대자동차포터Ⅱ내장탑차 초장축 더블캡 스마트 A/T22840000</v>
      </c>
      <c r="X277" s="411">
        <f t="shared" si="55"/>
        <v>4051</v>
      </c>
      <c r="Y277" s="261">
        <v>6</v>
      </c>
      <c r="Z277" s="261">
        <v>6</v>
      </c>
      <c r="AA277" s="407" t="s">
        <v>825</v>
      </c>
      <c r="AB277" s="258" t="e">
        <v>#N/A</v>
      </c>
      <c r="AC277" s="258"/>
      <c r="AD277" s="258" t="s">
        <v>2135</v>
      </c>
      <c r="AE277" s="258" t="s">
        <v>2129</v>
      </c>
      <c r="AF277" s="259"/>
      <c r="AG277" s="260"/>
      <c r="AH277" s="259"/>
      <c r="AI277" s="259"/>
      <c r="AJ277" s="260"/>
      <c r="AK277" s="259">
        <v>26</v>
      </c>
      <c r="AL277" s="259"/>
      <c r="AM277" s="259" t="s">
        <v>3222</v>
      </c>
      <c r="AN277" s="449"/>
      <c r="AO277" s="449"/>
      <c r="AP277" s="449"/>
      <c r="AQ277" s="392" t="str">
        <f>IFERROR(VLOOKUP(BG277,#REF!,1,0),"")</f>
        <v/>
      </c>
      <c r="AS277" s="259" t="s">
        <v>3222</v>
      </c>
      <c r="BD277" s="202" t="str">
        <f t="shared" si="47"/>
        <v>포터Ⅱ내장탑차 초장축 더블캡 스마트 A/T</v>
      </c>
      <c r="BE277" s="261" t="str">
        <f t="shared" si="53"/>
        <v>0025</v>
      </c>
      <c r="BF277" s="407" t="s">
        <v>825</v>
      </c>
      <c r="BG277" s="202" t="str">
        <f t="shared" si="48"/>
        <v>0025-0276</v>
      </c>
    </row>
    <row r="278" spans="1:59">
      <c r="A278" s="405">
        <v>4052</v>
      </c>
      <c r="B278" s="406">
        <v>4052</v>
      </c>
      <c r="C278" s="261" t="str">
        <f t="shared" si="49"/>
        <v>0005-0026</v>
      </c>
      <c r="D278" s="261" t="str">
        <f t="shared" si="50"/>
        <v>0005-0026-0001</v>
      </c>
      <c r="E278" s="407" t="s">
        <v>824</v>
      </c>
      <c r="F278" s="261" t="str">
        <f>TEXT(VLOOKUP(J278,'[3]1'!$B$2:$D$37,2,0),"0000")</f>
        <v>0005</v>
      </c>
      <c r="G278" s="261" t="str">
        <f t="shared" si="51"/>
        <v>0026</v>
      </c>
      <c r="H278" s="408">
        <f t="shared" si="52"/>
        <v>1</v>
      </c>
      <c r="I278" s="407" t="s">
        <v>824</v>
      </c>
      <c r="J278" s="258" t="s">
        <v>294</v>
      </c>
      <c r="K278" s="258" t="s">
        <v>2771</v>
      </c>
      <c r="L278" s="258" t="s">
        <v>2648</v>
      </c>
      <c r="M278" s="409">
        <v>18290000</v>
      </c>
      <c r="N278" s="258">
        <v>2497</v>
      </c>
      <c r="O278" s="258" t="s">
        <v>78</v>
      </c>
      <c r="P278" s="258" t="s">
        <v>86</v>
      </c>
      <c r="Q278" s="258" t="s">
        <v>88</v>
      </c>
      <c r="R278" s="258">
        <v>4</v>
      </c>
      <c r="S278" s="410">
        <v>15</v>
      </c>
      <c r="T278" s="261">
        <v>6</v>
      </c>
      <c r="U278" s="261">
        <v>6</v>
      </c>
      <c r="V278" s="258" t="s">
        <v>71</v>
      </c>
      <c r="W278" s="261" t="str">
        <f t="shared" si="54"/>
        <v>현대자동차포터Ⅱ 특장내장탑차 초장축 슈퍼캡 SUP18290000</v>
      </c>
      <c r="X278" s="411">
        <f t="shared" si="55"/>
        <v>4052</v>
      </c>
      <c r="Y278" s="261">
        <v>6</v>
      </c>
      <c r="Z278" s="261">
        <v>6</v>
      </c>
      <c r="AA278" s="407" t="s">
        <v>824</v>
      </c>
      <c r="AB278" s="258" t="s">
        <v>73</v>
      </c>
      <c r="AC278" s="258"/>
      <c r="AD278" s="258" t="s">
        <v>2135</v>
      </c>
      <c r="AE278" s="258" t="s">
        <v>2129</v>
      </c>
      <c r="AF278" s="259"/>
      <c r="AG278" s="260"/>
      <c r="AH278" s="259"/>
      <c r="AI278" s="259"/>
      <c r="AJ278" s="260"/>
      <c r="AK278" s="259">
        <v>26</v>
      </c>
      <c r="AL278" s="259"/>
      <c r="AM278" s="259" t="s">
        <v>3222</v>
      </c>
      <c r="AN278" s="449"/>
      <c r="AO278" s="449"/>
      <c r="AP278" s="449"/>
      <c r="AQ278" s="392" t="str">
        <f>IFERROR(VLOOKUP(BG278,#REF!,1,0),"")</f>
        <v/>
      </c>
      <c r="AS278" s="259" t="s">
        <v>3233</v>
      </c>
      <c r="BD278" s="202" t="str">
        <f t="shared" si="47"/>
        <v>포터Ⅱ 특장내장탑차 초장축 슈퍼캡 SUP</v>
      </c>
      <c r="BE278" s="261" t="str">
        <f t="shared" si="53"/>
        <v>0026</v>
      </c>
      <c r="BF278" s="407" t="s">
        <v>824</v>
      </c>
      <c r="BG278" s="202" t="str">
        <f t="shared" si="48"/>
        <v>0026-0277</v>
      </c>
    </row>
    <row r="279" spans="1:59">
      <c r="A279" s="405">
        <v>4053</v>
      </c>
      <c r="B279" s="406">
        <v>4053</v>
      </c>
      <c r="C279" s="261" t="str">
        <f t="shared" si="49"/>
        <v>0005-0026</v>
      </c>
      <c r="D279" s="261" t="str">
        <f t="shared" si="50"/>
        <v>0005-0026-0002</v>
      </c>
      <c r="E279" s="407" t="s">
        <v>823</v>
      </c>
      <c r="F279" s="261" t="str">
        <f>TEXT(VLOOKUP(J279,'[3]1'!$B$2:$D$37,2,0),"0000")</f>
        <v>0005</v>
      </c>
      <c r="G279" s="261" t="str">
        <f t="shared" si="51"/>
        <v>0026</v>
      </c>
      <c r="H279" s="408">
        <f t="shared" si="52"/>
        <v>2</v>
      </c>
      <c r="I279" s="407" t="s">
        <v>823</v>
      </c>
      <c r="J279" s="258" t="s">
        <v>294</v>
      </c>
      <c r="K279" s="258" t="s">
        <v>2771</v>
      </c>
      <c r="L279" s="258" t="s">
        <v>2649</v>
      </c>
      <c r="M279" s="409">
        <v>23420000</v>
      </c>
      <c r="N279" s="258">
        <v>2497</v>
      </c>
      <c r="O279" s="258" t="s">
        <v>78</v>
      </c>
      <c r="P279" s="258" t="s">
        <v>86</v>
      </c>
      <c r="Q279" s="258" t="s">
        <v>88</v>
      </c>
      <c r="R279" s="258">
        <v>5</v>
      </c>
      <c r="S279" s="410">
        <v>15</v>
      </c>
      <c r="T279" s="261">
        <v>6</v>
      </c>
      <c r="U279" s="261">
        <v>6</v>
      </c>
      <c r="V279" s="258" t="s">
        <v>71</v>
      </c>
      <c r="W279" s="261" t="str">
        <f t="shared" si="54"/>
        <v>현대자동차포터Ⅱ 특장초저온냉동탑차 초장축 슈퍼캡 SUP 트윈컴프23420000</v>
      </c>
      <c r="X279" s="411">
        <f t="shared" si="55"/>
        <v>4053</v>
      </c>
      <c r="Y279" s="261">
        <v>6</v>
      </c>
      <c r="Z279" s="261">
        <v>6</v>
      </c>
      <c r="AA279" s="407" t="s">
        <v>823</v>
      </c>
      <c r="AB279" s="258" t="s">
        <v>73</v>
      </c>
      <c r="AC279" s="258"/>
      <c r="AD279" s="258" t="s">
        <v>2135</v>
      </c>
      <c r="AE279" s="258" t="s">
        <v>2129</v>
      </c>
      <c r="AF279" s="259"/>
      <c r="AG279" s="260"/>
      <c r="AH279" s="259"/>
      <c r="AI279" s="259"/>
      <c r="AJ279" s="260"/>
      <c r="AK279" s="259">
        <v>26</v>
      </c>
      <c r="AL279" s="259"/>
      <c r="AM279" s="259" t="s">
        <v>3222</v>
      </c>
      <c r="AN279" s="449"/>
      <c r="AO279" s="449"/>
      <c r="AP279" s="449"/>
      <c r="AQ279" s="392" t="str">
        <f>IFERROR(VLOOKUP(BG279,#REF!,1,0),"")</f>
        <v/>
      </c>
      <c r="AS279" s="259" t="s">
        <v>3233</v>
      </c>
      <c r="BD279" s="202" t="str">
        <f t="shared" si="47"/>
        <v>포터Ⅱ 특장초저온냉동탑차 초장축 슈퍼캡 SUP 트윈컴프</v>
      </c>
      <c r="BE279" s="261" t="str">
        <f t="shared" si="53"/>
        <v>0026</v>
      </c>
      <c r="BF279" s="407" t="s">
        <v>823</v>
      </c>
      <c r="BG279" s="202" t="str">
        <f t="shared" si="48"/>
        <v>0026-0278</v>
      </c>
    </row>
    <row r="280" spans="1:59">
      <c r="A280" s="405">
        <v>4054</v>
      </c>
      <c r="B280" s="406">
        <v>4054</v>
      </c>
      <c r="C280" s="261" t="str">
        <f t="shared" si="49"/>
        <v>0005-0026</v>
      </c>
      <c r="D280" s="261" t="str">
        <f t="shared" si="50"/>
        <v>0005-0026-0003</v>
      </c>
      <c r="E280" s="407" t="s">
        <v>822</v>
      </c>
      <c r="F280" s="261" t="str">
        <f>TEXT(VLOOKUP(J280,'[3]1'!$B$2:$D$37,2,0),"0000")</f>
        <v>0005</v>
      </c>
      <c r="G280" s="261" t="str">
        <f t="shared" si="51"/>
        <v>0026</v>
      </c>
      <c r="H280" s="408">
        <f t="shared" si="52"/>
        <v>3</v>
      </c>
      <c r="I280" s="407" t="s">
        <v>822</v>
      </c>
      <c r="J280" s="258" t="s">
        <v>294</v>
      </c>
      <c r="K280" s="258" t="s">
        <v>2771</v>
      </c>
      <c r="L280" s="258" t="s">
        <v>2650</v>
      </c>
      <c r="M280" s="409">
        <v>23000000</v>
      </c>
      <c r="N280" s="258">
        <v>2497</v>
      </c>
      <c r="O280" s="258" t="s">
        <v>78</v>
      </c>
      <c r="P280" s="258" t="s">
        <v>86</v>
      </c>
      <c r="Q280" s="258" t="s">
        <v>72</v>
      </c>
      <c r="R280" s="258">
        <v>5</v>
      </c>
      <c r="S280" s="410">
        <v>15</v>
      </c>
      <c r="T280" s="261">
        <v>6</v>
      </c>
      <c r="U280" s="261">
        <v>6</v>
      </c>
      <c r="V280" s="258" t="s">
        <v>71</v>
      </c>
      <c r="W280" s="261" t="str">
        <f t="shared" si="54"/>
        <v>현대자동차포터Ⅱ 특장하이냉동탑차 초장축 일반캡 SUP 싱글컴프 A/T23000000</v>
      </c>
      <c r="X280" s="411">
        <f t="shared" si="55"/>
        <v>4054</v>
      </c>
      <c r="Y280" s="261">
        <v>6</v>
      </c>
      <c r="Z280" s="261">
        <v>6</v>
      </c>
      <c r="AA280" s="407" t="s">
        <v>822</v>
      </c>
      <c r="AB280" s="258" t="s">
        <v>73</v>
      </c>
      <c r="AC280" s="258"/>
      <c r="AD280" s="258" t="s">
        <v>2135</v>
      </c>
      <c r="AE280" s="258" t="s">
        <v>2129</v>
      </c>
      <c r="AF280" s="259"/>
      <c r="AG280" s="260"/>
      <c r="AH280" s="259"/>
      <c r="AI280" s="259"/>
      <c r="AJ280" s="260"/>
      <c r="AK280" s="259">
        <v>26</v>
      </c>
      <c r="AL280" s="259"/>
      <c r="AM280" s="259" t="s">
        <v>3222</v>
      </c>
      <c r="AN280" s="449"/>
      <c r="AO280" s="449"/>
      <c r="AP280" s="449"/>
      <c r="AQ280" s="392" t="str">
        <f>IFERROR(VLOOKUP(BG280,#REF!,1,0),"")</f>
        <v/>
      </c>
      <c r="AS280" s="259" t="s">
        <v>3233</v>
      </c>
      <c r="BD280" s="202" t="str">
        <f t="shared" si="47"/>
        <v>포터Ⅱ 특장하이냉동탑차 초장축 일반캡 SUP 싱글컴프 A/T</v>
      </c>
      <c r="BE280" s="261" t="str">
        <f t="shared" si="53"/>
        <v>0026</v>
      </c>
      <c r="BF280" s="407" t="s">
        <v>822</v>
      </c>
      <c r="BG280" s="202" t="str">
        <f t="shared" si="48"/>
        <v>0026-0279</v>
      </c>
    </row>
    <row r="281" spans="1:59">
      <c r="A281" s="405">
        <v>4055</v>
      </c>
      <c r="B281" s="406">
        <v>4055</v>
      </c>
      <c r="C281" s="261" t="str">
        <f t="shared" si="49"/>
        <v>0005-0026</v>
      </c>
      <c r="D281" s="261" t="str">
        <f t="shared" si="50"/>
        <v>0005-0026-0004</v>
      </c>
      <c r="E281" s="407" t="s">
        <v>821</v>
      </c>
      <c r="F281" s="261" t="str">
        <f>TEXT(VLOOKUP(J281,'[3]1'!$B$2:$D$37,2,0),"0000")</f>
        <v>0005</v>
      </c>
      <c r="G281" s="261" t="str">
        <f t="shared" si="51"/>
        <v>0026</v>
      </c>
      <c r="H281" s="408">
        <f t="shared" si="52"/>
        <v>4</v>
      </c>
      <c r="I281" s="407" t="s">
        <v>821</v>
      </c>
      <c r="J281" s="258" t="s">
        <v>294</v>
      </c>
      <c r="K281" s="258" t="s">
        <v>2771</v>
      </c>
      <c r="L281" s="258" t="s">
        <v>2651</v>
      </c>
      <c r="M281" s="409">
        <v>22360000</v>
      </c>
      <c r="N281" s="258">
        <v>2497</v>
      </c>
      <c r="O281" s="258" t="s">
        <v>78</v>
      </c>
      <c r="P281" s="258" t="s">
        <v>86</v>
      </c>
      <c r="Q281" s="258" t="s">
        <v>72</v>
      </c>
      <c r="R281" s="258">
        <v>5</v>
      </c>
      <c r="S281" s="410">
        <v>15</v>
      </c>
      <c r="T281" s="261">
        <v>6</v>
      </c>
      <c r="U281" s="261">
        <v>6</v>
      </c>
      <c r="V281" s="258" t="s">
        <v>71</v>
      </c>
      <c r="W281" s="261" t="str">
        <f t="shared" si="54"/>
        <v>현대자동차포터Ⅱ 특장하이냉장탑차 초장축 슈퍼캡 SUP 싱글컴프 A/T22360000</v>
      </c>
      <c r="X281" s="411">
        <f t="shared" si="55"/>
        <v>4055</v>
      </c>
      <c r="Y281" s="261">
        <v>6</v>
      </c>
      <c r="Z281" s="261">
        <v>6</v>
      </c>
      <c r="AA281" s="407" t="s">
        <v>821</v>
      </c>
      <c r="AB281" s="258" t="s">
        <v>73</v>
      </c>
      <c r="AC281" s="258"/>
      <c r="AD281" s="258" t="s">
        <v>2135</v>
      </c>
      <c r="AE281" s="258" t="s">
        <v>2129</v>
      </c>
      <c r="AF281" s="259"/>
      <c r="AG281" s="260"/>
      <c r="AH281" s="259"/>
      <c r="AI281" s="259"/>
      <c r="AJ281" s="260"/>
      <c r="AK281" s="259">
        <v>26</v>
      </c>
      <c r="AL281" s="259"/>
      <c r="AM281" s="259" t="s">
        <v>3222</v>
      </c>
      <c r="AN281" s="449"/>
      <c r="AO281" s="449"/>
      <c r="AP281" s="449"/>
      <c r="AQ281" s="392" t="str">
        <f>IFERROR(VLOOKUP(BG281,#REF!,1,0),"")</f>
        <v/>
      </c>
      <c r="AS281" s="259" t="s">
        <v>3233</v>
      </c>
      <c r="BD281" s="202" t="str">
        <f t="shared" si="47"/>
        <v>포터Ⅱ 특장하이냉장탑차 초장축 슈퍼캡 SUP 싱글컴프 A/T</v>
      </c>
      <c r="BE281" s="261" t="str">
        <f t="shared" si="53"/>
        <v>0026</v>
      </c>
      <c r="BF281" s="407" t="s">
        <v>821</v>
      </c>
      <c r="BG281" s="202" t="str">
        <f t="shared" si="48"/>
        <v>0026-0280</v>
      </c>
    </row>
    <row r="282" spans="1:59">
      <c r="A282" s="405">
        <v>4056</v>
      </c>
      <c r="B282" s="406">
        <v>4056</v>
      </c>
      <c r="C282" s="261" t="str">
        <f t="shared" si="49"/>
        <v>0005-0026</v>
      </c>
      <c r="D282" s="261" t="str">
        <f t="shared" si="50"/>
        <v>0005-0026-0005</v>
      </c>
      <c r="E282" s="407" t="s">
        <v>820</v>
      </c>
      <c r="F282" s="261" t="str">
        <f>TEXT(VLOOKUP(J282,'[3]1'!$B$2:$D$37,2,0),"0000")</f>
        <v>0005</v>
      </c>
      <c r="G282" s="261" t="str">
        <f t="shared" si="51"/>
        <v>0026</v>
      </c>
      <c r="H282" s="408">
        <f t="shared" si="52"/>
        <v>5</v>
      </c>
      <c r="I282" s="407" t="s">
        <v>820</v>
      </c>
      <c r="J282" s="258" t="s">
        <v>294</v>
      </c>
      <c r="K282" s="258" t="s">
        <v>2771</v>
      </c>
      <c r="L282" s="258" t="s">
        <v>2652</v>
      </c>
      <c r="M282" s="409">
        <v>19270000</v>
      </c>
      <c r="N282" s="258">
        <v>2497</v>
      </c>
      <c r="O282" s="258" t="s">
        <v>78</v>
      </c>
      <c r="P282" s="258" t="s">
        <v>86</v>
      </c>
      <c r="Q282" s="258" t="s">
        <v>88</v>
      </c>
      <c r="R282" s="258">
        <v>5</v>
      </c>
      <c r="S282" s="410">
        <v>15</v>
      </c>
      <c r="T282" s="261">
        <v>6</v>
      </c>
      <c r="U282" s="261">
        <v>6</v>
      </c>
      <c r="V282" s="258" t="s">
        <v>71</v>
      </c>
      <c r="W282" s="261" t="str">
        <f t="shared" si="54"/>
        <v>현대자동차포터Ⅱ 특장다용도탑차 초장축 슈퍼캡 SUP19270000</v>
      </c>
      <c r="X282" s="411">
        <f t="shared" si="55"/>
        <v>4056</v>
      </c>
      <c r="Y282" s="261">
        <v>6</v>
      </c>
      <c r="Z282" s="261">
        <v>6</v>
      </c>
      <c r="AA282" s="407" t="s">
        <v>820</v>
      </c>
      <c r="AB282" s="258" t="s">
        <v>73</v>
      </c>
      <c r="AC282" s="258"/>
      <c r="AD282" s="258" t="s">
        <v>2135</v>
      </c>
      <c r="AE282" s="258" t="s">
        <v>2129</v>
      </c>
      <c r="AF282" s="259"/>
      <c r="AG282" s="260"/>
      <c r="AH282" s="259"/>
      <c r="AI282" s="259"/>
      <c r="AJ282" s="260"/>
      <c r="AK282" s="259">
        <v>26</v>
      </c>
      <c r="AL282" s="259"/>
      <c r="AM282" s="259" t="s">
        <v>3222</v>
      </c>
      <c r="AN282" s="449"/>
      <c r="AO282" s="449"/>
      <c r="AP282" s="449"/>
      <c r="AQ282" s="392" t="str">
        <f>IFERROR(VLOOKUP(BG282,#REF!,1,0),"")</f>
        <v/>
      </c>
      <c r="AS282" s="259" t="s">
        <v>3233</v>
      </c>
      <c r="BD282" s="202" t="str">
        <f t="shared" si="47"/>
        <v>포터Ⅱ 특장다용도탑차 초장축 슈퍼캡 SUP</v>
      </c>
      <c r="BE282" s="261" t="str">
        <f t="shared" si="53"/>
        <v>0026</v>
      </c>
      <c r="BF282" s="407" t="s">
        <v>820</v>
      </c>
      <c r="BG282" s="202" t="str">
        <f t="shared" si="48"/>
        <v>0026-0281</v>
      </c>
    </row>
    <row r="283" spans="1:59">
      <c r="A283" s="405">
        <v>4057</v>
      </c>
      <c r="B283" s="406">
        <v>4057</v>
      </c>
      <c r="C283" s="261" t="str">
        <f t="shared" si="49"/>
        <v>0005-0026</v>
      </c>
      <c r="D283" s="261" t="str">
        <f t="shared" si="50"/>
        <v>0005-0026-0006</v>
      </c>
      <c r="E283" s="407" t="s">
        <v>819</v>
      </c>
      <c r="F283" s="261" t="str">
        <f>TEXT(VLOOKUP(J283,'[3]1'!$B$2:$D$37,2,0),"0000")</f>
        <v>0005</v>
      </c>
      <c r="G283" s="261" t="str">
        <f t="shared" si="51"/>
        <v>0026</v>
      </c>
      <c r="H283" s="408">
        <f t="shared" si="52"/>
        <v>6</v>
      </c>
      <c r="I283" s="407" t="s">
        <v>819</v>
      </c>
      <c r="J283" s="258" t="s">
        <v>294</v>
      </c>
      <c r="K283" s="258" t="s">
        <v>2771</v>
      </c>
      <c r="L283" s="258" t="s">
        <v>2653</v>
      </c>
      <c r="M283" s="409">
        <v>22450000</v>
      </c>
      <c r="N283" s="258">
        <v>2497</v>
      </c>
      <c r="O283" s="258" t="s">
        <v>78</v>
      </c>
      <c r="P283" s="258" t="s">
        <v>86</v>
      </c>
      <c r="Q283" s="258" t="s">
        <v>72</v>
      </c>
      <c r="R283" s="258">
        <v>5</v>
      </c>
      <c r="S283" s="410">
        <v>15</v>
      </c>
      <c r="T283" s="261">
        <v>6</v>
      </c>
      <c r="U283" s="261">
        <v>6</v>
      </c>
      <c r="V283" s="258" t="s">
        <v>71</v>
      </c>
      <c r="W283" s="261" t="str">
        <f t="shared" si="54"/>
        <v>현대자동차포터Ⅱ 특장냉동탑차 초장축 슈퍼캡 스마트 싱글컴프22450000</v>
      </c>
      <c r="X283" s="411">
        <f t="shared" si="55"/>
        <v>4057</v>
      </c>
      <c r="Y283" s="261">
        <v>6</v>
      </c>
      <c r="Z283" s="261">
        <v>6</v>
      </c>
      <c r="AA283" s="407" t="s">
        <v>819</v>
      </c>
      <c r="AB283" s="258" t="s">
        <v>73</v>
      </c>
      <c r="AC283" s="258"/>
      <c r="AD283" s="258" t="s">
        <v>2135</v>
      </c>
      <c r="AE283" s="258" t="s">
        <v>2129</v>
      </c>
      <c r="AF283" s="259"/>
      <c r="AG283" s="260"/>
      <c r="AH283" s="259"/>
      <c r="AI283" s="259"/>
      <c r="AJ283" s="260"/>
      <c r="AK283" s="259">
        <v>26</v>
      </c>
      <c r="AL283" s="259"/>
      <c r="AM283" s="259" t="s">
        <v>3222</v>
      </c>
      <c r="AN283" s="449"/>
      <c r="AO283" s="449"/>
      <c r="AP283" s="449"/>
      <c r="AQ283" s="392" t="str">
        <f>IFERROR(VLOOKUP(BG283,#REF!,1,0),"")</f>
        <v/>
      </c>
      <c r="AS283" s="259" t="s">
        <v>3233</v>
      </c>
      <c r="BD283" s="202" t="str">
        <f t="shared" si="47"/>
        <v>포터Ⅱ 특장냉동탑차 초장축 슈퍼캡 스마트 싱글컴프</v>
      </c>
      <c r="BE283" s="261" t="str">
        <f t="shared" si="53"/>
        <v>0026</v>
      </c>
      <c r="BF283" s="407" t="s">
        <v>819</v>
      </c>
      <c r="BG283" s="202" t="str">
        <f t="shared" si="48"/>
        <v>0026-0282</v>
      </c>
    </row>
    <row r="284" spans="1:59">
      <c r="A284" s="405">
        <v>4058</v>
      </c>
      <c r="B284" s="406">
        <v>4058</v>
      </c>
      <c r="C284" s="261" t="str">
        <f t="shared" si="49"/>
        <v>0005-0026</v>
      </c>
      <c r="D284" s="261" t="str">
        <f t="shared" si="50"/>
        <v>0005-0026-0007</v>
      </c>
      <c r="E284" s="407" t="s">
        <v>818</v>
      </c>
      <c r="F284" s="261" t="str">
        <f>TEXT(VLOOKUP(J284,'[3]1'!$B$2:$D$37,2,0),"0000")</f>
        <v>0005</v>
      </c>
      <c r="G284" s="261" t="str">
        <f t="shared" si="51"/>
        <v>0026</v>
      </c>
      <c r="H284" s="408">
        <f t="shared" si="52"/>
        <v>7</v>
      </c>
      <c r="I284" s="407" t="s">
        <v>818</v>
      </c>
      <c r="J284" s="258" t="s">
        <v>294</v>
      </c>
      <c r="K284" s="258" t="s">
        <v>2771</v>
      </c>
      <c r="L284" s="258" t="s">
        <v>2654</v>
      </c>
      <c r="M284" s="409">
        <v>18610000</v>
      </c>
      <c r="N284" s="258">
        <v>2497</v>
      </c>
      <c r="O284" s="258" t="s">
        <v>78</v>
      </c>
      <c r="P284" s="258" t="s">
        <v>86</v>
      </c>
      <c r="Q284" s="258" t="s">
        <v>72</v>
      </c>
      <c r="R284" s="258">
        <v>5</v>
      </c>
      <c r="S284" s="410">
        <v>15</v>
      </c>
      <c r="T284" s="261">
        <v>6</v>
      </c>
      <c r="U284" s="261">
        <v>6</v>
      </c>
      <c r="V284" s="258" t="s">
        <v>71</v>
      </c>
      <c r="W284" s="261" t="str">
        <f t="shared" si="54"/>
        <v>현대자동차포터Ⅱ 특장내장탑차 초장축 슈퍼캡 PLUS A/T18610000</v>
      </c>
      <c r="X284" s="411">
        <f t="shared" si="55"/>
        <v>4058</v>
      </c>
      <c r="Y284" s="261">
        <v>6</v>
      </c>
      <c r="Z284" s="261">
        <v>6</v>
      </c>
      <c r="AA284" s="407" t="s">
        <v>818</v>
      </c>
      <c r="AB284" s="258" t="s">
        <v>73</v>
      </c>
      <c r="AC284" s="258"/>
      <c r="AD284" s="258" t="s">
        <v>2135</v>
      </c>
      <c r="AE284" s="258" t="s">
        <v>2129</v>
      </c>
      <c r="AF284" s="259"/>
      <c r="AG284" s="260"/>
      <c r="AH284" s="259"/>
      <c r="AI284" s="259"/>
      <c r="AJ284" s="260"/>
      <c r="AK284" s="259">
        <v>26</v>
      </c>
      <c r="AL284" s="259"/>
      <c r="AM284" s="259" t="s">
        <v>3222</v>
      </c>
      <c r="AN284" s="449"/>
      <c r="AO284" s="449"/>
      <c r="AP284" s="449"/>
      <c r="AQ284" s="392" t="str">
        <f>IFERROR(VLOOKUP(BG284,#REF!,1,0),"")</f>
        <v/>
      </c>
      <c r="AS284" s="259" t="s">
        <v>3233</v>
      </c>
      <c r="BD284" s="202" t="str">
        <f t="shared" si="47"/>
        <v>포터Ⅱ 특장내장탑차 초장축 슈퍼캡 PLUS A/T</v>
      </c>
      <c r="BE284" s="261" t="str">
        <f t="shared" si="53"/>
        <v>0026</v>
      </c>
      <c r="BF284" s="407" t="s">
        <v>818</v>
      </c>
      <c r="BG284" s="202" t="str">
        <f t="shared" si="48"/>
        <v>0026-0283</v>
      </c>
    </row>
    <row r="285" spans="1:59">
      <c r="A285" s="405">
        <v>4059</v>
      </c>
      <c r="B285" s="406">
        <v>4059</v>
      </c>
      <c r="C285" s="261" t="str">
        <f t="shared" si="49"/>
        <v>0005-0026</v>
      </c>
      <c r="D285" s="261" t="str">
        <f t="shared" si="50"/>
        <v>0005-0026-0008</v>
      </c>
      <c r="E285" s="407" t="s">
        <v>817</v>
      </c>
      <c r="F285" s="261" t="str">
        <f>TEXT(VLOOKUP(J285,'[3]1'!$B$2:$D$37,2,0),"0000")</f>
        <v>0005</v>
      </c>
      <c r="G285" s="261" t="str">
        <f t="shared" si="51"/>
        <v>0026</v>
      </c>
      <c r="H285" s="408">
        <f t="shared" si="52"/>
        <v>8</v>
      </c>
      <c r="I285" s="407" t="s">
        <v>817</v>
      </c>
      <c r="J285" s="258" t="s">
        <v>294</v>
      </c>
      <c r="K285" s="258" t="s">
        <v>2771</v>
      </c>
      <c r="L285" s="258" t="s">
        <v>2655</v>
      </c>
      <c r="M285" s="409">
        <v>18980000</v>
      </c>
      <c r="N285" s="258">
        <v>2497</v>
      </c>
      <c r="O285" s="258" t="s">
        <v>78</v>
      </c>
      <c r="P285" s="258" t="s">
        <v>86</v>
      </c>
      <c r="Q285" s="258" t="s">
        <v>88</v>
      </c>
      <c r="R285" s="258" t="e">
        <v>#N/A</v>
      </c>
      <c r="S285" s="410">
        <v>15</v>
      </c>
      <c r="T285" s="261">
        <v>6</v>
      </c>
      <c r="U285" s="261">
        <v>6</v>
      </c>
      <c r="V285" s="258" t="s">
        <v>3993</v>
      </c>
      <c r="W285" s="261" t="str">
        <f t="shared" si="54"/>
        <v>현대자동차포터Ⅱ 특장하이내장탑차 초장축 슈퍼캡 SUP18980000</v>
      </c>
      <c r="X285" s="411">
        <f t="shared" si="55"/>
        <v>4059</v>
      </c>
      <c r="Y285" s="261">
        <v>6</v>
      </c>
      <c r="Z285" s="261">
        <v>6</v>
      </c>
      <c r="AA285" s="407" t="s">
        <v>817</v>
      </c>
      <c r="AB285" s="258" t="e">
        <v>#N/A</v>
      </c>
      <c r="AC285" s="258"/>
      <c r="AD285" s="258" t="s">
        <v>2135</v>
      </c>
      <c r="AE285" s="258" t="s">
        <v>2129</v>
      </c>
      <c r="AF285" s="259"/>
      <c r="AG285" s="260"/>
      <c r="AH285" s="259"/>
      <c r="AI285" s="259"/>
      <c r="AJ285" s="260"/>
      <c r="AK285" s="259">
        <v>26</v>
      </c>
      <c r="AL285" s="259"/>
      <c r="AM285" s="259" t="s">
        <v>3222</v>
      </c>
      <c r="AN285" s="449"/>
      <c r="AO285" s="449"/>
      <c r="AP285" s="449"/>
      <c r="AQ285" s="392" t="str">
        <f>IFERROR(VLOOKUP(BG285,#REF!,1,0),"")</f>
        <v/>
      </c>
      <c r="AS285" s="259" t="s">
        <v>3233</v>
      </c>
      <c r="BD285" s="202" t="str">
        <f t="shared" si="47"/>
        <v>포터Ⅱ 특장하이내장탑차 초장축 슈퍼캡 SUP</v>
      </c>
      <c r="BE285" s="261" t="str">
        <f t="shared" si="53"/>
        <v>0026</v>
      </c>
      <c r="BF285" s="407" t="s">
        <v>817</v>
      </c>
      <c r="BG285" s="202" t="str">
        <f t="shared" si="48"/>
        <v>0026-0284</v>
      </c>
    </row>
    <row r="286" spans="1:59">
      <c r="A286" s="405">
        <v>4060</v>
      </c>
      <c r="B286" s="406">
        <v>4060</v>
      </c>
      <c r="C286" s="261" t="str">
        <f t="shared" si="49"/>
        <v>0005-0026</v>
      </c>
      <c r="D286" s="261" t="str">
        <f t="shared" si="50"/>
        <v>0005-0026-0009</v>
      </c>
      <c r="E286" s="407" t="s">
        <v>816</v>
      </c>
      <c r="F286" s="261" t="str">
        <f>TEXT(VLOOKUP(J286,'[3]1'!$B$2:$D$37,2,0),"0000")</f>
        <v>0005</v>
      </c>
      <c r="G286" s="261" t="str">
        <f t="shared" si="51"/>
        <v>0026</v>
      </c>
      <c r="H286" s="408">
        <f t="shared" si="52"/>
        <v>9</v>
      </c>
      <c r="I286" s="407" t="s">
        <v>816</v>
      </c>
      <c r="J286" s="258" t="s">
        <v>294</v>
      </c>
      <c r="K286" s="258" t="s">
        <v>2771</v>
      </c>
      <c r="L286" s="258" t="s">
        <v>2656</v>
      </c>
      <c r="M286" s="409">
        <v>22070000</v>
      </c>
      <c r="N286" s="258">
        <v>2497</v>
      </c>
      <c r="O286" s="258" t="s">
        <v>78</v>
      </c>
      <c r="P286" s="258" t="s">
        <v>86</v>
      </c>
      <c r="Q286" s="258" t="s">
        <v>72</v>
      </c>
      <c r="R286" s="258" t="e">
        <v>#N/A</v>
      </c>
      <c r="S286" s="410">
        <v>15</v>
      </c>
      <c r="T286" s="261">
        <v>6</v>
      </c>
      <c r="U286" s="261">
        <v>6</v>
      </c>
      <c r="V286" s="258" t="s">
        <v>3993</v>
      </c>
      <c r="W286" s="261" t="str">
        <f t="shared" si="54"/>
        <v>현대자동차포터Ⅱ 특장냉동탑차 초장축 슈퍼캡 PLUS 트윈컴프 A/T22070000</v>
      </c>
      <c r="X286" s="411">
        <f t="shared" si="55"/>
        <v>4060</v>
      </c>
      <c r="Y286" s="261">
        <v>6</v>
      </c>
      <c r="Z286" s="261">
        <v>6</v>
      </c>
      <c r="AA286" s="407" t="s">
        <v>816</v>
      </c>
      <c r="AB286" s="258" t="e">
        <v>#N/A</v>
      </c>
      <c r="AC286" s="258"/>
      <c r="AD286" s="258" t="s">
        <v>2135</v>
      </c>
      <c r="AE286" s="258" t="s">
        <v>2129</v>
      </c>
      <c r="AF286" s="259"/>
      <c r="AG286" s="260"/>
      <c r="AH286" s="259"/>
      <c r="AI286" s="259"/>
      <c r="AJ286" s="260"/>
      <c r="AK286" s="259">
        <v>26</v>
      </c>
      <c r="AL286" s="259"/>
      <c r="AM286" s="259" t="s">
        <v>3222</v>
      </c>
      <c r="AN286" s="449"/>
      <c r="AO286" s="449"/>
      <c r="AP286" s="449"/>
      <c r="AQ286" s="392" t="str">
        <f>IFERROR(VLOOKUP(BG286,#REF!,1,0),"")</f>
        <v/>
      </c>
      <c r="AS286" s="259" t="s">
        <v>3233</v>
      </c>
      <c r="BD286" s="202" t="str">
        <f t="shared" si="47"/>
        <v>포터Ⅱ 특장냉동탑차 초장축 슈퍼캡 PLUS 트윈컴프 A/T</v>
      </c>
      <c r="BE286" s="261" t="str">
        <f t="shared" si="53"/>
        <v>0026</v>
      </c>
      <c r="BF286" s="407" t="s">
        <v>816</v>
      </c>
      <c r="BG286" s="202" t="str">
        <f t="shared" si="48"/>
        <v>0026-0285</v>
      </c>
    </row>
    <row r="287" spans="1:59">
      <c r="A287" s="405">
        <v>4061</v>
      </c>
      <c r="B287" s="406">
        <v>4061</v>
      </c>
      <c r="C287" s="261" t="str">
        <f t="shared" si="49"/>
        <v>0005-0026</v>
      </c>
      <c r="D287" s="261" t="str">
        <f t="shared" si="50"/>
        <v>0005-0026-0010</v>
      </c>
      <c r="E287" s="407" t="s">
        <v>815</v>
      </c>
      <c r="F287" s="261" t="str">
        <f>TEXT(VLOOKUP(J287,'[3]1'!$B$2:$D$37,2,0),"0000")</f>
        <v>0005</v>
      </c>
      <c r="G287" s="261" t="str">
        <f t="shared" si="51"/>
        <v>0026</v>
      </c>
      <c r="H287" s="408">
        <f t="shared" si="52"/>
        <v>10</v>
      </c>
      <c r="I287" s="407" t="s">
        <v>815</v>
      </c>
      <c r="J287" s="258" t="s">
        <v>294</v>
      </c>
      <c r="K287" s="258" t="s">
        <v>2771</v>
      </c>
      <c r="L287" s="258" t="s">
        <v>2657</v>
      </c>
      <c r="M287" s="409">
        <v>23670000</v>
      </c>
      <c r="N287" s="258">
        <v>2497</v>
      </c>
      <c r="O287" s="258" t="s">
        <v>78</v>
      </c>
      <c r="P287" s="258" t="s">
        <v>86</v>
      </c>
      <c r="Q287" s="258" t="s">
        <v>72</v>
      </c>
      <c r="R287" s="258">
        <v>5</v>
      </c>
      <c r="S287" s="410">
        <v>15</v>
      </c>
      <c r="T287" s="261">
        <v>6</v>
      </c>
      <c r="U287" s="261">
        <v>6</v>
      </c>
      <c r="V287" s="258" t="s">
        <v>71</v>
      </c>
      <c r="W287" s="261" t="str">
        <f t="shared" si="54"/>
        <v>현대자동차포터Ⅱ 특장냉동탑차 초장축 슈퍼캡 SUP 트윈컴프 A/T23670000</v>
      </c>
      <c r="X287" s="411">
        <f t="shared" si="55"/>
        <v>4061</v>
      </c>
      <c r="Y287" s="261">
        <v>6</v>
      </c>
      <c r="Z287" s="261">
        <v>6</v>
      </c>
      <c r="AA287" s="407" t="s">
        <v>815</v>
      </c>
      <c r="AB287" s="258" t="s">
        <v>73</v>
      </c>
      <c r="AC287" s="258"/>
      <c r="AD287" s="258" t="s">
        <v>2135</v>
      </c>
      <c r="AE287" s="258" t="s">
        <v>2129</v>
      </c>
      <c r="AF287" s="259"/>
      <c r="AG287" s="260"/>
      <c r="AH287" s="259"/>
      <c r="AI287" s="259"/>
      <c r="AJ287" s="260"/>
      <c r="AK287" s="259">
        <v>26</v>
      </c>
      <c r="AL287" s="259"/>
      <c r="AM287" s="259" t="s">
        <v>3222</v>
      </c>
      <c r="AN287" s="449"/>
      <c r="AO287" s="449"/>
      <c r="AP287" s="449"/>
      <c r="AQ287" s="392" t="str">
        <f>IFERROR(VLOOKUP(BG287,#REF!,1,0),"")</f>
        <v/>
      </c>
      <c r="AS287" s="259" t="s">
        <v>3233</v>
      </c>
      <c r="BD287" s="202" t="str">
        <f t="shared" si="47"/>
        <v>포터Ⅱ 특장냉동탑차 초장축 슈퍼캡 SUP 트윈컴프 A/T</v>
      </c>
      <c r="BE287" s="261" t="str">
        <f t="shared" si="53"/>
        <v>0026</v>
      </c>
      <c r="BF287" s="407" t="s">
        <v>815</v>
      </c>
      <c r="BG287" s="202" t="str">
        <f t="shared" si="48"/>
        <v>0026-0286</v>
      </c>
    </row>
    <row r="288" spans="1:59">
      <c r="A288" s="405">
        <v>4062</v>
      </c>
      <c r="B288" s="406">
        <v>4062</v>
      </c>
      <c r="C288" s="261" t="str">
        <f t="shared" si="49"/>
        <v>0005-0026</v>
      </c>
      <c r="D288" s="261" t="str">
        <f t="shared" si="50"/>
        <v>0005-0026-0011</v>
      </c>
      <c r="E288" s="407" t="s">
        <v>814</v>
      </c>
      <c r="F288" s="261" t="str">
        <f>TEXT(VLOOKUP(J288,'[3]1'!$B$2:$D$37,2,0),"0000")</f>
        <v>0005</v>
      </c>
      <c r="G288" s="261" t="str">
        <f t="shared" si="51"/>
        <v>0026</v>
      </c>
      <c r="H288" s="408">
        <f t="shared" si="52"/>
        <v>11</v>
      </c>
      <c r="I288" s="407" t="s">
        <v>814</v>
      </c>
      <c r="J288" s="258" t="s">
        <v>294</v>
      </c>
      <c r="K288" s="258" t="s">
        <v>2771</v>
      </c>
      <c r="L288" s="258" t="s">
        <v>2658</v>
      </c>
      <c r="M288" s="409">
        <v>22040000</v>
      </c>
      <c r="N288" s="258">
        <v>2497</v>
      </c>
      <c r="O288" s="258" t="s">
        <v>78</v>
      </c>
      <c r="P288" s="258" t="s">
        <v>86</v>
      </c>
      <c r="Q288" s="258" t="s">
        <v>88</v>
      </c>
      <c r="R288" s="258">
        <v>5</v>
      </c>
      <c r="S288" s="410">
        <v>15</v>
      </c>
      <c r="T288" s="261">
        <v>6</v>
      </c>
      <c r="U288" s="261">
        <v>6</v>
      </c>
      <c r="V288" s="258" t="s">
        <v>71</v>
      </c>
      <c r="W288" s="261" t="str">
        <f t="shared" si="54"/>
        <v>현대자동차포터Ⅱ 특장하이냉동탑차 초장축 슈퍼캡 SUP 싱글컴프22040000</v>
      </c>
      <c r="X288" s="411">
        <f t="shared" si="55"/>
        <v>4062</v>
      </c>
      <c r="Y288" s="261">
        <v>6</v>
      </c>
      <c r="Z288" s="261">
        <v>6</v>
      </c>
      <c r="AA288" s="407" t="s">
        <v>814</v>
      </c>
      <c r="AB288" s="258" t="s">
        <v>73</v>
      </c>
      <c r="AC288" s="258"/>
      <c r="AD288" s="258" t="s">
        <v>2135</v>
      </c>
      <c r="AE288" s="258" t="s">
        <v>2129</v>
      </c>
      <c r="AF288" s="259"/>
      <c r="AG288" s="260"/>
      <c r="AH288" s="259"/>
      <c r="AI288" s="259"/>
      <c r="AJ288" s="260"/>
      <c r="AK288" s="259">
        <v>26</v>
      </c>
      <c r="AL288" s="259"/>
      <c r="AM288" s="259" t="s">
        <v>3222</v>
      </c>
      <c r="AN288" s="449"/>
      <c r="AO288" s="449"/>
      <c r="AP288" s="449"/>
      <c r="AQ288" s="392" t="str">
        <f>IFERROR(VLOOKUP(BG288,#REF!,1,0),"")</f>
        <v/>
      </c>
      <c r="AS288" s="259" t="s">
        <v>3233</v>
      </c>
      <c r="BD288" s="202" t="str">
        <f t="shared" si="47"/>
        <v>포터Ⅱ 특장하이냉동탑차 초장축 슈퍼캡 SUP 싱글컴프</v>
      </c>
      <c r="BE288" s="261" t="str">
        <f t="shared" si="53"/>
        <v>0026</v>
      </c>
      <c r="BF288" s="407" t="s">
        <v>814</v>
      </c>
      <c r="BG288" s="202" t="str">
        <f t="shared" si="48"/>
        <v>0026-0287</v>
      </c>
    </row>
    <row r="289" spans="1:59">
      <c r="A289" s="405">
        <v>4063</v>
      </c>
      <c r="B289" s="406">
        <v>4063</v>
      </c>
      <c r="C289" s="261" t="str">
        <f t="shared" si="49"/>
        <v>0005-0026</v>
      </c>
      <c r="D289" s="261" t="str">
        <f t="shared" si="50"/>
        <v>0005-0026-0012</v>
      </c>
      <c r="E289" s="407" t="s">
        <v>813</v>
      </c>
      <c r="F289" s="261" t="str">
        <f>TEXT(VLOOKUP(J289,'[3]1'!$B$2:$D$37,2,0),"0000")</f>
        <v>0005</v>
      </c>
      <c r="G289" s="261" t="str">
        <f t="shared" si="51"/>
        <v>0026</v>
      </c>
      <c r="H289" s="408">
        <f t="shared" si="52"/>
        <v>12</v>
      </c>
      <c r="I289" s="407" t="s">
        <v>813</v>
      </c>
      <c r="J289" s="258" t="s">
        <v>294</v>
      </c>
      <c r="K289" s="258" t="s">
        <v>2771</v>
      </c>
      <c r="L289" s="258" t="s">
        <v>2659</v>
      </c>
      <c r="M289" s="409">
        <v>18210000</v>
      </c>
      <c r="N289" s="258">
        <v>2497</v>
      </c>
      <c r="O289" s="258" t="s">
        <v>78</v>
      </c>
      <c r="P289" s="258" t="s">
        <v>86</v>
      </c>
      <c r="Q289" s="258" t="s">
        <v>88</v>
      </c>
      <c r="R289" s="258" t="e">
        <v>#N/A</v>
      </c>
      <c r="S289" s="410">
        <v>15</v>
      </c>
      <c r="T289" s="261">
        <v>6</v>
      </c>
      <c r="U289" s="261">
        <v>6</v>
      </c>
      <c r="V289" s="258" t="s">
        <v>3993</v>
      </c>
      <c r="W289" s="261" t="str">
        <f t="shared" si="54"/>
        <v>현대자동차포터Ⅱ 특장파워게이트 초장축 슈퍼캡 SUP18210000</v>
      </c>
      <c r="X289" s="411">
        <f t="shared" si="55"/>
        <v>4063</v>
      </c>
      <c r="Y289" s="261">
        <v>6</v>
      </c>
      <c r="Z289" s="261">
        <v>6</v>
      </c>
      <c r="AA289" s="407" t="s">
        <v>813</v>
      </c>
      <c r="AB289" s="258" t="e">
        <v>#N/A</v>
      </c>
      <c r="AC289" s="258"/>
      <c r="AD289" s="258" t="s">
        <v>2135</v>
      </c>
      <c r="AE289" s="258" t="s">
        <v>2129</v>
      </c>
      <c r="AF289" s="259"/>
      <c r="AG289" s="260"/>
      <c r="AH289" s="259"/>
      <c r="AI289" s="259"/>
      <c r="AJ289" s="260"/>
      <c r="AK289" s="259">
        <v>26</v>
      </c>
      <c r="AL289" s="259"/>
      <c r="AM289" s="259" t="s">
        <v>3222</v>
      </c>
      <c r="AN289" s="449"/>
      <c r="AO289" s="449"/>
      <c r="AP289" s="449"/>
      <c r="AQ289" s="392" t="str">
        <f>IFERROR(VLOOKUP(BG289,#REF!,1,0),"")</f>
        <v/>
      </c>
      <c r="AS289" s="259" t="s">
        <v>3233</v>
      </c>
      <c r="BD289" s="202" t="str">
        <f t="shared" si="47"/>
        <v>포터Ⅱ 특장파워게이트 초장축 슈퍼캡 SUP</v>
      </c>
      <c r="BE289" s="261" t="str">
        <f t="shared" si="53"/>
        <v>0026</v>
      </c>
      <c r="BF289" s="407" t="s">
        <v>813</v>
      </c>
      <c r="BG289" s="202" t="str">
        <f t="shared" si="48"/>
        <v>0026-0288</v>
      </c>
    </row>
    <row r="290" spans="1:59">
      <c r="A290" s="405">
        <v>4064</v>
      </c>
      <c r="B290" s="406">
        <v>4064</v>
      </c>
      <c r="C290" s="261" t="str">
        <f t="shared" si="49"/>
        <v>0005-0026</v>
      </c>
      <c r="D290" s="261" t="str">
        <f t="shared" si="50"/>
        <v>0005-0026-0013</v>
      </c>
      <c r="E290" s="407" t="s">
        <v>812</v>
      </c>
      <c r="F290" s="261" t="str">
        <f>TEXT(VLOOKUP(J290,'[3]1'!$B$2:$D$37,2,0),"0000")</f>
        <v>0005</v>
      </c>
      <c r="G290" s="261" t="str">
        <f t="shared" si="51"/>
        <v>0026</v>
      </c>
      <c r="H290" s="408">
        <f t="shared" si="52"/>
        <v>13</v>
      </c>
      <c r="I290" s="407" t="s">
        <v>812</v>
      </c>
      <c r="J290" s="258" t="s">
        <v>294</v>
      </c>
      <c r="K290" s="258" t="s">
        <v>2771</v>
      </c>
      <c r="L290" s="258" t="s">
        <v>2660</v>
      </c>
      <c r="M290" s="409">
        <v>17490000</v>
      </c>
      <c r="N290" s="258">
        <v>2497</v>
      </c>
      <c r="O290" s="258" t="s">
        <v>78</v>
      </c>
      <c r="P290" s="258" t="s">
        <v>86</v>
      </c>
      <c r="Q290" s="258" t="s">
        <v>88</v>
      </c>
      <c r="R290" s="258" t="e">
        <v>#N/A</v>
      </c>
      <c r="S290" s="410">
        <v>15</v>
      </c>
      <c r="T290" s="261">
        <v>6</v>
      </c>
      <c r="U290" s="261">
        <v>6</v>
      </c>
      <c r="V290" s="258" t="s">
        <v>3993</v>
      </c>
      <c r="W290" s="261" t="str">
        <f t="shared" si="54"/>
        <v>현대자동차포터Ⅱ 특장내장탑차 초장축 슈퍼캡 PLUS17490000</v>
      </c>
      <c r="X290" s="411">
        <f t="shared" si="55"/>
        <v>4064</v>
      </c>
      <c r="Y290" s="261">
        <v>6</v>
      </c>
      <c r="Z290" s="261">
        <v>6</v>
      </c>
      <c r="AA290" s="407" t="s">
        <v>812</v>
      </c>
      <c r="AB290" s="258" t="e">
        <v>#N/A</v>
      </c>
      <c r="AC290" s="258"/>
      <c r="AD290" s="258" t="s">
        <v>2135</v>
      </c>
      <c r="AE290" s="258" t="s">
        <v>2129</v>
      </c>
      <c r="AF290" s="259"/>
      <c r="AG290" s="260"/>
      <c r="AH290" s="259"/>
      <c r="AI290" s="259"/>
      <c r="AJ290" s="260"/>
      <c r="AK290" s="259">
        <v>26</v>
      </c>
      <c r="AL290" s="259"/>
      <c r="AM290" s="259" t="s">
        <v>3222</v>
      </c>
      <c r="AN290" s="449"/>
      <c r="AO290" s="449"/>
      <c r="AP290" s="449"/>
      <c r="AQ290" s="392" t="str">
        <f>IFERROR(VLOOKUP(BG290,#REF!,1,0),"")</f>
        <v/>
      </c>
      <c r="AS290" s="259" t="s">
        <v>3233</v>
      </c>
      <c r="BD290" s="202" t="str">
        <f t="shared" si="47"/>
        <v>포터Ⅱ 특장내장탑차 초장축 슈퍼캡 PLUS</v>
      </c>
      <c r="BE290" s="261" t="str">
        <f t="shared" si="53"/>
        <v>0026</v>
      </c>
      <c r="BF290" s="407" t="s">
        <v>812</v>
      </c>
      <c r="BG290" s="202" t="str">
        <f t="shared" si="48"/>
        <v>0026-0289</v>
      </c>
    </row>
    <row r="291" spans="1:59">
      <c r="A291" s="405">
        <v>4065</v>
      </c>
      <c r="B291" s="406">
        <v>4065</v>
      </c>
      <c r="C291" s="261" t="str">
        <f t="shared" si="49"/>
        <v>0005-0026</v>
      </c>
      <c r="D291" s="261" t="str">
        <f t="shared" si="50"/>
        <v>0005-0026-0014</v>
      </c>
      <c r="E291" s="407" t="s">
        <v>811</v>
      </c>
      <c r="F291" s="261" t="str">
        <f>TEXT(VLOOKUP(J291,'[3]1'!$B$2:$D$37,2,0),"0000")</f>
        <v>0005</v>
      </c>
      <c r="G291" s="261" t="str">
        <f t="shared" si="51"/>
        <v>0026</v>
      </c>
      <c r="H291" s="408">
        <f t="shared" si="52"/>
        <v>14</v>
      </c>
      <c r="I291" s="407" t="s">
        <v>811</v>
      </c>
      <c r="J291" s="258" t="s">
        <v>294</v>
      </c>
      <c r="K291" s="258" t="s">
        <v>2771</v>
      </c>
      <c r="L291" s="258" t="s">
        <v>2661</v>
      </c>
      <c r="M291" s="409">
        <v>19970000</v>
      </c>
      <c r="N291" s="258">
        <v>2497</v>
      </c>
      <c r="O291" s="258" t="s">
        <v>78</v>
      </c>
      <c r="P291" s="258" t="s">
        <v>86</v>
      </c>
      <c r="Q291" s="258" t="s">
        <v>72</v>
      </c>
      <c r="R291" s="258" t="e">
        <v>#N/A</v>
      </c>
      <c r="S291" s="410">
        <v>15</v>
      </c>
      <c r="T291" s="261">
        <v>6</v>
      </c>
      <c r="U291" s="261">
        <v>6</v>
      </c>
      <c r="V291" s="258" t="s">
        <v>3993</v>
      </c>
      <c r="W291" s="261" t="str">
        <f t="shared" si="54"/>
        <v>현대자동차포터Ⅱ 특장파워게이트 초장축 슈퍼캡 스마트 A/T19970000</v>
      </c>
      <c r="X291" s="411">
        <f t="shared" si="55"/>
        <v>4065</v>
      </c>
      <c r="Y291" s="261">
        <v>6</v>
      </c>
      <c r="Z291" s="261">
        <v>6</v>
      </c>
      <c r="AA291" s="407" t="s">
        <v>811</v>
      </c>
      <c r="AB291" s="258" t="e">
        <v>#N/A</v>
      </c>
      <c r="AC291" s="258"/>
      <c r="AD291" s="258" t="s">
        <v>2135</v>
      </c>
      <c r="AE291" s="258" t="s">
        <v>2129</v>
      </c>
      <c r="AF291" s="259"/>
      <c r="AG291" s="260"/>
      <c r="AH291" s="259"/>
      <c r="AI291" s="259"/>
      <c r="AJ291" s="260"/>
      <c r="AK291" s="259">
        <v>26</v>
      </c>
      <c r="AL291" s="259"/>
      <c r="AM291" s="259" t="s">
        <v>3222</v>
      </c>
      <c r="AN291" s="449"/>
      <c r="AO291" s="449"/>
      <c r="AP291" s="449"/>
      <c r="AQ291" s="392" t="str">
        <f>IFERROR(VLOOKUP(BG291,#REF!,1,0),"")</f>
        <v/>
      </c>
      <c r="AS291" s="259" t="s">
        <v>3233</v>
      </c>
      <c r="BD291" s="202" t="str">
        <f t="shared" si="47"/>
        <v>포터Ⅱ 특장파워게이트 초장축 슈퍼캡 스마트 A/T</v>
      </c>
      <c r="BE291" s="261" t="str">
        <f t="shared" si="53"/>
        <v>0026</v>
      </c>
      <c r="BF291" s="407" t="s">
        <v>811</v>
      </c>
      <c r="BG291" s="202" t="str">
        <f t="shared" si="48"/>
        <v>0026-0290</v>
      </c>
    </row>
    <row r="292" spans="1:59">
      <c r="A292" s="405">
        <v>4066</v>
      </c>
      <c r="B292" s="406">
        <v>4066</v>
      </c>
      <c r="C292" s="261" t="str">
        <f t="shared" si="49"/>
        <v>0005-0026</v>
      </c>
      <c r="D292" s="261" t="str">
        <f t="shared" si="50"/>
        <v>0005-0026-0015</v>
      </c>
      <c r="E292" s="407" t="s">
        <v>810</v>
      </c>
      <c r="F292" s="261" t="str">
        <f>TEXT(VLOOKUP(J292,'[3]1'!$B$2:$D$37,2,0),"0000")</f>
        <v>0005</v>
      </c>
      <c r="G292" s="261" t="str">
        <f t="shared" si="51"/>
        <v>0026</v>
      </c>
      <c r="H292" s="408">
        <f t="shared" si="52"/>
        <v>15</v>
      </c>
      <c r="I292" s="407" t="s">
        <v>810</v>
      </c>
      <c r="J292" s="258" t="s">
        <v>294</v>
      </c>
      <c r="K292" s="258" t="s">
        <v>2771</v>
      </c>
      <c r="L292" s="258" t="s">
        <v>2662</v>
      </c>
      <c r="M292" s="409">
        <v>21290000</v>
      </c>
      <c r="N292" s="258">
        <v>2497</v>
      </c>
      <c r="O292" s="258" t="s">
        <v>78</v>
      </c>
      <c r="P292" s="258" t="s">
        <v>86</v>
      </c>
      <c r="Q292" s="258" t="s">
        <v>72</v>
      </c>
      <c r="R292" s="258" t="e">
        <v>#N/A</v>
      </c>
      <c r="S292" s="410">
        <v>15</v>
      </c>
      <c r="T292" s="261">
        <v>6</v>
      </c>
      <c r="U292" s="261">
        <v>6</v>
      </c>
      <c r="V292" s="258" t="s">
        <v>3993</v>
      </c>
      <c r="W292" s="261" t="str">
        <f t="shared" si="54"/>
        <v>현대자동차포터Ⅱ 특장파워게이트 초장축 더블캡 스마트 A/T21290000</v>
      </c>
      <c r="X292" s="411">
        <f t="shared" si="55"/>
        <v>4066</v>
      </c>
      <c r="Y292" s="261">
        <v>6</v>
      </c>
      <c r="Z292" s="261">
        <v>6</v>
      </c>
      <c r="AA292" s="407" t="s">
        <v>810</v>
      </c>
      <c r="AB292" s="258" t="e">
        <v>#N/A</v>
      </c>
      <c r="AC292" s="258"/>
      <c r="AD292" s="258" t="s">
        <v>2135</v>
      </c>
      <c r="AE292" s="258" t="s">
        <v>2129</v>
      </c>
      <c r="AF292" s="259"/>
      <c r="AG292" s="260"/>
      <c r="AH292" s="259"/>
      <c r="AI292" s="259"/>
      <c r="AJ292" s="260"/>
      <c r="AK292" s="259">
        <v>26</v>
      </c>
      <c r="AL292" s="259"/>
      <c r="AM292" s="259" t="s">
        <v>3222</v>
      </c>
      <c r="AN292" s="449"/>
      <c r="AO292" s="449"/>
      <c r="AP292" s="449"/>
      <c r="AQ292" s="392" t="str">
        <f>IFERROR(VLOOKUP(BG292,#REF!,1,0),"")</f>
        <v/>
      </c>
      <c r="AS292" s="259" t="s">
        <v>3233</v>
      </c>
      <c r="BD292" s="202" t="str">
        <f t="shared" si="47"/>
        <v>포터Ⅱ 특장파워게이트 초장축 더블캡 스마트 A/T</v>
      </c>
      <c r="BE292" s="261" t="str">
        <f t="shared" si="53"/>
        <v>0026</v>
      </c>
      <c r="BF292" s="407" t="s">
        <v>810</v>
      </c>
      <c r="BG292" s="202" t="str">
        <f t="shared" si="48"/>
        <v>0026-0291</v>
      </c>
    </row>
    <row r="293" spans="1:59">
      <c r="A293" s="405">
        <v>4067</v>
      </c>
      <c r="B293" s="406">
        <v>4067</v>
      </c>
      <c r="C293" s="261" t="str">
        <f t="shared" si="49"/>
        <v>0005-0026</v>
      </c>
      <c r="D293" s="261" t="str">
        <f t="shared" si="50"/>
        <v>0005-0026-0016</v>
      </c>
      <c r="E293" s="407" t="s">
        <v>809</v>
      </c>
      <c r="F293" s="261" t="str">
        <f>TEXT(VLOOKUP(J293,'[3]1'!$B$2:$D$37,2,0),"0000")</f>
        <v>0005</v>
      </c>
      <c r="G293" s="261" t="str">
        <f t="shared" si="51"/>
        <v>0026</v>
      </c>
      <c r="H293" s="408">
        <f t="shared" si="52"/>
        <v>16</v>
      </c>
      <c r="I293" s="407" t="s">
        <v>809</v>
      </c>
      <c r="J293" s="258" t="s">
        <v>294</v>
      </c>
      <c r="K293" s="258" t="s">
        <v>2771</v>
      </c>
      <c r="L293" s="258" t="s">
        <v>2663</v>
      </c>
      <c r="M293" s="409">
        <v>21120000</v>
      </c>
      <c r="N293" s="258">
        <v>2497</v>
      </c>
      <c r="O293" s="258" t="s">
        <v>78</v>
      </c>
      <c r="P293" s="258" t="s">
        <v>86</v>
      </c>
      <c r="Q293" s="258" t="s">
        <v>72</v>
      </c>
      <c r="R293" s="258" t="e">
        <v>#N/A</v>
      </c>
      <c r="S293" s="410">
        <v>15</v>
      </c>
      <c r="T293" s="261">
        <v>6</v>
      </c>
      <c r="U293" s="261">
        <v>6</v>
      </c>
      <c r="V293" s="258" t="s">
        <v>3993</v>
      </c>
      <c r="W293" s="261" t="str">
        <f t="shared" si="54"/>
        <v>현대자동차포터Ⅱ 특장전동식윙바디 초장축 슈퍼캡 PLUS A/T21120000</v>
      </c>
      <c r="X293" s="411">
        <f t="shared" si="55"/>
        <v>4067</v>
      </c>
      <c r="Y293" s="261">
        <v>6</v>
      </c>
      <c r="Z293" s="261">
        <v>6</v>
      </c>
      <c r="AA293" s="407" t="s">
        <v>809</v>
      </c>
      <c r="AB293" s="258" t="e">
        <v>#N/A</v>
      </c>
      <c r="AC293" s="258"/>
      <c r="AD293" s="258" t="s">
        <v>2135</v>
      </c>
      <c r="AE293" s="258" t="s">
        <v>2129</v>
      </c>
      <c r="AF293" s="259"/>
      <c r="AG293" s="260"/>
      <c r="AH293" s="259"/>
      <c r="AI293" s="259"/>
      <c r="AJ293" s="260"/>
      <c r="AK293" s="259">
        <v>26</v>
      </c>
      <c r="AL293" s="259"/>
      <c r="AM293" s="259" t="s">
        <v>3222</v>
      </c>
      <c r="AN293" s="449"/>
      <c r="AO293" s="449"/>
      <c r="AP293" s="449"/>
      <c r="AQ293" s="392" t="str">
        <f>IFERROR(VLOOKUP(BG293,#REF!,1,0),"")</f>
        <v/>
      </c>
      <c r="AS293" s="259" t="s">
        <v>3233</v>
      </c>
      <c r="BD293" s="202" t="str">
        <f t="shared" si="47"/>
        <v>포터Ⅱ 특장전동식윙바디 초장축 슈퍼캡 PLUS A/T</v>
      </c>
      <c r="BE293" s="261" t="str">
        <f t="shared" si="53"/>
        <v>0026</v>
      </c>
      <c r="BF293" s="407" t="s">
        <v>809</v>
      </c>
      <c r="BG293" s="202" t="str">
        <f t="shared" si="48"/>
        <v>0026-0292</v>
      </c>
    </row>
    <row r="294" spans="1:59">
      <c r="A294" s="405">
        <v>4068</v>
      </c>
      <c r="B294" s="406">
        <v>4068</v>
      </c>
      <c r="C294" s="261" t="str">
        <f t="shared" si="49"/>
        <v>0005-0026</v>
      </c>
      <c r="D294" s="261" t="str">
        <f t="shared" si="50"/>
        <v>0005-0026-0017</v>
      </c>
      <c r="E294" s="407" t="s">
        <v>808</v>
      </c>
      <c r="F294" s="261" t="str">
        <f>TEXT(VLOOKUP(J294,'[3]1'!$B$2:$D$37,2,0),"0000")</f>
        <v>0005</v>
      </c>
      <c r="G294" s="261" t="str">
        <f t="shared" si="51"/>
        <v>0026</v>
      </c>
      <c r="H294" s="408">
        <f t="shared" si="52"/>
        <v>17</v>
      </c>
      <c r="I294" s="407" t="s">
        <v>808</v>
      </c>
      <c r="J294" s="258" t="s">
        <v>294</v>
      </c>
      <c r="K294" s="258" t="s">
        <v>2771</v>
      </c>
      <c r="L294" s="258" t="s">
        <v>2664</v>
      </c>
      <c r="M294" s="409">
        <v>19090000</v>
      </c>
      <c r="N294" s="258">
        <v>2497</v>
      </c>
      <c r="O294" s="258" t="s">
        <v>78</v>
      </c>
      <c r="P294" s="258" t="s">
        <v>86</v>
      </c>
      <c r="Q294" s="258" t="s">
        <v>88</v>
      </c>
      <c r="R294" s="258" t="e">
        <v>#N/A</v>
      </c>
      <c r="S294" s="410">
        <v>15</v>
      </c>
      <c r="T294" s="261">
        <v>6</v>
      </c>
      <c r="U294" s="261">
        <v>6</v>
      </c>
      <c r="V294" s="258" t="s">
        <v>3993</v>
      </c>
      <c r="W294" s="261" t="str">
        <f t="shared" si="54"/>
        <v>현대자동차포터Ⅱ 특장수동식윙바디 초장축 슈퍼캡 SUP19090000</v>
      </c>
      <c r="X294" s="411">
        <f t="shared" si="55"/>
        <v>4068</v>
      </c>
      <c r="Y294" s="261">
        <v>6</v>
      </c>
      <c r="Z294" s="261">
        <v>6</v>
      </c>
      <c r="AA294" s="407" t="s">
        <v>808</v>
      </c>
      <c r="AB294" s="258" t="e">
        <v>#N/A</v>
      </c>
      <c r="AC294" s="258"/>
      <c r="AD294" s="258" t="s">
        <v>2135</v>
      </c>
      <c r="AE294" s="258" t="s">
        <v>2129</v>
      </c>
      <c r="AF294" s="259"/>
      <c r="AG294" s="260"/>
      <c r="AH294" s="259"/>
      <c r="AI294" s="259"/>
      <c r="AJ294" s="260"/>
      <c r="AK294" s="259">
        <v>26</v>
      </c>
      <c r="AL294" s="259"/>
      <c r="AM294" s="259" t="s">
        <v>3222</v>
      </c>
      <c r="AN294" s="449"/>
      <c r="AO294" s="449"/>
      <c r="AP294" s="449"/>
      <c r="AQ294" s="392" t="str">
        <f>IFERROR(VLOOKUP(BG294,#REF!,1,0),"")</f>
        <v/>
      </c>
      <c r="AS294" s="259" t="s">
        <v>3233</v>
      </c>
      <c r="BD294" s="202" t="str">
        <f t="shared" si="47"/>
        <v>포터Ⅱ 특장수동식윙바디 초장축 슈퍼캡 SUP</v>
      </c>
      <c r="BE294" s="261" t="str">
        <f t="shared" si="53"/>
        <v>0026</v>
      </c>
      <c r="BF294" s="407" t="s">
        <v>808</v>
      </c>
      <c r="BG294" s="202" t="str">
        <f t="shared" si="48"/>
        <v>0026-0293</v>
      </c>
    </row>
    <row r="295" spans="1:59">
      <c r="A295" s="405">
        <v>4069</v>
      </c>
      <c r="B295" s="406">
        <v>4069</v>
      </c>
      <c r="C295" s="261" t="str">
        <f t="shared" si="49"/>
        <v>0005-0026</v>
      </c>
      <c r="D295" s="261" t="str">
        <f t="shared" si="50"/>
        <v>0005-0026-0018</v>
      </c>
      <c r="E295" s="407" t="s">
        <v>807</v>
      </c>
      <c r="F295" s="261" t="str">
        <f>TEXT(VLOOKUP(J295,'[3]1'!$B$2:$D$37,2,0),"0000")</f>
        <v>0005</v>
      </c>
      <c r="G295" s="261" t="str">
        <f t="shared" si="51"/>
        <v>0026</v>
      </c>
      <c r="H295" s="408">
        <f t="shared" si="52"/>
        <v>18</v>
      </c>
      <c r="I295" s="407" t="s">
        <v>807</v>
      </c>
      <c r="J295" s="258" t="s">
        <v>294</v>
      </c>
      <c r="K295" s="258" t="s">
        <v>2771</v>
      </c>
      <c r="L295" s="258" t="s">
        <v>2665</v>
      </c>
      <c r="M295" s="409">
        <v>18190000</v>
      </c>
      <c r="N295" s="258">
        <v>2497</v>
      </c>
      <c r="O295" s="258" t="s">
        <v>78</v>
      </c>
      <c r="P295" s="258" t="s">
        <v>86</v>
      </c>
      <c r="Q295" s="258" t="s">
        <v>88</v>
      </c>
      <c r="R295" s="258" t="e">
        <v>#N/A</v>
      </c>
      <c r="S295" s="410">
        <v>15</v>
      </c>
      <c r="T295" s="261">
        <v>6</v>
      </c>
      <c r="U295" s="261">
        <v>6</v>
      </c>
      <c r="V295" s="258" t="s">
        <v>3993</v>
      </c>
      <c r="W295" s="261" t="str">
        <f t="shared" si="54"/>
        <v>현대자동차포터Ⅱ 특장수동식윙바디 초장축 슈퍼캡 PLUS18190000</v>
      </c>
      <c r="X295" s="411">
        <f t="shared" si="55"/>
        <v>4069</v>
      </c>
      <c r="Y295" s="261">
        <v>6</v>
      </c>
      <c r="Z295" s="261">
        <v>6</v>
      </c>
      <c r="AA295" s="407" t="s">
        <v>807</v>
      </c>
      <c r="AB295" s="258" t="e">
        <v>#N/A</v>
      </c>
      <c r="AC295" s="258"/>
      <c r="AD295" s="258" t="s">
        <v>2135</v>
      </c>
      <c r="AE295" s="258" t="s">
        <v>2129</v>
      </c>
      <c r="AF295" s="259"/>
      <c r="AG295" s="260"/>
      <c r="AH295" s="259"/>
      <c r="AI295" s="259"/>
      <c r="AJ295" s="260"/>
      <c r="AK295" s="259">
        <v>26</v>
      </c>
      <c r="AL295" s="259"/>
      <c r="AM295" s="259" t="s">
        <v>3222</v>
      </c>
      <c r="AN295" s="449"/>
      <c r="AO295" s="449"/>
      <c r="AP295" s="449"/>
      <c r="AQ295" s="392" t="str">
        <f>IFERROR(VLOOKUP(BG295,#REF!,1,0),"")</f>
        <v/>
      </c>
      <c r="AS295" s="259" t="s">
        <v>3233</v>
      </c>
      <c r="BD295" s="202" t="str">
        <f t="shared" si="47"/>
        <v>포터Ⅱ 특장수동식윙바디 초장축 슈퍼캡 PLUS</v>
      </c>
      <c r="BE295" s="261" t="str">
        <f t="shared" si="53"/>
        <v>0026</v>
      </c>
      <c r="BF295" s="407" t="s">
        <v>807</v>
      </c>
      <c r="BG295" s="202" t="str">
        <f t="shared" si="48"/>
        <v>0026-0294</v>
      </c>
    </row>
    <row r="296" spans="1:59">
      <c r="A296" s="405">
        <v>4070</v>
      </c>
      <c r="B296" s="406">
        <v>4070</v>
      </c>
      <c r="C296" s="261" t="str">
        <f t="shared" si="49"/>
        <v>0005-0026</v>
      </c>
      <c r="D296" s="261" t="str">
        <f t="shared" si="50"/>
        <v>0005-0026-0019</v>
      </c>
      <c r="E296" s="407" t="s">
        <v>806</v>
      </c>
      <c r="F296" s="261" t="str">
        <f>TEXT(VLOOKUP(J296,'[3]1'!$B$2:$D$37,2,0),"0000")</f>
        <v>0005</v>
      </c>
      <c r="G296" s="261" t="str">
        <f t="shared" si="51"/>
        <v>0026</v>
      </c>
      <c r="H296" s="408">
        <f t="shared" si="52"/>
        <v>19</v>
      </c>
      <c r="I296" s="407" t="s">
        <v>806</v>
      </c>
      <c r="J296" s="258" t="s">
        <v>294</v>
      </c>
      <c r="K296" s="258" t="s">
        <v>2771</v>
      </c>
      <c r="L296" s="258" t="s">
        <v>2666</v>
      </c>
      <c r="M296" s="409">
        <v>22450000</v>
      </c>
      <c r="N296" s="258">
        <v>2497</v>
      </c>
      <c r="O296" s="258" t="s">
        <v>78</v>
      </c>
      <c r="P296" s="258" t="s">
        <v>86</v>
      </c>
      <c r="Q296" s="258" t="s">
        <v>88</v>
      </c>
      <c r="R296" s="258" t="e">
        <v>#N/A</v>
      </c>
      <c r="S296" s="410">
        <v>15</v>
      </c>
      <c r="T296" s="261">
        <v>6</v>
      </c>
      <c r="U296" s="261">
        <v>6</v>
      </c>
      <c r="V296" s="258" t="s">
        <v>3993</v>
      </c>
      <c r="W296" s="261" t="str">
        <f t="shared" si="54"/>
        <v>현대자동차포터Ⅱ 특장냉동탑차 초장축 슈퍼캡 스마트 M/T22450000</v>
      </c>
      <c r="X296" s="411">
        <f t="shared" si="55"/>
        <v>4070</v>
      </c>
      <c r="Y296" s="261">
        <v>6</v>
      </c>
      <c r="Z296" s="261">
        <v>6</v>
      </c>
      <c r="AA296" s="407" t="s">
        <v>806</v>
      </c>
      <c r="AB296" s="258" t="e">
        <v>#N/A</v>
      </c>
      <c r="AC296" s="258"/>
      <c r="AD296" s="258" t="s">
        <v>2135</v>
      </c>
      <c r="AE296" s="258" t="s">
        <v>2129</v>
      </c>
      <c r="AF296" s="259"/>
      <c r="AG296" s="260"/>
      <c r="AH296" s="259"/>
      <c r="AI296" s="259"/>
      <c r="AJ296" s="260"/>
      <c r="AK296" s="259">
        <v>26</v>
      </c>
      <c r="AL296" s="259"/>
      <c r="AM296" s="259" t="s">
        <v>3222</v>
      </c>
      <c r="AN296" s="449"/>
      <c r="AO296" s="449"/>
      <c r="AP296" s="449"/>
      <c r="AQ296" s="392" t="str">
        <f>IFERROR(VLOOKUP(BG296,#REF!,1,0),"")</f>
        <v/>
      </c>
      <c r="AS296" s="259" t="s">
        <v>3233</v>
      </c>
      <c r="BD296" s="202" t="str">
        <f t="shared" si="47"/>
        <v>포터Ⅱ 특장냉동탑차 초장축 슈퍼캡 스마트 M/T</v>
      </c>
      <c r="BE296" s="261" t="str">
        <f t="shared" si="53"/>
        <v>0026</v>
      </c>
      <c r="BF296" s="407" t="s">
        <v>806</v>
      </c>
      <c r="BG296" s="202" t="str">
        <f t="shared" si="48"/>
        <v>0026-0295</v>
      </c>
    </row>
    <row r="297" spans="1:59">
      <c r="A297" s="405">
        <v>4071</v>
      </c>
      <c r="B297" s="406">
        <v>4071</v>
      </c>
      <c r="C297" s="261" t="str">
        <f t="shared" si="49"/>
        <v>0005-0026</v>
      </c>
      <c r="D297" s="261" t="str">
        <f t="shared" si="50"/>
        <v>0005-0026-0020</v>
      </c>
      <c r="E297" s="407" t="s">
        <v>805</v>
      </c>
      <c r="F297" s="261" t="str">
        <f>TEXT(VLOOKUP(J297,'[3]1'!$B$2:$D$37,2,0),"0000")</f>
        <v>0005</v>
      </c>
      <c r="G297" s="261" t="str">
        <f t="shared" si="51"/>
        <v>0026</v>
      </c>
      <c r="H297" s="408">
        <f t="shared" si="52"/>
        <v>20</v>
      </c>
      <c r="I297" s="407" t="s">
        <v>805</v>
      </c>
      <c r="J297" s="258" t="s">
        <v>294</v>
      </c>
      <c r="K297" s="258" t="s">
        <v>2771</v>
      </c>
      <c r="L297" s="258" t="s">
        <v>2667</v>
      </c>
      <c r="M297" s="409">
        <v>20900000</v>
      </c>
      <c r="N297" s="258">
        <v>2497</v>
      </c>
      <c r="O297" s="258" t="s">
        <v>78</v>
      </c>
      <c r="P297" s="258" t="s">
        <v>86</v>
      </c>
      <c r="Q297" s="258" t="s">
        <v>88</v>
      </c>
      <c r="R297" s="258" t="e">
        <v>#N/A</v>
      </c>
      <c r="S297" s="410">
        <v>15</v>
      </c>
      <c r="T297" s="261">
        <v>6</v>
      </c>
      <c r="U297" s="261">
        <v>6</v>
      </c>
      <c r="V297" s="258" t="s">
        <v>3993</v>
      </c>
      <c r="W297" s="261" t="str">
        <f t="shared" si="54"/>
        <v>현대자동차포터Ⅱ 특장전동식윙바디 초장축 슈퍼캡 SUP20900000</v>
      </c>
      <c r="X297" s="411">
        <f t="shared" si="55"/>
        <v>4071</v>
      </c>
      <c r="Y297" s="261">
        <v>6</v>
      </c>
      <c r="Z297" s="261">
        <v>6</v>
      </c>
      <c r="AA297" s="407" t="s">
        <v>805</v>
      </c>
      <c r="AB297" s="258" t="e">
        <v>#N/A</v>
      </c>
      <c r="AC297" s="258"/>
      <c r="AD297" s="258" t="s">
        <v>2135</v>
      </c>
      <c r="AE297" s="258" t="s">
        <v>2129</v>
      </c>
      <c r="AF297" s="259"/>
      <c r="AG297" s="260"/>
      <c r="AH297" s="259"/>
      <c r="AI297" s="259"/>
      <c r="AJ297" s="260"/>
      <c r="AK297" s="259">
        <v>26</v>
      </c>
      <c r="AL297" s="259"/>
      <c r="AM297" s="259" t="s">
        <v>3222</v>
      </c>
      <c r="AN297" s="449"/>
      <c r="AO297" s="449"/>
      <c r="AP297" s="449"/>
      <c r="AQ297" s="392" t="str">
        <f>IFERROR(VLOOKUP(BG297,#REF!,1,0),"")</f>
        <v/>
      </c>
      <c r="AS297" s="259" t="s">
        <v>3233</v>
      </c>
      <c r="BD297" s="202" t="str">
        <f t="shared" si="47"/>
        <v>포터Ⅱ 특장전동식윙바디 초장축 슈퍼캡 SUP</v>
      </c>
      <c r="BE297" s="261" t="str">
        <f t="shared" si="53"/>
        <v>0026</v>
      </c>
      <c r="BF297" s="407" t="s">
        <v>805</v>
      </c>
      <c r="BG297" s="202" t="str">
        <f t="shared" si="48"/>
        <v>0026-0296</v>
      </c>
    </row>
    <row r="298" spans="1:59">
      <c r="A298" s="405">
        <v>4072</v>
      </c>
      <c r="B298" s="406">
        <v>4072</v>
      </c>
      <c r="C298" s="261" t="str">
        <f t="shared" si="49"/>
        <v>0005-0026</v>
      </c>
      <c r="D298" s="261" t="str">
        <f t="shared" si="50"/>
        <v>0005-0026-0021</v>
      </c>
      <c r="E298" s="407" t="s">
        <v>804</v>
      </c>
      <c r="F298" s="261" t="str">
        <f>TEXT(VLOOKUP(J298,'[3]1'!$B$2:$D$37,2,0),"0000")</f>
        <v>0005</v>
      </c>
      <c r="G298" s="261" t="str">
        <f t="shared" si="51"/>
        <v>0026</v>
      </c>
      <c r="H298" s="408">
        <f t="shared" si="52"/>
        <v>21</v>
      </c>
      <c r="I298" s="407" t="s">
        <v>804</v>
      </c>
      <c r="J298" s="258" t="s">
        <v>294</v>
      </c>
      <c r="K298" s="258" t="s">
        <v>2771</v>
      </c>
      <c r="L298" s="258" t="s">
        <v>2668</v>
      </c>
      <c r="M298" s="409">
        <v>20000000</v>
      </c>
      <c r="N298" s="258">
        <v>2497</v>
      </c>
      <c r="O298" s="258" t="s">
        <v>78</v>
      </c>
      <c r="P298" s="258" t="s">
        <v>86</v>
      </c>
      <c r="Q298" s="258" t="s">
        <v>88</v>
      </c>
      <c r="R298" s="258" t="e">
        <v>#N/A</v>
      </c>
      <c r="S298" s="410">
        <v>15</v>
      </c>
      <c r="T298" s="261">
        <v>6</v>
      </c>
      <c r="U298" s="261">
        <v>6</v>
      </c>
      <c r="V298" s="258" t="s">
        <v>3993</v>
      </c>
      <c r="W298" s="261" t="str">
        <f t="shared" si="54"/>
        <v>현대자동차포터Ⅱ 특장전동식윙바디 초장축 슈퍼캡 PLUS20000000</v>
      </c>
      <c r="X298" s="411">
        <f t="shared" si="55"/>
        <v>4072</v>
      </c>
      <c r="Y298" s="261">
        <v>6</v>
      </c>
      <c r="Z298" s="261">
        <v>6</v>
      </c>
      <c r="AA298" s="407" t="s">
        <v>804</v>
      </c>
      <c r="AB298" s="258" t="e">
        <v>#N/A</v>
      </c>
      <c r="AC298" s="258"/>
      <c r="AD298" s="258" t="s">
        <v>2135</v>
      </c>
      <c r="AE298" s="258" t="s">
        <v>2129</v>
      </c>
      <c r="AF298" s="259"/>
      <c r="AG298" s="260"/>
      <c r="AH298" s="259"/>
      <c r="AI298" s="259"/>
      <c r="AJ298" s="260"/>
      <c r="AK298" s="259">
        <v>26</v>
      </c>
      <c r="AL298" s="259"/>
      <c r="AM298" s="259" t="s">
        <v>3222</v>
      </c>
      <c r="AN298" s="449"/>
      <c r="AO298" s="449"/>
      <c r="AP298" s="449"/>
      <c r="AQ298" s="392" t="str">
        <f>IFERROR(VLOOKUP(BG298,#REF!,1,0),"")</f>
        <v/>
      </c>
      <c r="AS298" s="259" t="s">
        <v>3233</v>
      </c>
      <c r="BD298" s="202" t="str">
        <f t="shared" si="47"/>
        <v>포터Ⅱ 특장전동식윙바디 초장축 슈퍼캡 PLUS</v>
      </c>
      <c r="BE298" s="261" t="str">
        <f t="shared" si="53"/>
        <v>0026</v>
      </c>
      <c r="BF298" s="407" t="s">
        <v>804</v>
      </c>
      <c r="BG298" s="202" t="str">
        <f t="shared" si="48"/>
        <v>0026-0297</v>
      </c>
    </row>
    <row r="299" spans="1:59">
      <c r="A299" s="405">
        <v>4073</v>
      </c>
      <c r="B299" s="406">
        <v>4073</v>
      </c>
      <c r="C299" s="261" t="str">
        <f t="shared" si="49"/>
        <v>0005-0026</v>
      </c>
      <c r="D299" s="261" t="str">
        <f t="shared" si="50"/>
        <v>0005-0026-0022</v>
      </c>
      <c r="E299" s="407" t="s">
        <v>803</v>
      </c>
      <c r="F299" s="261" t="str">
        <f>TEXT(VLOOKUP(J299,'[3]1'!$B$2:$D$37,2,0),"0000")</f>
        <v>0005</v>
      </c>
      <c r="G299" s="261" t="str">
        <f t="shared" si="51"/>
        <v>0026</v>
      </c>
      <c r="H299" s="408">
        <f t="shared" si="52"/>
        <v>22</v>
      </c>
      <c r="I299" s="407" t="s">
        <v>803</v>
      </c>
      <c r="J299" s="258" t="s">
        <v>294</v>
      </c>
      <c r="K299" s="258" t="s">
        <v>2771</v>
      </c>
      <c r="L299" s="258" t="s">
        <v>2669</v>
      </c>
      <c r="M299" s="409">
        <v>20210000</v>
      </c>
      <c r="N299" s="258">
        <v>2497</v>
      </c>
      <c r="O299" s="258" t="s">
        <v>78</v>
      </c>
      <c r="P299" s="258" t="s">
        <v>86</v>
      </c>
      <c r="Q299" s="258" t="s">
        <v>72</v>
      </c>
      <c r="R299" s="258" t="e">
        <v>#N/A</v>
      </c>
      <c r="S299" s="410">
        <v>15</v>
      </c>
      <c r="T299" s="261">
        <v>6</v>
      </c>
      <c r="U299" s="261">
        <v>6</v>
      </c>
      <c r="V299" s="258" t="s">
        <v>3993</v>
      </c>
      <c r="W299" s="261" t="str">
        <f t="shared" si="54"/>
        <v>현대자동차포터Ⅱ 특장수동식윙바디 초장축 슈퍼캡 SUP A/T20210000</v>
      </c>
      <c r="X299" s="411">
        <f t="shared" si="55"/>
        <v>4073</v>
      </c>
      <c r="Y299" s="261">
        <v>6</v>
      </c>
      <c r="Z299" s="261">
        <v>6</v>
      </c>
      <c r="AA299" s="407" t="s">
        <v>803</v>
      </c>
      <c r="AB299" s="258" t="e">
        <v>#N/A</v>
      </c>
      <c r="AC299" s="258"/>
      <c r="AD299" s="258" t="s">
        <v>2135</v>
      </c>
      <c r="AE299" s="258" t="s">
        <v>2129</v>
      </c>
      <c r="AF299" s="259"/>
      <c r="AG299" s="260"/>
      <c r="AH299" s="259"/>
      <c r="AI299" s="259"/>
      <c r="AJ299" s="260"/>
      <c r="AK299" s="259">
        <v>26</v>
      </c>
      <c r="AL299" s="259"/>
      <c r="AM299" s="259" t="s">
        <v>3222</v>
      </c>
      <c r="AN299" s="449"/>
      <c r="AO299" s="449"/>
      <c r="AP299" s="449"/>
      <c r="AQ299" s="392" t="str">
        <f>IFERROR(VLOOKUP(BG299,#REF!,1,0),"")</f>
        <v/>
      </c>
      <c r="AS299" s="259" t="s">
        <v>3233</v>
      </c>
      <c r="BD299" s="202" t="str">
        <f t="shared" si="47"/>
        <v>포터Ⅱ 특장수동식윙바디 초장축 슈퍼캡 SUP A/T</v>
      </c>
      <c r="BE299" s="261" t="str">
        <f t="shared" si="53"/>
        <v>0026</v>
      </c>
      <c r="BF299" s="407" t="s">
        <v>803</v>
      </c>
      <c r="BG299" s="202" t="str">
        <f t="shared" si="48"/>
        <v>0026-0298</v>
      </c>
    </row>
    <row r="300" spans="1:59">
      <c r="A300" s="405">
        <v>4074</v>
      </c>
      <c r="B300" s="406">
        <v>4074</v>
      </c>
      <c r="C300" s="261" t="str">
        <f t="shared" si="49"/>
        <v>0005-0026</v>
      </c>
      <c r="D300" s="261" t="str">
        <f t="shared" si="50"/>
        <v>0005-0026-0023</v>
      </c>
      <c r="E300" s="407" t="s">
        <v>802</v>
      </c>
      <c r="F300" s="261" t="str">
        <f>TEXT(VLOOKUP(J300,'[3]1'!$B$2:$D$37,2,0),"0000")</f>
        <v>0005</v>
      </c>
      <c r="G300" s="261" t="str">
        <f t="shared" si="51"/>
        <v>0026</v>
      </c>
      <c r="H300" s="408">
        <f t="shared" si="52"/>
        <v>23</v>
      </c>
      <c r="I300" s="407" t="s">
        <v>802</v>
      </c>
      <c r="J300" s="258" t="s">
        <v>294</v>
      </c>
      <c r="K300" s="258" t="s">
        <v>2771</v>
      </c>
      <c r="L300" s="258" t="s">
        <v>2670</v>
      </c>
      <c r="M300" s="409">
        <v>22020000</v>
      </c>
      <c r="N300" s="258">
        <v>2497</v>
      </c>
      <c r="O300" s="258" t="s">
        <v>78</v>
      </c>
      <c r="P300" s="258" t="s">
        <v>86</v>
      </c>
      <c r="Q300" s="258" t="s">
        <v>72</v>
      </c>
      <c r="R300" s="258" t="e">
        <v>#N/A</v>
      </c>
      <c r="S300" s="410">
        <v>15</v>
      </c>
      <c r="T300" s="261">
        <v>6</v>
      </c>
      <c r="U300" s="261">
        <v>6</v>
      </c>
      <c r="V300" s="258" t="s">
        <v>3993</v>
      </c>
      <c r="W300" s="261" t="str">
        <f t="shared" si="54"/>
        <v>현대자동차포터Ⅱ 특장전동식윙바디 초장축 슈퍼캡 SUP A/T22020000</v>
      </c>
      <c r="X300" s="411">
        <f t="shared" si="55"/>
        <v>4074</v>
      </c>
      <c r="Y300" s="261">
        <v>6</v>
      </c>
      <c r="Z300" s="261">
        <v>6</v>
      </c>
      <c r="AA300" s="407" t="s">
        <v>802</v>
      </c>
      <c r="AB300" s="258" t="e">
        <v>#N/A</v>
      </c>
      <c r="AC300" s="258"/>
      <c r="AD300" s="258" t="s">
        <v>2135</v>
      </c>
      <c r="AE300" s="258" t="s">
        <v>2129</v>
      </c>
      <c r="AF300" s="259"/>
      <c r="AG300" s="260"/>
      <c r="AH300" s="259"/>
      <c r="AI300" s="259"/>
      <c r="AJ300" s="260"/>
      <c r="AK300" s="259">
        <v>26</v>
      </c>
      <c r="AL300" s="259"/>
      <c r="AM300" s="259" t="s">
        <v>3222</v>
      </c>
      <c r="AN300" s="449"/>
      <c r="AO300" s="449"/>
      <c r="AP300" s="449"/>
      <c r="AQ300" s="392" t="str">
        <f>IFERROR(VLOOKUP(BG300,#REF!,1,0),"")</f>
        <v/>
      </c>
      <c r="AS300" s="259" t="s">
        <v>3233</v>
      </c>
      <c r="BD300" s="202" t="str">
        <f t="shared" si="47"/>
        <v>포터Ⅱ 특장전동식윙바디 초장축 슈퍼캡 SUP A/T</v>
      </c>
      <c r="BE300" s="261" t="str">
        <f t="shared" si="53"/>
        <v>0026</v>
      </c>
      <c r="BF300" s="407" t="s">
        <v>802</v>
      </c>
      <c r="BG300" s="202" t="str">
        <f t="shared" si="48"/>
        <v>0026-0299</v>
      </c>
    </row>
    <row r="301" spans="1:59">
      <c r="A301" s="405">
        <v>4075</v>
      </c>
      <c r="B301" s="406">
        <v>4075</v>
      </c>
      <c r="C301" s="261" t="str">
        <f t="shared" si="49"/>
        <v>0005-0026</v>
      </c>
      <c r="D301" s="261" t="str">
        <f t="shared" si="50"/>
        <v>0005-0026-0024</v>
      </c>
      <c r="E301" s="407" t="s">
        <v>801</v>
      </c>
      <c r="F301" s="261" t="str">
        <f>TEXT(VLOOKUP(J301,'[3]1'!$B$2:$D$37,2,0),"0000")</f>
        <v>0005</v>
      </c>
      <c r="G301" s="261" t="str">
        <f t="shared" si="51"/>
        <v>0026</v>
      </c>
      <c r="H301" s="408">
        <f t="shared" si="52"/>
        <v>24</v>
      </c>
      <c r="I301" s="407" t="s">
        <v>801</v>
      </c>
      <c r="J301" s="258" t="s">
        <v>294</v>
      </c>
      <c r="K301" s="258" t="s">
        <v>2771</v>
      </c>
      <c r="L301" s="258" t="s">
        <v>2671</v>
      </c>
      <c r="M301" s="409">
        <v>19310000</v>
      </c>
      <c r="N301" s="258">
        <v>2497</v>
      </c>
      <c r="O301" s="258" t="s">
        <v>78</v>
      </c>
      <c r="P301" s="258" t="s">
        <v>86</v>
      </c>
      <c r="Q301" s="258" t="s">
        <v>72</v>
      </c>
      <c r="R301" s="258">
        <v>5</v>
      </c>
      <c r="S301" s="410">
        <v>15</v>
      </c>
      <c r="T301" s="261">
        <v>6</v>
      </c>
      <c r="U301" s="261">
        <v>6</v>
      </c>
      <c r="V301" s="258" t="s">
        <v>71</v>
      </c>
      <c r="W301" s="261" t="str">
        <f t="shared" si="54"/>
        <v>현대자동차포터Ⅱ 특장수동식윙바디 초장축 슈퍼캡 PLUS A/T19310000</v>
      </c>
      <c r="X301" s="411">
        <f t="shared" si="55"/>
        <v>4075</v>
      </c>
      <c r="Y301" s="261">
        <v>6</v>
      </c>
      <c r="Z301" s="261">
        <v>6</v>
      </c>
      <c r="AA301" s="407" t="s">
        <v>801</v>
      </c>
      <c r="AB301" s="258" t="s">
        <v>73</v>
      </c>
      <c r="AC301" s="258"/>
      <c r="AD301" s="258" t="s">
        <v>2135</v>
      </c>
      <c r="AE301" s="258" t="s">
        <v>2129</v>
      </c>
      <c r="AF301" s="259"/>
      <c r="AG301" s="260"/>
      <c r="AH301" s="259"/>
      <c r="AI301" s="259"/>
      <c r="AJ301" s="260"/>
      <c r="AK301" s="259">
        <v>26</v>
      </c>
      <c r="AL301" s="259"/>
      <c r="AM301" s="259" t="s">
        <v>3222</v>
      </c>
      <c r="AN301" s="449"/>
      <c r="AO301" s="449"/>
      <c r="AP301" s="449"/>
      <c r="AQ301" s="392" t="str">
        <f>IFERROR(VLOOKUP(BG301,#REF!,1,0),"")</f>
        <v/>
      </c>
      <c r="AS301" s="259" t="s">
        <v>3233</v>
      </c>
      <c r="BD301" s="202" t="str">
        <f t="shared" si="47"/>
        <v>포터Ⅱ 특장수동식윙바디 초장축 슈퍼캡 PLUS A/T</v>
      </c>
      <c r="BE301" s="261" t="str">
        <f t="shared" si="53"/>
        <v>0026</v>
      </c>
      <c r="BF301" s="407" t="s">
        <v>801</v>
      </c>
      <c r="BG301" s="202" t="str">
        <f t="shared" si="48"/>
        <v>0026-0300</v>
      </c>
    </row>
    <row r="302" spans="1:59">
      <c r="A302" s="405">
        <v>4076</v>
      </c>
      <c r="B302" s="406">
        <v>4076</v>
      </c>
      <c r="C302" s="261" t="str">
        <f t="shared" si="49"/>
        <v>0005-0026</v>
      </c>
      <c r="D302" s="261" t="str">
        <f t="shared" si="50"/>
        <v>0005-0026-0025</v>
      </c>
      <c r="E302" s="407" t="s">
        <v>800</v>
      </c>
      <c r="F302" s="261" t="str">
        <f>TEXT(VLOOKUP(J302,'[3]1'!$B$2:$D$37,2,0),"0000")</f>
        <v>0005</v>
      </c>
      <c r="G302" s="261" t="str">
        <f t="shared" si="51"/>
        <v>0026</v>
      </c>
      <c r="H302" s="408">
        <f t="shared" si="52"/>
        <v>25</v>
      </c>
      <c r="I302" s="407" t="s">
        <v>800</v>
      </c>
      <c r="J302" s="258" t="s">
        <v>294</v>
      </c>
      <c r="K302" s="258" t="s">
        <v>2771</v>
      </c>
      <c r="L302" s="258" t="s">
        <v>2672</v>
      </c>
      <c r="M302" s="409">
        <v>19940000</v>
      </c>
      <c r="N302" s="258">
        <v>2497</v>
      </c>
      <c r="O302" s="258" t="s">
        <v>78</v>
      </c>
      <c r="P302" s="258" t="s">
        <v>86</v>
      </c>
      <c r="Q302" s="258" t="s">
        <v>72</v>
      </c>
      <c r="R302" s="258" t="e">
        <v>#N/A</v>
      </c>
      <c r="S302" s="410">
        <v>15</v>
      </c>
      <c r="T302" s="261">
        <v>6</v>
      </c>
      <c r="U302" s="261">
        <v>6</v>
      </c>
      <c r="V302" s="258" t="s">
        <v>3993</v>
      </c>
      <c r="W302" s="261" t="str">
        <f t="shared" si="54"/>
        <v>현대자동차포터Ⅱ 특장하이내장탑차 초장축 일반캡 SUP A/T19940000</v>
      </c>
      <c r="X302" s="411">
        <f t="shared" si="55"/>
        <v>4076</v>
      </c>
      <c r="Y302" s="261">
        <v>6</v>
      </c>
      <c r="Z302" s="261">
        <v>6</v>
      </c>
      <c r="AA302" s="407" t="s">
        <v>800</v>
      </c>
      <c r="AB302" s="258" t="e">
        <v>#N/A</v>
      </c>
      <c r="AC302" s="258"/>
      <c r="AD302" s="258" t="s">
        <v>2135</v>
      </c>
      <c r="AE302" s="258" t="s">
        <v>2129</v>
      </c>
      <c r="AF302" s="259"/>
      <c r="AG302" s="260"/>
      <c r="AH302" s="259"/>
      <c r="AI302" s="259"/>
      <c r="AJ302" s="260"/>
      <c r="AK302" s="259">
        <v>26</v>
      </c>
      <c r="AL302" s="259"/>
      <c r="AM302" s="259" t="s">
        <v>3222</v>
      </c>
      <c r="AN302" s="449"/>
      <c r="AO302" s="449"/>
      <c r="AP302" s="449"/>
      <c r="AQ302" s="392" t="str">
        <f>IFERROR(VLOOKUP(BG302,#REF!,1,0),"")</f>
        <v/>
      </c>
      <c r="AS302" s="259" t="s">
        <v>3233</v>
      </c>
      <c r="BD302" s="202" t="str">
        <f t="shared" si="47"/>
        <v>포터Ⅱ 특장하이내장탑차 초장축 일반캡 SUP A/T</v>
      </c>
      <c r="BE302" s="261" t="str">
        <f t="shared" si="53"/>
        <v>0026</v>
      </c>
      <c r="BF302" s="407" t="s">
        <v>800</v>
      </c>
      <c r="BG302" s="202" t="str">
        <f t="shared" si="48"/>
        <v>0026-0301</v>
      </c>
    </row>
    <row r="303" spans="1:59">
      <c r="A303" s="405">
        <v>4077</v>
      </c>
      <c r="B303" s="406">
        <v>4077</v>
      </c>
      <c r="C303" s="261" t="str">
        <f t="shared" si="49"/>
        <v>0005-0026</v>
      </c>
      <c r="D303" s="261" t="str">
        <f t="shared" si="50"/>
        <v>0005-0026-0026</v>
      </c>
      <c r="E303" s="407" t="s">
        <v>799</v>
      </c>
      <c r="F303" s="261" t="str">
        <f>TEXT(VLOOKUP(J303,'[3]1'!$B$2:$D$37,2,0),"0000")</f>
        <v>0005</v>
      </c>
      <c r="G303" s="261" t="str">
        <f t="shared" si="51"/>
        <v>0026</v>
      </c>
      <c r="H303" s="408">
        <f t="shared" si="52"/>
        <v>26</v>
      </c>
      <c r="I303" s="407" t="s">
        <v>799</v>
      </c>
      <c r="J303" s="258" t="s">
        <v>294</v>
      </c>
      <c r="K303" s="258" t="s">
        <v>2771</v>
      </c>
      <c r="L303" s="258" t="s">
        <v>2673</v>
      </c>
      <c r="M303" s="409">
        <v>20950000</v>
      </c>
      <c r="N303" s="258">
        <v>2497</v>
      </c>
      <c r="O303" s="258" t="s">
        <v>78</v>
      </c>
      <c r="P303" s="258" t="s">
        <v>86</v>
      </c>
      <c r="Q303" s="258" t="s">
        <v>88</v>
      </c>
      <c r="R303" s="258" t="e">
        <v>#N/A</v>
      </c>
      <c r="S303" s="410">
        <v>15</v>
      </c>
      <c r="T303" s="261">
        <v>6</v>
      </c>
      <c r="U303" s="261">
        <v>6</v>
      </c>
      <c r="V303" s="258" t="s">
        <v>3993</v>
      </c>
      <c r="W303" s="261" t="str">
        <f t="shared" si="54"/>
        <v>현대자동차포터Ⅱ 특장냉동탑차 초장축 슈퍼캡 PLUS 트윈컴프20950000</v>
      </c>
      <c r="X303" s="411">
        <f t="shared" si="55"/>
        <v>4077</v>
      </c>
      <c r="Y303" s="261">
        <v>6</v>
      </c>
      <c r="Z303" s="261">
        <v>6</v>
      </c>
      <c r="AA303" s="407" t="s">
        <v>799</v>
      </c>
      <c r="AB303" s="258" t="e">
        <v>#N/A</v>
      </c>
      <c r="AC303" s="258"/>
      <c r="AD303" s="258" t="s">
        <v>2135</v>
      </c>
      <c r="AE303" s="258" t="s">
        <v>2129</v>
      </c>
      <c r="AF303" s="259"/>
      <c r="AG303" s="260"/>
      <c r="AH303" s="259"/>
      <c r="AI303" s="259"/>
      <c r="AJ303" s="260"/>
      <c r="AK303" s="259">
        <v>26</v>
      </c>
      <c r="AL303" s="259"/>
      <c r="AM303" s="259" t="s">
        <v>3222</v>
      </c>
      <c r="AN303" s="449"/>
      <c r="AO303" s="449"/>
      <c r="AP303" s="449"/>
      <c r="AQ303" s="392" t="str">
        <f>IFERROR(VLOOKUP(BG303,#REF!,1,0),"")</f>
        <v/>
      </c>
      <c r="AS303" s="259" t="s">
        <v>3233</v>
      </c>
      <c r="BD303" s="202" t="str">
        <f t="shared" si="47"/>
        <v>포터Ⅱ 특장냉동탑차 초장축 슈퍼캡 PLUS 트윈컴프</v>
      </c>
      <c r="BE303" s="261" t="str">
        <f t="shared" si="53"/>
        <v>0026</v>
      </c>
      <c r="BF303" s="407" t="s">
        <v>799</v>
      </c>
      <c r="BG303" s="202" t="str">
        <f t="shared" si="48"/>
        <v>0026-0302</v>
      </c>
    </row>
    <row r="304" spans="1:59">
      <c r="A304" s="405">
        <v>4078</v>
      </c>
      <c r="B304" s="406">
        <v>4078</v>
      </c>
      <c r="C304" s="261" t="str">
        <f t="shared" si="49"/>
        <v>0005-0026</v>
      </c>
      <c r="D304" s="261" t="str">
        <f t="shared" si="50"/>
        <v>0005-0026-0027</v>
      </c>
      <c r="E304" s="407" t="s">
        <v>798</v>
      </c>
      <c r="F304" s="261" t="str">
        <f>TEXT(VLOOKUP(J304,'[3]1'!$B$2:$D$37,2,0),"0000")</f>
        <v>0005</v>
      </c>
      <c r="G304" s="261" t="str">
        <f t="shared" si="51"/>
        <v>0026</v>
      </c>
      <c r="H304" s="408">
        <f t="shared" si="52"/>
        <v>27</v>
      </c>
      <c r="I304" s="407" t="s">
        <v>798</v>
      </c>
      <c r="J304" s="258" t="s">
        <v>294</v>
      </c>
      <c r="K304" s="258" t="s">
        <v>2771</v>
      </c>
      <c r="L304" s="258" t="s">
        <v>2674</v>
      </c>
      <c r="M304" s="409">
        <v>20870000</v>
      </c>
      <c r="N304" s="258">
        <v>2497</v>
      </c>
      <c r="O304" s="258" t="s">
        <v>78</v>
      </c>
      <c r="P304" s="258" t="s">
        <v>86</v>
      </c>
      <c r="Q304" s="258" t="s">
        <v>88</v>
      </c>
      <c r="R304" s="258">
        <v>5</v>
      </c>
      <c r="S304" s="410">
        <v>15</v>
      </c>
      <c r="T304" s="261">
        <v>6</v>
      </c>
      <c r="U304" s="261">
        <v>6</v>
      </c>
      <c r="V304" s="258" t="s">
        <v>71</v>
      </c>
      <c r="W304" s="261" t="str">
        <f t="shared" si="54"/>
        <v>현대자동차포터Ⅱ 특장냉장탑차 초장축 슈퍼캡 SUP 싱글컴프20870000</v>
      </c>
      <c r="X304" s="411">
        <f t="shared" si="55"/>
        <v>4078</v>
      </c>
      <c r="Y304" s="261">
        <v>6</v>
      </c>
      <c r="Z304" s="261">
        <v>6</v>
      </c>
      <c r="AA304" s="407" t="s">
        <v>798</v>
      </c>
      <c r="AB304" s="258" t="s">
        <v>73</v>
      </c>
      <c r="AC304" s="258"/>
      <c r="AD304" s="258" t="s">
        <v>2135</v>
      </c>
      <c r="AE304" s="258" t="s">
        <v>2129</v>
      </c>
      <c r="AF304" s="259"/>
      <c r="AG304" s="260"/>
      <c r="AH304" s="259"/>
      <c r="AI304" s="259"/>
      <c r="AJ304" s="260"/>
      <c r="AK304" s="259">
        <v>26</v>
      </c>
      <c r="AL304" s="259"/>
      <c r="AM304" s="259" t="s">
        <v>3222</v>
      </c>
      <c r="AN304" s="449"/>
      <c r="AO304" s="449"/>
      <c r="AP304" s="449"/>
      <c r="AQ304" s="392" t="str">
        <f>IFERROR(VLOOKUP(BG304,#REF!,1,0),"")</f>
        <v/>
      </c>
      <c r="AS304" s="259" t="s">
        <v>3233</v>
      </c>
      <c r="BD304" s="202" t="str">
        <f t="shared" si="47"/>
        <v>포터Ⅱ 특장냉장탑차 초장축 슈퍼캡 SUP 싱글컴프</v>
      </c>
      <c r="BE304" s="261" t="str">
        <f t="shared" si="53"/>
        <v>0026</v>
      </c>
      <c r="BF304" s="407" t="s">
        <v>798</v>
      </c>
      <c r="BG304" s="202" t="str">
        <f t="shared" si="48"/>
        <v>0026-0303</v>
      </c>
    </row>
    <row r="305" spans="1:59">
      <c r="A305" s="405">
        <v>4079</v>
      </c>
      <c r="B305" s="406">
        <v>4079</v>
      </c>
      <c r="C305" s="261" t="str">
        <f t="shared" si="49"/>
        <v>0005-0026</v>
      </c>
      <c r="D305" s="261" t="str">
        <f t="shared" si="50"/>
        <v>0005-0026-0028</v>
      </c>
      <c r="E305" s="407" t="s">
        <v>797</v>
      </c>
      <c r="F305" s="261" t="str">
        <f>TEXT(VLOOKUP(J305,'[3]1'!$B$2:$D$37,2,0),"0000")</f>
        <v>0005</v>
      </c>
      <c r="G305" s="261" t="str">
        <f t="shared" si="51"/>
        <v>0026</v>
      </c>
      <c r="H305" s="408">
        <f t="shared" si="52"/>
        <v>28</v>
      </c>
      <c r="I305" s="407" t="s">
        <v>797</v>
      </c>
      <c r="J305" s="258" t="s">
        <v>294</v>
      </c>
      <c r="K305" s="258" t="s">
        <v>2771</v>
      </c>
      <c r="L305" s="258" t="s">
        <v>2675</v>
      </c>
      <c r="M305" s="409">
        <v>23460000</v>
      </c>
      <c r="N305" s="258">
        <v>2497</v>
      </c>
      <c r="O305" s="258" t="s">
        <v>78</v>
      </c>
      <c r="P305" s="258" t="s">
        <v>86</v>
      </c>
      <c r="Q305" s="258" t="s">
        <v>72</v>
      </c>
      <c r="R305" s="258">
        <v>5</v>
      </c>
      <c r="S305" s="410">
        <v>15</v>
      </c>
      <c r="T305" s="261">
        <v>6</v>
      </c>
      <c r="U305" s="261">
        <v>6</v>
      </c>
      <c r="V305" s="258" t="s">
        <v>71</v>
      </c>
      <c r="W305" s="261" t="str">
        <f t="shared" si="54"/>
        <v>현대자동차포터Ⅱ 특장시티밴 초장축 슈퍼캡 SUP A/T23460000</v>
      </c>
      <c r="X305" s="411">
        <f t="shared" si="55"/>
        <v>4079</v>
      </c>
      <c r="Y305" s="261">
        <v>6</v>
      </c>
      <c r="Z305" s="261">
        <v>6</v>
      </c>
      <c r="AA305" s="407" t="s">
        <v>797</v>
      </c>
      <c r="AB305" s="258" t="s">
        <v>73</v>
      </c>
      <c r="AC305" s="258"/>
      <c r="AD305" s="258" t="s">
        <v>2135</v>
      </c>
      <c r="AE305" s="258" t="s">
        <v>2129</v>
      </c>
      <c r="AF305" s="259"/>
      <c r="AG305" s="260"/>
      <c r="AH305" s="259"/>
      <c r="AI305" s="259"/>
      <c r="AJ305" s="260"/>
      <c r="AK305" s="259">
        <v>26</v>
      </c>
      <c r="AL305" s="259"/>
      <c r="AM305" s="259" t="s">
        <v>3222</v>
      </c>
      <c r="AN305" s="449"/>
      <c r="AO305" s="449"/>
      <c r="AP305" s="449"/>
      <c r="AQ305" s="392" t="str">
        <f>IFERROR(VLOOKUP(BG305,#REF!,1,0),"")</f>
        <v/>
      </c>
      <c r="AS305" s="259" t="s">
        <v>3233</v>
      </c>
      <c r="BD305" s="202" t="str">
        <f t="shared" si="47"/>
        <v>포터Ⅱ 특장시티밴 초장축 슈퍼캡 SUP A/T</v>
      </c>
      <c r="BE305" s="261" t="str">
        <f t="shared" si="53"/>
        <v>0026</v>
      </c>
      <c r="BF305" s="407" t="s">
        <v>797</v>
      </c>
      <c r="BG305" s="202" t="str">
        <f t="shared" si="48"/>
        <v>0026-0304</v>
      </c>
    </row>
    <row r="306" spans="1:59">
      <c r="A306" s="405">
        <v>4080</v>
      </c>
      <c r="B306" s="406">
        <v>4080</v>
      </c>
      <c r="C306" s="261" t="str">
        <f t="shared" si="49"/>
        <v>0005-0026</v>
      </c>
      <c r="D306" s="261" t="str">
        <f t="shared" si="50"/>
        <v>0005-0026-0029</v>
      </c>
      <c r="E306" s="407" t="s">
        <v>796</v>
      </c>
      <c r="F306" s="261" t="str">
        <f>TEXT(VLOOKUP(J306,'[3]1'!$B$2:$D$37,2,0),"0000")</f>
        <v>0005</v>
      </c>
      <c r="G306" s="261" t="str">
        <f t="shared" si="51"/>
        <v>0026</v>
      </c>
      <c r="H306" s="408">
        <f t="shared" si="52"/>
        <v>29</v>
      </c>
      <c r="I306" s="407" t="s">
        <v>796</v>
      </c>
      <c r="J306" s="258" t="s">
        <v>294</v>
      </c>
      <c r="K306" s="258" t="s">
        <v>2771</v>
      </c>
      <c r="L306" s="258" t="s">
        <v>2676</v>
      </c>
      <c r="M306" s="409">
        <v>21320000</v>
      </c>
      <c r="N306" s="258">
        <v>2497</v>
      </c>
      <c r="O306" s="258" t="s">
        <v>78</v>
      </c>
      <c r="P306" s="258" t="s">
        <v>86</v>
      </c>
      <c r="Q306" s="258" t="s">
        <v>88</v>
      </c>
      <c r="R306" s="258" t="e">
        <v>#N/A</v>
      </c>
      <c r="S306" s="410">
        <v>15</v>
      </c>
      <c r="T306" s="261">
        <v>6</v>
      </c>
      <c r="U306" s="261">
        <v>6</v>
      </c>
      <c r="V306" s="258" t="s">
        <v>3993</v>
      </c>
      <c r="W306" s="261" t="str">
        <f t="shared" si="54"/>
        <v>현대자동차포터Ⅱ 특장하이냉동탑차 초장축 슈퍼캡 PLUS 트윈컴프21320000</v>
      </c>
      <c r="X306" s="411">
        <f t="shared" si="55"/>
        <v>4080</v>
      </c>
      <c r="Y306" s="261">
        <v>6</v>
      </c>
      <c r="Z306" s="261">
        <v>6</v>
      </c>
      <c r="AA306" s="407" t="s">
        <v>796</v>
      </c>
      <c r="AB306" s="258" t="e">
        <v>#N/A</v>
      </c>
      <c r="AC306" s="258"/>
      <c r="AD306" s="258" t="s">
        <v>2135</v>
      </c>
      <c r="AE306" s="258" t="s">
        <v>2129</v>
      </c>
      <c r="AF306" s="259"/>
      <c r="AG306" s="260"/>
      <c r="AH306" s="259"/>
      <c r="AI306" s="259"/>
      <c r="AJ306" s="260"/>
      <c r="AK306" s="259">
        <v>26</v>
      </c>
      <c r="AL306" s="259"/>
      <c r="AM306" s="259" t="s">
        <v>3222</v>
      </c>
      <c r="AN306" s="449"/>
      <c r="AO306" s="449"/>
      <c r="AP306" s="449"/>
      <c r="AQ306" s="392" t="str">
        <f>IFERROR(VLOOKUP(BG306,#REF!,1,0),"")</f>
        <v/>
      </c>
      <c r="AS306" s="259" t="s">
        <v>3233</v>
      </c>
      <c r="BD306" s="202" t="str">
        <f t="shared" si="47"/>
        <v>포터Ⅱ 특장하이냉동탑차 초장축 슈퍼캡 PLUS 트윈컴프</v>
      </c>
      <c r="BE306" s="261" t="str">
        <f t="shared" si="53"/>
        <v>0026</v>
      </c>
      <c r="BF306" s="407" t="s">
        <v>796</v>
      </c>
      <c r="BG306" s="202" t="str">
        <f t="shared" si="48"/>
        <v>0026-0305</v>
      </c>
    </row>
    <row r="307" spans="1:59">
      <c r="A307" s="405">
        <v>4081</v>
      </c>
      <c r="B307" s="406">
        <v>4081</v>
      </c>
      <c r="C307" s="261" t="str">
        <f t="shared" si="49"/>
        <v>0005-0026</v>
      </c>
      <c r="D307" s="261" t="str">
        <f t="shared" si="50"/>
        <v>0005-0026-0030</v>
      </c>
      <c r="E307" s="407" t="s">
        <v>795</v>
      </c>
      <c r="F307" s="261" t="str">
        <f>TEXT(VLOOKUP(J307,'[3]1'!$B$2:$D$37,2,0),"0000")</f>
        <v>0005</v>
      </c>
      <c r="G307" s="261" t="str">
        <f t="shared" si="51"/>
        <v>0026</v>
      </c>
      <c r="H307" s="408">
        <f t="shared" si="52"/>
        <v>30</v>
      </c>
      <c r="I307" s="407" t="s">
        <v>795</v>
      </c>
      <c r="J307" s="258" t="s">
        <v>294</v>
      </c>
      <c r="K307" s="258" t="s">
        <v>2771</v>
      </c>
      <c r="L307" s="258" t="s">
        <v>2677</v>
      </c>
      <c r="M307" s="409">
        <v>21090000</v>
      </c>
      <c r="N307" s="258">
        <v>2497</v>
      </c>
      <c r="O307" s="258" t="s">
        <v>78</v>
      </c>
      <c r="P307" s="258" t="s">
        <v>86</v>
      </c>
      <c r="Q307" s="258" t="s">
        <v>72</v>
      </c>
      <c r="R307" s="258" t="e">
        <v>#N/A</v>
      </c>
      <c r="S307" s="410">
        <v>15</v>
      </c>
      <c r="T307" s="261">
        <v>6</v>
      </c>
      <c r="U307" s="261">
        <v>6</v>
      </c>
      <c r="V307" s="258" t="s">
        <v>3993</v>
      </c>
      <c r="W307" s="261" t="str">
        <f t="shared" si="54"/>
        <v>현대자동차포터Ⅱ 특장냉장탑차 초장축 슈퍼캡 PLUS 싱글컴프 A/T21090000</v>
      </c>
      <c r="X307" s="411">
        <f t="shared" si="55"/>
        <v>4081</v>
      </c>
      <c r="Y307" s="261">
        <v>6</v>
      </c>
      <c r="Z307" s="261">
        <v>6</v>
      </c>
      <c r="AA307" s="407" t="s">
        <v>795</v>
      </c>
      <c r="AB307" s="258" t="e">
        <v>#N/A</v>
      </c>
      <c r="AC307" s="258"/>
      <c r="AD307" s="258" t="s">
        <v>2135</v>
      </c>
      <c r="AE307" s="258" t="s">
        <v>2129</v>
      </c>
      <c r="AF307" s="259"/>
      <c r="AG307" s="260"/>
      <c r="AH307" s="259"/>
      <c r="AI307" s="259"/>
      <c r="AJ307" s="260"/>
      <c r="AK307" s="259">
        <v>26</v>
      </c>
      <c r="AL307" s="259"/>
      <c r="AM307" s="259" t="s">
        <v>3222</v>
      </c>
      <c r="AN307" s="449"/>
      <c r="AO307" s="449"/>
      <c r="AP307" s="449"/>
      <c r="AQ307" s="392" t="str">
        <f>IFERROR(VLOOKUP(BG307,#REF!,1,0),"")</f>
        <v/>
      </c>
      <c r="AS307" s="259" t="s">
        <v>3233</v>
      </c>
      <c r="BD307" s="202" t="str">
        <f t="shared" si="47"/>
        <v>포터Ⅱ 특장냉장탑차 초장축 슈퍼캡 PLUS 싱글컴프 A/T</v>
      </c>
      <c r="BE307" s="261" t="str">
        <f t="shared" si="53"/>
        <v>0026</v>
      </c>
      <c r="BF307" s="407" t="s">
        <v>795</v>
      </c>
      <c r="BG307" s="202" t="str">
        <f t="shared" si="48"/>
        <v>0026-0306</v>
      </c>
    </row>
    <row r="308" spans="1:59">
      <c r="A308" s="405">
        <v>4082</v>
      </c>
      <c r="B308" s="406">
        <v>4082</v>
      </c>
      <c r="C308" s="261" t="str">
        <f t="shared" si="49"/>
        <v>0005-0026</v>
      </c>
      <c r="D308" s="261" t="str">
        <f t="shared" si="50"/>
        <v>0005-0026-0031</v>
      </c>
      <c r="E308" s="407" t="s">
        <v>794</v>
      </c>
      <c r="F308" s="261" t="str">
        <f>TEXT(VLOOKUP(J308,'[3]1'!$B$2:$D$37,2,0),"0000")</f>
        <v>0005</v>
      </c>
      <c r="G308" s="261" t="str">
        <f t="shared" si="51"/>
        <v>0026</v>
      </c>
      <c r="H308" s="408">
        <f t="shared" si="52"/>
        <v>31</v>
      </c>
      <c r="I308" s="407" t="s">
        <v>794</v>
      </c>
      <c r="J308" s="258" t="s">
        <v>294</v>
      </c>
      <c r="K308" s="258" t="s">
        <v>2771</v>
      </c>
      <c r="L308" s="258" t="s">
        <v>2678</v>
      </c>
      <c r="M308" s="409">
        <v>20390000</v>
      </c>
      <c r="N308" s="258">
        <v>2497</v>
      </c>
      <c r="O308" s="258" t="s">
        <v>78</v>
      </c>
      <c r="P308" s="258" t="s">
        <v>86</v>
      </c>
      <c r="Q308" s="258" t="s">
        <v>72</v>
      </c>
      <c r="R308" s="258" t="e">
        <v>#N/A</v>
      </c>
      <c r="S308" s="410">
        <v>15</v>
      </c>
      <c r="T308" s="261">
        <v>6</v>
      </c>
      <c r="U308" s="261">
        <v>6</v>
      </c>
      <c r="V308" s="258" t="s">
        <v>3993</v>
      </c>
      <c r="W308" s="261" t="str">
        <f t="shared" si="54"/>
        <v>현대자동차포터Ⅱ 특장다용도탑차 초장축 슈퍼캡 SUP A/T20390000</v>
      </c>
      <c r="X308" s="411">
        <f t="shared" si="55"/>
        <v>4082</v>
      </c>
      <c r="Y308" s="261">
        <v>6</v>
      </c>
      <c r="Z308" s="261">
        <v>6</v>
      </c>
      <c r="AA308" s="407" t="s">
        <v>794</v>
      </c>
      <c r="AB308" s="258" t="e">
        <v>#N/A</v>
      </c>
      <c r="AC308" s="258"/>
      <c r="AD308" s="258" t="s">
        <v>2135</v>
      </c>
      <c r="AE308" s="258" t="s">
        <v>2129</v>
      </c>
      <c r="AF308" s="259"/>
      <c r="AG308" s="260"/>
      <c r="AH308" s="259"/>
      <c r="AI308" s="259"/>
      <c r="AJ308" s="260"/>
      <c r="AK308" s="259">
        <v>26</v>
      </c>
      <c r="AL308" s="259"/>
      <c r="AM308" s="259" t="s">
        <v>3222</v>
      </c>
      <c r="AN308" s="449"/>
      <c r="AO308" s="449"/>
      <c r="AP308" s="449"/>
      <c r="AQ308" s="392" t="str">
        <f>IFERROR(VLOOKUP(BG308,#REF!,1,0),"")</f>
        <v/>
      </c>
      <c r="AS308" s="259" t="s">
        <v>3233</v>
      </c>
      <c r="BD308" s="202" t="str">
        <f t="shared" si="47"/>
        <v>포터Ⅱ 특장다용도탑차 초장축 슈퍼캡 SUP A/T</v>
      </c>
      <c r="BE308" s="261" t="str">
        <f t="shared" si="53"/>
        <v>0026</v>
      </c>
      <c r="BF308" s="407" t="s">
        <v>794</v>
      </c>
      <c r="BG308" s="202" t="str">
        <f t="shared" si="48"/>
        <v>0026-0307</v>
      </c>
    </row>
    <row r="309" spans="1:59">
      <c r="A309" s="405">
        <v>4083</v>
      </c>
      <c r="B309" s="406">
        <v>4083</v>
      </c>
      <c r="C309" s="261" t="str">
        <f t="shared" si="49"/>
        <v>0005-0026</v>
      </c>
      <c r="D309" s="261" t="str">
        <f t="shared" si="50"/>
        <v>0005-0026-0032</v>
      </c>
      <c r="E309" s="407" t="s">
        <v>793</v>
      </c>
      <c r="F309" s="261" t="str">
        <f>TEXT(VLOOKUP(J309,'[3]1'!$B$2:$D$37,2,0),"0000")</f>
        <v>0005</v>
      </c>
      <c r="G309" s="261" t="str">
        <f t="shared" si="51"/>
        <v>0026</v>
      </c>
      <c r="H309" s="408">
        <f t="shared" si="52"/>
        <v>32</v>
      </c>
      <c r="I309" s="407" t="s">
        <v>793</v>
      </c>
      <c r="J309" s="258" t="s">
        <v>294</v>
      </c>
      <c r="K309" s="258" t="s">
        <v>2771</v>
      </c>
      <c r="L309" s="258" t="s">
        <v>2679</v>
      </c>
      <c r="M309" s="409">
        <v>21240000</v>
      </c>
      <c r="N309" s="258">
        <v>2497</v>
      </c>
      <c r="O309" s="258" t="s">
        <v>78</v>
      </c>
      <c r="P309" s="258" t="s">
        <v>86</v>
      </c>
      <c r="Q309" s="258" t="s">
        <v>88</v>
      </c>
      <c r="R309" s="258">
        <v>5</v>
      </c>
      <c r="S309" s="410">
        <v>15</v>
      </c>
      <c r="T309" s="261">
        <v>6</v>
      </c>
      <c r="U309" s="261">
        <v>6</v>
      </c>
      <c r="V309" s="258" t="s">
        <v>71</v>
      </c>
      <c r="W309" s="261" t="str">
        <f t="shared" si="54"/>
        <v>현대자동차포터Ⅱ 특장하이냉장탑차 초장축 슈퍼캡 SUP 싱글컴프21240000</v>
      </c>
      <c r="X309" s="411">
        <f t="shared" si="55"/>
        <v>4083</v>
      </c>
      <c r="Y309" s="261">
        <v>6</v>
      </c>
      <c r="Z309" s="261">
        <v>6</v>
      </c>
      <c r="AA309" s="407" t="s">
        <v>793</v>
      </c>
      <c r="AB309" s="258" t="s">
        <v>73</v>
      </c>
      <c r="AC309" s="258"/>
      <c r="AD309" s="258" t="s">
        <v>2135</v>
      </c>
      <c r="AE309" s="258" t="s">
        <v>2129</v>
      </c>
      <c r="AF309" s="259"/>
      <c r="AG309" s="260"/>
      <c r="AH309" s="259"/>
      <c r="AI309" s="259"/>
      <c r="AJ309" s="260"/>
      <c r="AK309" s="259">
        <v>26</v>
      </c>
      <c r="AL309" s="259"/>
      <c r="AM309" s="259" t="s">
        <v>3222</v>
      </c>
      <c r="AN309" s="449"/>
      <c r="AO309" s="449"/>
      <c r="AP309" s="449"/>
      <c r="AQ309" s="392" t="str">
        <f>IFERROR(VLOOKUP(BG309,#REF!,1,0),"")</f>
        <v/>
      </c>
      <c r="AS309" s="259" t="s">
        <v>3233</v>
      </c>
      <c r="BD309" s="202" t="str">
        <f t="shared" si="47"/>
        <v>포터Ⅱ 특장하이냉장탑차 초장축 슈퍼캡 SUP 싱글컴프</v>
      </c>
      <c r="BE309" s="261" t="str">
        <f t="shared" si="53"/>
        <v>0026</v>
      </c>
      <c r="BF309" s="407" t="s">
        <v>793</v>
      </c>
      <c r="BG309" s="202" t="str">
        <f t="shared" si="48"/>
        <v>0026-0308</v>
      </c>
    </row>
    <row r="310" spans="1:59">
      <c r="A310" s="405">
        <v>4084</v>
      </c>
      <c r="B310" s="406">
        <v>4084</v>
      </c>
      <c r="C310" s="261" t="str">
        <f t="shared" si="49"/>
        <v>0005-0026</v>
      </c>
      <c r="D310" s="261" t="str">
        <f t="shared" si="50"/>
        <v>0005-0026-0033</v>
      </c>
      <c r="E310" s="407" t="s">
        <v>792</v>
      </c>
      <c r="F310" s="261" t="str">
        <f>TEXT(VLOOKUP(J310,'[3]1'!$B$2:$D$37,2,0),"0000")</f>
        <v>0005</v>
      </c>
      <c r="G310" s="261" t="str">
        <f t="shared" si="51"/>
        <v>0026</v>
      </c>
      <c r="H310" s="408">
        <f t="shared" si="52"/>
        <v>33</v>
      </c>
      <c r="I310" s="407" t="s">
        <v>792</v>
      </c>
      <c r="J310" s="258" t="s">
        <v>294</v>
      </c>
      <c r="K310" s="258" t="s">
        <v>2771</v>
      </c>
      <c r="L310" s="258" t="s">
        <v>2680</v>
      </c>
      <c r="M310" s="409">
        <v>20870000</v>
      </c>
      <c r="N310" s="258">
        <v>2497</v>
      </c>
      <c r="O310" s="258" t="s">
        <v>78</v>
      </c>
      <c r="P310" s="258" t="s">
        <v>86</v>
      </c>
      <c r="Q310" s="258" t="s">
        <v>88</v>
      </c>
      <c r="R310" s="258" t="e">
        <v>#N/A</v>
      </c>
      <c r="S310" s="410">
        <v>15</v>
      </c>
      <c r="T310" s="261">
        <v>6</v>
      </c>
      <c r="U310" s="261">
        <v>6</v>
      </c>
      <c r="V310" s="258" t="s">
        <v>3993</v>
      </c>
      <c r="W310" s="261" t="str">
        <f t="shared" si="54"/>
        <v>현대자동차포터Ⅱ 특장냉동탑차 초장축 슈퍼캡 PLUS 싱글컴프20870000</v>
      </c>
      <c r="X310" s="411">
        <f t="shared" si="55"/>
        <v>4084</v>
      </c>
      <c r="Y310" s="261">
        <v>6</v>
      </c>
      <c r="Z310" s="261">
        <v>6</v>
      </c>
      <c r="AA310" s="407" t="s">
        <v>792</v>
      </c>
      <c r="AB310" s="258" t="e">
        <v>#N/A</v>
      </c>
      <c r="AC310" s="258"/>
      <c r="AD310" s="258" t="s">
        <v>2135</v>
      </c>
      <c r="AE310" s="258" t="s">
        <v>2129</v>
      </c>
      <c r="AF310" s="259"/>
      <c r="AG310" s="260"/>
      <c r="AH310" s="259"/>
      <c r="AI310" s="259"/>
      <c r="AJ310" s="260"/>
      <c r="AK310" s="259">
        <v>26</v>
      </c>
      <c r="AL310" s="259"/>
      <c r="AM310" s="259" t="s">
        <v>3222</v>
      </c>
      <c r="AN310" s="449"/>
      <c r="AO310" s="449"/>
      <c r="AP310" s="449"/>
      <c r="AQ310" s="392" t="str">
        <f>IFERROR(VLOOKUP(BG310,#REF!,1,0),"")</f>
        <v/>
      </c>
      <c r="AS310" s="259" t="s">
        <v>3233</v>
      </c>
      <c r="BD310" s="202" t="str">
        <f t="shared" si="47"/>
        <v>포터Ⅱ 특장냉동탑차 초장축 슈퍼캡 PLUS 싱글컴프</v>
      </c>
      <c r="BE310" s="261" t="str">
        <f t="shared" si="53"/>
        <v>0026</v>
      </c>
      <c r="BF310" s="407" t="s">
        <v>792</v>
      </c>
      <c r="BG310" s="202" t="str">
        <f t="shared" si="48"/>
        <v>0026-0309</v>
      </c>
    </row>
    <row r="311" spans="1:59" ht="16.899999999999999" customHeight="1">
      <c r="A311" s="405">
        <v>4085</v>
      </c>
      <c r="B311" s="406">
        <v>4085</v>
      </c>
      <c r="C311" s="261" t="str">
        <f t="shared" si="49"/>
        <v>0005-0026</v>
      </c>
      <c r="D311" s="261" t="str">
        <f t="shared" si="50"/>
        <v>0005-0026-0034</v>
      </c>
      <c r="E311" s="407" t="s">
        <v>791</v>
      </c>
      <c r="F311" s="261" t="str">
        <f>TEXT(VLOOKUP(J311,'[3]1'!$B$2:$D$37,2,0),"0000")</f>
        <v>0005</v>
      </c>
      <c r="G311" s="261" t="str">
        <f t="shared" si="51"/>
        <v>0026</v>
      </c>
      <c r="H311" s="408">
        <f t="shared" si="52"/>
        <v>34</v>
      </c>
      <c r="I311" s="407" t="s">
        <v>791</v>
      </c>
      <c r="J311" s="258" t="s">
        <v>294</v>
      </c>
      <c r="K311" s="258" t="s">
        <v>2771</v>
      </c>
      <c r="L311" s="258" t="s">
        <v>2681</v>
      </c>
      <c r="M311" s="409">
        <v>22790000</v>
      </c>
      <c r="N311" s="258">
        <v>2497</v>
      </c>
      <c r="O311" s="258" t="s">
        <v>78</v>
      </c>
      <c r="P311" s="258" t="s">
        <v>86</v>
      </c>
      <c r="Q311" s="258" t="s">
        <v>72</v>
      </c>
      <c r="R311" s="258">
        <v>5</v>
      </c>
      <c r="S311" s="410">
        <v>15</v>
      </c>
      <c r="T311" s="261">
        <v>6</v>
      </c>
      <c r="U311" s="261">
        <v>6</v>
      </c>
      <c r="V311" s="258" t="s">
        <v>71</v>
      </c>
      <c r="W311" s="261" t="str">
        <f t="shared" si="54"/>
        <v>현대자동차포터Ⅱ 특장냉동탑차 초장축 슈퍼캡 SUP 싱글컴프 A/T22790000</v>
      </c>
      <c r="X311" s="411">
        <f t="shared" si="55"/>
        <v>4085</v>
      </c>
      <c r="Y311" s="261">
        <v>6</v>
      </c>
      <c r="Z311" s="261">
        <v>6</v>
      </c>
      <c r="AA311" s="407" t="s">
        <v>791</v>
      </c>
      <c r="AB311" s="258" t="s">
        <v>73</v>
      </c>
      <c r="AC311" s="258"/>
      <c r="AD311" s="258" t="s">
        <v>2135</v>
      </c>
      <c r="AE311" s="258" t="s">
        <v>2129</v>
      </c>
      <c r="AF311" s="259"/>
      <c r="AG311" s="260"/>
      <c r="AH311" s="259"/>
      <c r="AI311" s="259"/>
      <c r="AJ311" s="260"/>
      <c r="AK311" s="259">
        <v>26</v>
      </c>
      <c r="AL311" s="259"/>
      <c r="AM311" s="259" t="s">
        <v>3222</v>
      </c>
      <c r="AN311" s="449"/>
      <c r="AO311" s="449"/>
      <c r="AP311" s="449"/>
      <c r="AQ311" s="392" t="str">
        <f>IFERROR(VLOOKUP(BG311,#REF!,1,0),"")</f>
        <v/>
      </c>
      <c r="AS311" s="259" t="s">
        <v>3233</v>
      </c>
      <c r="BD311" s="202" t="str">
        <f t="shared" si="47"/>
        <v>포터Ⅱ 특장냉동탑차 초장축 슈퍼캡 SUP 싱글컴프 A/T</v>
      </c>
      <c r="BE311" s="261" t="str">
        <f t="shared" si="53"/>
        <v>0026</v>
      </c>
      <c r="BF311" s="407" t="s">
        <v>791</v>
      </c>
      <c r="BG311" s="202" t="str">
        <f t="shared" si="48"/>
        <v>0026-0310</v>
      </c>
    </row>
    <row r="312" spans="1:59" ht="16.899999999999999" customHeight="1">
      <c r="A312" s="405">
        <v>4086</v>
      </c>
      <c r="B312" s="406">
        <v>4086</v>
      </c>
      <c r="C312" s="261" t="str">
        <f t="shared" si="49"/>
        <v>0005-0026</v>
      </c>
      <c r="D312" s="261" t="str">
        <f t="shared" si="50"/>
        <v>0005-0026-0035</v>
      </c>
      <c r="E312" s="407" t="s">
        <v>790</v>
      </c>
      <c r="F312" s="261" t="str">
        <f>TEXT(VLOOKUP(J312,'[3]1'!$B$2:$D$37,2,0),"0000")</f>
        <v>0005</v>
      </c>
      <c r="G312" s="261" t="str">
        <f t="shared" si="51"/>
        <v>0026</v>
      </c>
      <c r="H312" s="408">
        <f t="shared" si="52"/>
        <v>35</v>
      </c>
      <c r="I312" s="407" t="s">
        <v>790</v>
      </c>
      <c r="J312" s="258" t="s">
        <v>294</v>
      </c>
      <c r="K312" s="258" t="s">
        <v>2771</v>
      </c>
      <c r="L312" s="258" t="s">
        <v>2682</v>
      </c>
      <c r="M312" s="409">
        <v>23160000</v>
      </c>
      <c r="N312" s="258">
        <v>2497</v>
      </c>
      <c r="O312" s="258" t="s">
        <v>78</v>
      </c>
      <c r="P312" s="258" t="s">
        <v>86</v>
      </c>
      <c r="Q312" s="258" t="s">
        <v>72</v>
      </c>
      <c r="R312" s="258">
        <v>5</v>
      </c>
      <c r="S312" s="410">
        <v>15</v>
      </c>
      <c r="T312" s="261">
        <v>6</v>
      </c>
      <c r="U312" s="261">
        <v>6</v>
      </c>
      <c r="V312" s="258" t="s">
        <v>71</v>
      </c>
      <c r="W312" s="261" t="str">
        <f t="shared" si="54"/>
        <v>현대자동차포터Ⅱ 특장하이냉동탑차 초장축 슈퍼캡 SUP 싱글컴프 A/T23160000</v>
      </c>
      <c r="X312" s="411">
        <f t="shared" si="55"/>
        <v>4086</v>
      </c>
      <c r="Y312" s="261">
        <v>6</v>
      </c>
      <c r="Z312" s="261">
        <v>6</v>
      </c>
      <c r="AA312" s="407" t="s">
        <v>790</v>
      </c>
      <c r="AB312" s="258" t="s">
        <v>73</v>
      </c>
      <c r="AC312" s="258"/>
      <c r="AD312" s="258" t="s">
        <v>2135</v>
      </c>
      <c r="AE312" s="258" t="s">
        <v>2129</v>
      </c>
      <c r="AF312" s="259"/>
      <c r="AG312" s="260"/>
      <c r="AH312" s="259"/>
      <c r="AI312" s="259"/>
      <c r="AJ312" s="260"/>
      <c r="AK312" s="259">
        <v>26</v>
      </c>
      <c r="AL312" s="259"/>
      <c r="AM312" s="259" t="s">
        <v>3222</v>
      </c>
      <c r="AN312" s="449"/>
      <c r="AO312" s="449"/>
      <c r="AP312" s="449"/>
      <c r="AQ312" s="392" t="str">
        <f>IFERROR(VLOOKUP(BG312,#REF!,1,0),"")</f>
        <v/>
      </c>
      <c r="AS312" s="259" t="s">
        <v>3233</v>
      </c>
      <c r="BD312" s="202" t="str">
        <f t="shared" si="47"/>
        <v>포터Ⅱ 특장하이냉동탑차 초장축 슈퍼캡 SUP 싱글컴프 A/T</v>
      </c>
      <c r="BE312" s="261" t="str">
        <f t="shared" si="53"/>
        <v>0026</v>
      </c>
      <c r="BF312" s="407" t="s">
        <v>790</v>
      </c>
      <c r="BG312" s="202" t="str">
        <f t="shared" si="48"/>
        <v>0026-0311</v>
      </c>
    </row>
    <row r="313" spans="1:59" ht="16.899999999999999" customHeight="1">
      <c r="A313" s="405">
        <v>4087</v>
      </c>
      <c r="B313" s="406">
        <v>4087</v>
      </c>
      <c r="C313" s="261" t="str">
        <f t="shared" si="49"/>
        <v>0005-0026</v>
      </c>
      <c r="D313" s="261" t="str">
        <f t="shared" si="50"/>
        <v>0005-0026-0036</v>
      </c>
      <c r="E313" s="407" t="s">
        <v>788</v>
      </c>
      <c r="F313" s="261" t="str">
        <f>TEXT(VLOOKUP(J313,'[3]1'!$B$2:$D$37,2,0),"0000")</f>
        <v>0005</v>
      </c>
      <c r="G313" s="261" t="str">
        <f t="shared" si="51"/>
        <v>0026</v>
      </c>
      <c r="H313" s="408">
        <f t="shared" si="52"/>
        <v>36</v>
      </c>
      <c r="I313" s="407" t="s">
        <v>788</v>
      </c>
      <c r="J313" s="258" t="s">
        <v>294</v>
      </c>
      <c r="K313" s="258" t="s">
        <v>2771</v>
      </c>
      <c r="L313" s="258" t="s">
        <v>2683</v>
      </c>
      <c r="M313" s="409">
        <v>22920000</v>
      </c>
      <c r="N313" s="258">
        <v>2497</v>
      </c>
      <c r="O313" s="258" t="s">
        <v>78</v>
      </c>
      <c r="P313" s="258" t="s">
        <v>86</v>
      </c>
      <c r="Q313" s="258" t="s">
        <v>88</v>
      </c>
      <c r="R313" s="258">
        <v>5</v>
      </c>
      <c r="S313" s="410">
        <v>15</v>
      </c>
      <c r="T313" s="261">
        <v>6</v>
      </c>
      <c r="U313" s="261">
        <v>6</v>
      </c>
      <c r="V313" s="258" t="s">
        <v>71</v>
      </c>
      <c r="W313" s="261" t="str">
        <f t="shared" si="54"/>
        <v>현대자동차포터Ⅱ 특장하이냉동탑차 초장축 슈퍼캡 SUP 트윈컴프22920000</v>
      </c>
      <c r="X313" s="411">
        <f t="shared" si="55"/>
        <v>4087</v>
      </c>
      <c r="Y313" s="261">
        <v>6</v>
      </c>
      <c r="Z313" s="261">
        <v>6</v>
      </c>
      <c r="AA313" s="407" t="s">
        <v>788</v>
      </c>
      <c r="AB313" s="258" t="s">
        <v>73</v>
      </c>
      <c r="AC313" s="258"/>
      <c r="AD313" s="258" t="s">
        <v>2135</v>
      </c>
      <c r="AE313" s="258" t="s">
        <v>2129</v>
      </c>
      <c r="AF313" s="259"/>
      <c r="AG313" s="260"/>
      <c r="AH313" s="259"/>
      <c r="AI313" s="259"/>
      <c r="AJ313" s="260"/>
      <c r="AK313" s="259">
        <v>26</v>
      </c>
      <c r="AL313" s="259"/>
      <c r="AM313" s="259" t="s">
        <v>3222</v>
      </c>
      <c r="AN313" s="449"/>
      <c r="AO313" s="449"/>
      <c r="AP313" s="449"/>
      <c r="AQ313" s="392" t="str">
        <f>IFERROR(VLOOKUP(BG313,#REF!,1,0),"")</f>
        <v/>
      </c>
      <c r="AS313" s="259" t="s">
        <v>3233</v>
      </c>
      <c r="BD313" s="202" t="str">
        <f t="shared" si="47"/>
        <v>포터Ⅱ 특장하이냉동탑차 초장축 슈퍼캡 SUP 트윈컴프</v>
      </c>
      <c r="BE313" s="261" t="str">
        <f t="shared" si="53"/>
        <v>0026</v>
      </c>
      <c r="BF313" s="407" t="s">
        <v>788</v>
      </c>
      <c r="BG313" s="202" t="str">
        <f t="shared" si="48"/>
        <v>0026-0312</v>
      </c>
    </row>
    <row r="314" spans="1:59">
      <c r="A314" s="405">
        <v>4088</v>
      </c>
      <c r="B314" s="406">
        <v>4088</v>
      </c>
      <c r="C314" s="261" t="str">
        <f t="shared" si="49"/>
        <v>0005-0026</v>
      </c>
      <c r="D314" s="261" t="str">
        <f t="shared" si="50"/>
        <v>0005-0026-0037</v>
      </c>
      <c r="E314" s="407" t="s">
        <v>787</v>
      </c>
      <c r="F314" s="261" t="str">
        <f>TEXT(VLOOKUP(J314,'[3]1'!$B$2:$D$37,2,0),"0000")</f>
        <v>0005</v>
      </c>
      <c r="G314" s="261" t="str">
        <f t="shared" si="51"/>
        <v>0026</v>
      </c>
      <c r="H314" s="408">
        <f t="shared" si="52"/>
        <v>37</v>
      </c>
      <c r="I314" s="407" t="s">
        <v>787</v>
      </c>
      <c r="J314" s="258" t="s">
        <v>294</v>
      </c>
      <c r="K314" s="258" t="s">
        <v>2771</v>
      </c>
      <c r="L314" s="258" t="s">
        <v>2684</v>
      </c>
      <c r="M314" s="409">
        <v>24730000</v>
      </c>
      <c r="N314" s="258">
        <v>2497</v>
      </c>
      <c r="O314" s="258" t="s">
        <v>78</v>
      </c>
      <c r="P314" s="258" t="s">
        <v>86</v>
      </c>
      <c r="Q314" s="258" t="s">
        <v>72</v>
      </c>
      <c r="R314" s="258">
        <v>5</v>
      </c>
      <c r="S314" s="410">
        <v>15</v>
      </c>
      <c r="T314" s="261">
        <v>6</v>
      </c>
      <c r="U314" s="261">
        <v>6</v>
      </c>
      <c r="V314" s="258" t="s">
        <v>71</v>
      </c>
      <c r="W314" s="261" t="str">
        <f t="shared" si="54"/>
        <v>현대자동차포터Ⅱ 특장하이냉동탑차 초장축 슈퍼캡 스마트 트윈컴프 A/T24730000</v>
      </c>
      <c r="X314" s="411">
        <f t="shared" si="55"/>
        <v>4088</v>
      </c>
      <c r="Y314" s="261">
        <v>6</v>
      </c>
      <c r="Z314" s="261">
        <v>6</v>
      </c>
      <c r="AA314" s="407" t="s">
        <v>787</v>
      </c>
      <c r="AB314" s="258" t="s">
        <v>73</v>
      </c>
      <c r="AC314" s="258"/>
      <c r="AD314" s="258" t="s">
        <v>2135</v>
      </c>
      <c r="AE314" s="258" t="s">
        <v>2129</v>
      </c>
      <c r="AF314" s="259"/>
      <c r="AG314" s="260"/>
      <c r="AH314" s="259"/>
      <c r="AI314" s="259"/>
      <c r="AJ314" s="260"/>
      <c r="AK314" s="259">
        <v>26</v>
      </c>
      <c r="AL314" s="259"/>
      <c r="AM314" s="259" t="s">
        <v>3222</v>
      </c>
      <c r="AN314" s="449"/>
      <c r="AO314" s="449"/>
      <c r="AP314" s="449"/>
      <c r="AQ314" s="392" t="str">
        <f>IFERROR(VLOOKUP(BG314,#REF!,1,0),"")</f>
        <v/>
      </c>
      <c r="AS314" s="259" t="s">
        <v>3233</v>
      </c>
      <c r="BD314" s="202" t="str">
        <f t="shared" si="47"/>
        <v>포터Ⅱ 특장하이냉동탑차 초장축 슈퍼캡 스마트 트윈컴프 A/T</v>
      </c>
      <c r="BE314" s="261" t="str">
        <f t="shared" si="53"/>
        <v>0026</v>
      </c>
      <c r="BF314" s="407" t="s">
        <v>787</v>
      </c>
      <c r="BG314" s="202" t="str">
        <f t="shared" si="48"/>
        <v>0026-0313</v>
      </c>
    </row>
    <row r="315" spans="1:59">
      <c r="A315" s="405">
        <v>4089</v>
      </c>
      <c r="B315" s="406">
        <v>4089</v>
      </c>
      <c r="C315" s="261" t="str">
        <f t="shared" si="49"/>
        <v>0005-0026</v>
      </c>
      <c r="D315" s="261" t="str">
        <f t="shared" si="50"/>
        <v>0005-0026-0038</v>
      </c>
      <c r="E315" s="407" t="s">
        <v>786</v>
      </c>
      <c r="F315" s="261" t="str">
        <f>TEXT(VLOOKUP(J315,'[3]1'!$B$2:$D$37,2,0),"0000")</f>
        <v>0005</v>
      </c>
      <c r="G315" s="261" t="str">
        <f t="shared" si="51"/>
        <v>0026</v>
      </c>
      <c r="H315" s="408">
        <f t="shared" si="52"/>
        <v>38</v>
      </c>
      <c r="I315" s="407" t="s">
        <v>786</v>
      </c>
      <c r="J315" s="258" t="s">
        <v>294</v>
      </c>
      <c r="K315" s="258" t="s">
        <v>2771</v>
      </c>
      <c r="L315" s="258" t="s">
        <v>2685</v>
      </c>
      <c r="M315" s="409">
        <v>22550000</v>
      </c>
      <c r="N315" s="258">
        <v>2497</v>
      </c>
      <c r="O315" s="258" t="s">
        <v>78</v>
      </c>
      <c r="P315" s="258" t="s">
        <v>86</v>
      </c>
      <c r="Q315" s="258" t="s">
        <v>88</v>
      </c>
      <c r="R315" s="258">
        <v>5</v>
      </c>
      <c r="S315" s="410">
        <v>15</v>
      </c>
      <c r="T315" s="261">
        <v>6</v>
      </c>
      <c r="U315" s="261">
        <v>6</v>
      </c>
      <c r="V315" s="258" t="s">
        <v>71</v>
      </c>
      <c r="W315" s="261" t="str">
        <f t="shared" si="54"/>
        <v>현대자동차포터Ⅱ 특장냉동탑차 초장축 슈퍼캡 SUP 트윈컴프22550000</v>
      </c>
      <c r="X315" s="411">
        <f t="shared" si="55"/>
        <v>4089</v>
      </c>
      <c r="Y315" s="261">
        <v>6</v>
      </c>
      <c r="Z315" s="261">
        <v>6</v>
      </c>
      <c r="AA315" s="407" t="s">
        <v>786</v>
      </c>
      <c r="AB315" s="258" t="s">
        <v>73</v>
      </c>
      <c r="AC315" s="258"/>
      <c r="AD315" s="258" t="s">
        <v>2135</v>
      </c>
      <c r="AE315" s="258" t="s">
        <v>2129</v>
      </c>
      <c r="AF315" s="259"/>
      <c r="AG315" s="260"/>
      <c r="AH315" s="259"/>
      <c r="AI315" s="259"/>
      <c r="AJ315" s="260"/>
      <c r="AK315" s="259">
        <v>26</v>
      </c>
      <c r="AL315" s="259"/>
      <c r="AM315" s="259" t="s">
        <v>3222</v>
      </c>
      <c r="AN315" s="449"/>
      <c r="AO315" s="449"/>
      <c r="AP315" s="449"/>
      <c r="AQ315" s="392" t="str">
        <f>IFERROR(VLOOKUP(BG315,#REF!,1,0),"")</f>
        <v/>
      </c>
      <c r="AS315" s="259" t="s">
        <v>3233</v>
      </c>
      <c r="BD315" s="202" t="str">
        <f t="shared" si="47"/>
        <v>포터Ⅱ 특장냉동탑차 초장축 슈퍼캡 SUP 트윈컴프</v>
      </c>
      <c r="BE315" s="261" t="str">
        <f t="shared" si="53"/>
        <v>0026</v>
      </c>
      <c r="BF315" s="407" t="s">
        <v>786</v>
      </c>
      <c r="BG315" s="202" t="str">
        <f t="shared" si="48"/>
        <v>0026-0314</v>
      </c>
    </row>
    <row r="316" spans="1:59">
      <c r="A316" s="405">
        <v>4090</v>
      </c>
      <c r="B316" s="406">
        <v>4090</v>
      </c>
      <c r="C316" s="261" t="str">
        <f t="shared" si="49"/>
        <v>0005-0026</v>
      </c>
      <c r="D316" s="261" t="str">
        <f t="shared" si="50"/>
        <v>0005-0026-0039</v>
      </c>
      <c r="E316" s="407" t="s">
        <v>785</v>
      </c>
      <c r="F316" s="261" t="str">
        <f>TEXT(VLOOKUP(J316,'[3]1'!$B$2:$D$37,2,0),"0000")</f>
        <v>0005</v>
      </c>
      <c r="G316" s="261" t="str">
        <f t="shared" si="51"/>
        <v>0026</v>
      </c>
      <c r="H316" s="408">
        <f t="shared" si="52"/>
        <v>39</v>
      </c>
      <c r="I316" s="407" t="s">
        <v>785</v>
      </c>
      <c r="J316" s="258" t="s">
        <v>294</v>
      </c>
      <c r="K316" s="258" t="s">
        <v>2771</v>
      </c>
      <c r="L316" s="258" t="s">
        <v>2686</v>
      </c>
      <c r="M316" s="409">
        <v>22440000</v>
      </c>
      <c r="N316" s="258">
        <v>2497</v>
      </c>
      <c r="O316" s="258" t="s">
        <v>78</v>
      </c>
      <c r="P316" s="258" t="s">
        <v>86</v>
      </c>
      <c r="Q316" s="258" t="s">
        <v>72</v>
      </c>
      <c r="R316" s="258" t="e">
        <v>#N/A</v>
      </c>
      <c r="S316" s="410">
        <v>15</v>
      </c>
      <c r="T316" s="261">
        <v>6</v>
      </c>
      <c r="U316" s="261">
        <v>6</v>
      </c>
      <c r="V316" s="258" t="s">
        <v>3993</v>
      </c>
      <c r="W316" s="261" t="str">
        <f t="shared" si="54"/>
        <v>현대자동차포터Ⅱ 특장하이냉동탑차 초장축 슈퍼캡 PLUS 트윈컴프 A/T22440000</v>
      </c>
      <c r="X316" s="411">
        <f t="shared" si="55"/>
        <v>4090</v>
      </c>
      <c r="Y316" s="261">
        <v>6</v>
      </c>
      <c r="Z316" s="261">
        <v>6</v>
      </c>
      <c r="AA316" s="407" t="s">
        <v>785</v>
      </c>
      <c r="AB316" s="258" t="e">
        <v>#N/A</v>
      </c>
      <c r="AC316" s="258"/>
      <c r="AD316" s="258" t="s">
        <v>2135</v>
      </c>
      <c r="AE316" s="258" t="s">
        <v>2129</v>
      </c>
      <c r="AF316" s="259"/>
      <c r="AG316" s="260"/>
      <c r="AH316" s="259"/>
      <c r="AI316" s="259"/>
      <c r="AJ316" s="260"/>
      <c r="AK316" s="259">
        <v>26</v>
      </c>
      <c r="AL316" s="259"/>
      <c r="AM316" s="259" t="s">
        <v>3222</v>
      </c>
      <c r="AN316" s="449"/>
      <c r="AO316" s="449"/>
      <c r="AP316" s="449"/>
      <c r="AQ316" s="392" t="str">
        <f>IFERROR(VLOOKUP(BG316,#REF!,1,0),"")</f>
        <v/>
      </c>
      <c r="AS316" s="259" t="s">
        <v>3233</v>
      </c>
      <c r="BD316" s="202" t="str">
        <f t="shared" si="47"/>
        <v>포터Ⅱ 특장하이냉동탑차 초장축 슈퍼캡 PLUS 트윈컴프 A/T</v>
      </c>
      <c r="BE316" s="261" t="str">
        <f t="shared" si="53"/>
        <v>0026</v>
      </c>
      <c r="BF316" s="407" t="s">
        <v>785</v>
      </c>
      <c r="BG316" s="202" t="str">
        <f t="shared" si="48"/>
        <v>0026-0315</v>
      </c>
    </row>
    <row r="317" spans="1:59">
      <c r="A317" s="405">
        <v>4091</v>
      </c>
      <c r="B317" s="406">
        <v>4091</v>
      </c>
      <c r="C317" s="261" t="str">
        <f t="shared" si="49"/>
        <v>0005-0026</v>
      </c>
      <c r="D317" s="261" t="str">
        <f t="shared" si="50"/>
        <v>0005-0026-0040</v>
      </c>
      <c r="E317" s="407" t="s">
        <v>784</v>
      </c>
      <c r="F317" s="261" t="str">
        <f>TEXT(VLOOKUP(J317,'[3]1'!$B$2:$D$37,2,0),"0000")</f>
        <v>0005</v>
      </c>
      <c r="G317" s="261" t="str">
        <f t="shared" si="51"/>
        <v>0026</v>
      </c>
      <c r="H317" s="408">
        <f t="shared" si="52"/>
        <v>40</v>
      </c>
      <c r="I317" s="407" t="s">
        <v>784</v>
      </c>
      <c r="J317" s="258" t="s">
        <v>294</v>
      </c>
      <c r="K317" s="258" t="s">
        <v>2771</v>
      </c>
      <c r="L317" s="258" t="s">
        <v>2687</v>
      </c>
      <c r="M317" s="409">
        <v>19970000</v>
      </c>
      <c r="N317" s="258">
        <v>2497</v>
      </c>
      <c r="O317" s="258" t="s">
        <v>78</v>
      </c>
      <c r="P317" s="258" t="s">
        <v>86</v>
      </c>
      <c r="Q317" s="258" t="s">
        <v>88</v>
      </c>
      <c r="R317" s="258">
        <v>5</v>
      </c>
      <c r="S317" s="410">
        <v>15</v>
      </c>
      <c r="T317" s="261">
        <v>6</v>
      </c>
      <c r="U317" s="261">
        <v>6</v>
      </c>
      <c r="V317" s="258" t="s">
        <v>71</v>
      </c>
      <c r="W317" s="261" t="str">
        <f t="shared" si="54"/>
        <v>현대자동차포터Ⅱ 특장냉장탑차 초장축 슈퍼캡 PLUS 싱글컴프19970000</v>
      </c>
      <c r="X317" s="411">
        <f t="shared" si="55"/>
        <v>4091</v>
      </c>
      <c r="Y317" s="261">
        <v>6</v>
      </c>
      <c r="Z317" s="261">
        <v>6</v>
      </c>
      <c r="AA317" s="407" t="s">
        <v>784</v>
      </c>
      <c r="AB317" s="258" t="s">
        <v>73</v>
      </c>
      <c r="AC317" s="258"/>
      <c r="AD317" s="258" t="s">
        <v>2135</v>
      </c>
      <c r="AE317" s="258" t="s">
        <v>2129</v>
      </c>
      <c r="AF317" s="259"/>
      <c r="AG317" s="260"/>
      <c r="AH317" s="259"/>
      <c r="AI317" s="259"/>
      <c r="AJ317" s="260"/>
      <c r="AK317" s="259">
        <v>26</v>
      </c>
      <c r="AL317" s="259"/>
      <c r="AM317" s="259" t="s">
        <v>3222</v>
      </c>
      <c r="AN317" s="449"/>
      <c r="AO317" s="449"/>
      <c r="AP317" s="449"/>
      <c r="AQ317" s="392" t="str">
        <f>IFERROR(VLOOKUP(BG317,#REF!,1,0),"")</f>
        <v/>
      </c>
      <c r="AS317" s="259" t="s">
        <v>3233</v>
      </c>
      <c r="BD317" s="202" t="str">
        <f t="shared" si="47"/>
        <v>포터Ⅱ 특장냉장탑차 초장축 슈퍼캡 PLUS 싱글컴프</v>
      </c>
      <c r="BE317" s="261" t="str">
        <f t="shared" si="53"/>
        <v>0026</v>
      </c>
      <c r="BF317" s="407" t="s">
        <v>784</v>
      </c>
      <c r="BG317" s="202" t="str">
        <f t="shared" si="48"/>
        <v>0026-0316</v>
      </c>
    </row>
    <row r="318" spans="1:59">
      <c r="A318" s="405">
        <v>4092</v>
      </c>
      <c r="B318" s="406">
        <v>4092</v>
      </c>
      <c r="C318" s="261" t="str">
        <f t="shared" si="49"/>
        <v>0005-0026</v>
      </c>
      <c r="D318" s="261" t="str">
        <f t="shared" si="50"/>
        <v>0005-0026-0041</v>
      </c>
      <c r="E318" s="407" t="s">
        <v>783</v>
      </c>
      <c r="F318" s="261" t="str">
        <f>TEXT(VLOOKUP(J318,'[3]1'!$B$2:$D$37,2,0),"0000")</f>
        <v>0005</v>
      </c>
      <c r="G318" s="261" t="str">
        <f t="shared" si="51"/>
        <v>0026</v>
      </c>
      <c r="H318" s="408">
        <f t="shared" si="52"/>
        <v>41</v>
      </c>
      <c r="I318" s="407" t="s">
        <v>783</v>
      </c>
      <c r="J318" s="258" t="s">
        <v>294</v>
      </c>
      <c r="K318" s="258" t="s">
        <v>2771</v>
      </c>
      <c r="L318" s="258" t="s">
        <v>2688</v>
      </c>
      <c r="M318" s="409">
        <v>18430000</v>
      </c>
      <c r="N318" s="258">
        <v>2497</v>
      </c>
      <c r="O318" s="258" t="s">
        <v>78</v>
      </c>
      <c r="P318" s="258" t="s">
        <v>86</v>
      </c>
      <c r="Q318" s="258" t="s">
        <v>72</v>
      </c>
      <c r="R318" s="258" t="e">
        <v>#N/A</v>
      </c>
      <c r="S318" s="410">
        <v>15</v>
      </c>
      <c r="T318" s="261">
        <v>6</v>
      </c>
      <c r="U318" s="261">
        <v>6</v>
      </c>
      <c r="V318" s="258" t="s">
        <v>3993</v>
      </c>
      <c r="W318" s="261" t="str">
        <f t="shared" si="54"/>
        <v>현대자동차포터Ⅱ 특장파워게이트 초장축 슈퍼캡 PLUS A/T18430000</v>
      </c>
      <c r="X318" s="411">
        <f t="shared" si="55"/>
        <v>4092</v>
      </c>
      <c r="Y318" s="261">
        <v>6</v>
      </c>
      <c r="Z318" s="261">
        <v>6</v>
      </c>
      <c r="AA318" s="407" t="s">
        <v>783</v>
      </c>
      <c r="AB318" s="258" t="e">
        <v>#N/A</v>
      </c>
      <c r="AC318" s="258"/>
      <c r="AD318" s="258" t="s">
        <v>2135</v>
      </c>
      <c r="AE318" s="258" t="s">
        <v>2129</v>
      </c>
      <c r="AF318" s="259"/>
      <c r="AG318" s="260"/>
      <c r="AH318" s="259"/>
      <c r="AI318" s="259"/>
      <c r="AJ318" s="260"/>
      <c r="AK318" s="259">
        <v>26</v>
      </c>
      <c r="AL318" s="259"/>
      <c r="AM318" s="259" t="s">
        <v>3222</v>
      </c>
      <c r="AN318" s="449"/>
      <c r="AO318" s="449"/>
      <c r="AP318" s="449"/>
      <c r="AQ318" s="392" t="str">
        <f>IFERROR(VLOOKUP(BG318,#REF!,1,0),"")</f>
        <v/>
      </c>
      <c r="AS318" s="259" t="s">
        <v>3233</v>
      </c>
      <c r="BD318" s="202" t="str">
        <f t="shared" si="47"/>
        <v>포터Ⅱ 특장파워게이트 초장축 슈퍼캡 PLUS A/T</v>
      </c>
      <c r="BE318" s="261" t="str">
        <f t="shared" si="53"/>
        <v>0026</v>
      </c>
      <c r="BF318" s="407" t="s">
        <v>783</v>
      </c>
      <c r="BG318" s="202" t="str">
        <f t="shared" si="48"/>
        <v>0026-0317</v>
      </c>
    </row>
    <row r="319" spans="1:59">
      <c r="A319" s="405">
        <v>4093</v>
      </c>
      <c r="B319" s="406">
        <v>4093</v>
      </c>
      <c r="C319" s="261" t="str">
        <f t="shared" si="49"/>
        <v>0005-0026</v>
      </c>
      <c r="D319" s="261" t="str">
        <f t="shared" si="50"/>
        <v>0005-0026-0042</v>
      </c>
      <c r="E319" s="407" t="s">
        <v>782</v>
      </c>
      <c r="F319" s="261" t="str">
        <f>TEXT(VLOOKUP(J319,'[3]1'!$B$2:$D$37,2,0),"0000")</f>
        <v>0005</v>
      </c>
      <c r="G319" s="261" t="str">
        <f t="shared" si="51"/>
        <v>0026</v>
      </c>
      <c r="H319" s="408">
        <f t="shared" si="52"/>
        <v>42</v>
      </c>
      <c r="I319" s="407" t="s">
        <v>782</v>
      </c>
      <c r="J319" s="258" t="s">
        <v>294</v>
      </c>
      <c r="K319" s="258" t="s">
        <v>2771</v>
      </c>
      <c r="L319" s="258" t="s">
        <v>2639</v>
      </c>
      <c r="M319" s="409">
        <v>22840000</v>
      </c>
      <c r="N319" s="258">
        <v>2497</v>
      </c>
      <c r="O319" s="258" t="s">
        <v>78</v>
      </c>
      <c r="P319" s="258" t="s">
        <v>86</v>
      </c>
      <c r="Q319" s="258" t="s">
        <v>72</v>
      </c>
      <c r="R319" s="258" t="e">
        <v>#N/A</v>
      </c>
      <c r="S319" s="410">
        <v>15</v>
      </c>
      <c r="T319" s="261">
        <v>6</v>
      </c>
      <c r="U319" s="261">
        <v>6</v>
      </c>
      <c r="V319" s="258" t="s">
        <v>3993</v>
      </c>
      <c r="W319" s="261" t="str">
        <f t="shared" si="54"/>
        <v>현대자동차포터Ⅱ 특장내장탑차 초장축 더블캡 스마트 A/T22840000</v>
      </c>
      <c r="X319" s="411">
        <f t="shared" si="55"/>
        <v>4093</v>
      </c>
      <c r="Y319" s="261">
        <v>6</v>
      </c>
      <c r="Z319" s="261">
        <v>6</v>
      </c>
      <c r="AA319" s="407" t="s">
        <v>782</v>
      </c>
      <c r="AB319" s="258" t="e">
        <v>#N/A</v>
      </c>
      <c r="AC319" s="258"/>
      <c r="AD319" s="258" t="s">
        <v>2135</v>
      </c>
      <c r="AE319" s="258" t="s">
        <v>2129</v>
      </c>
      <c r="AF319" s="259"/>
      <c r="AG319" s="260"/>
      <c r="AH319" s="259"/>
      <c r="AI319" s="259"/>
      <c r="AJ319" s="260"/>
      <c r="AK319" s="259">
        <v>26</v>
      </c>
      <c r="AL319" s="259"/>
      <c r="AM319" s="259" t="s">
        <v>3222</v>
      </c>
      <c r="AN319" s="449"/>
      <c r="AO319" s="449"/>
      <c r="AP319" s="449"/>
      <c r="AQ319" s="392" t="str">
        <f>IFERROR(VLOOKUP(BG319,#REF!,1,0),"")</f>
        <v/>
      </c>
      <c r="AS319" s="259" t="s">
        <v>3233</v>
      </c>
      <c r="BD319" s="202" t="str">
        <f t="shared" si="47"/>
        <v>포터Ⅱ 특장내장탑차 초장축 더블캡 스마트 A/T</v>
      </c>
      <c r="BE319" s="261" t="str">
        <f t="shared" si="53"/>
        <v>0026</v>
      </c>
      <c r="BF319" s="407" t="s">
        <v>782</v>
      </c>
      <c r="BG319" s="202" t="str">
        <f t="shared" si="48"/>
        <v>0026-0318</v>
      </c>
    </row>
    <row r="320" spans="1:59">
      <c r="A320" s="405">
        <v>4094</v>
      </c>
      <c r="B320" s="406">
        <v>4094</v>
      </c>
      <c r="C320" s="261" t="str">
        <f t="shared" si="49"/>
        <v>0005-0026</v>
      </c>
      <c r="D320" s="261" t="str">
        <f t="shared" si="50"/>
        <v>0005-0026-0043</v>
      </c>
      <c r="E320" s="407" t="s">
        <v>781</v>
      </c>
      <c r="F320" s="261" t="str">
        <f>TEXT(VLOOKUP(J320,'[3]1'!$B$2:$D$37,2,0),"0000")</f>
        <v>0005</v>
      </c>
      <c r="G320" s="261" t="str">
        <f t="shared" si="51"/>
        <v>0026</v>
      </c>
      <c r="H320" s="408">
        <f t="shared" si="52"/>
        <v>43</v>
      </c>
      <c r="I320" s="407" t="s">
        <v>781</v>
      </c>
      <c r="J320" s="258" t="s">
        <v>294</v>
      </c>
      <c r="K320" s="258" t="s">
        <v>2771</v>
      </c>
      <c r="L320" s="258" t="s">
        <v>2689</v>
      </c>
      <c r="M320" s="409">
        <v>18820000</v>
      </c>
      <c r="N320" s="258">
        <v>2497</v>
      </c>
      <c r="O320" s="258" t="s">
        <v>78</v>
      </c>
      <c r="P320" s="258" t="s">
        <v>86</v>
      </c>
      <c r="Q320" s="258" t="s">
        <v>88</v>
      </c>
      <c r="R320" s="258" t="e">
        <v>#N/A</v>
      </c>
      <c r="S320" s="410">
        <v>15</v>
      </c>
      <c r="T320" s="261">
        <v>6</v>
      </c>
      <c r="U320" s="261">
        <v>6</v>
      </c>
      <c r="V320" s="258" t="s">
        <v>3993</v>
      </c>
      <c r="W320" s="261" t="str">
        <f t="shared" si="54"/>
        <v>현대자동차포터Ⅱ 특장하이내장탑차 초장축 일반캡 SUP18820000</v>
      </c>
      <c r="X320" s="411">
        <f t="shared" si="55"/>
        <v>4094</v>
      </c>
      <c r="Y320" s="261">
        <v>6</v>
      </c>
      <c r="Z320" s="261">
        <v>6</v>
      </c>
      <c r="AA320" s="407" t="s">
        <v>781</v>
      </c>
      <c r="AB320" s="258" t="e">
        <v>#N/A</v>
      </c>
      <c r="AC320" s="258"/>
      <c r="AD320" s="258" t="s">
        <v>2135</v>
      </c>
      <c r="AE320" s="258" t="s">
        <v>2129</v>
      </c>
      <c r="AF320" s="259"/>
      <c r="AG320" s="260"/>
      <c r="AH320" s="259"/>
      <c r="AI320" s="259"/>
      <c r="AJ320" s="260"/>
      <c r="AK320" s="259">
        <v>26</v>
      </c>
      <c r="AL320" s="259"/>
      <c r="AM320" s="259" t="s">
        <v>3222</v>
      </c>
      <c r="AN320" s="449"/>
      <c r="AO320" s="449"/>
      <c r="AP320" s="449"/>
      <c r="AQ320" s="392" t="str">
        <f>IFERROR(VLOOKUP(BG320,#REF!,1,0),"")</f>
        <v/>
      </c>
      <c r="AS320" s="259" t="s">
        <v>3233</v>
      </c>
      <c r="BD320" s="202" t="str">
        <f t="shared" si="47"/>
        <v>포터Ⅱ 특장하이내장탑차 초장축 일반캡 SUP</v>
      </c>
      <c r="BE320" s="261" t="str">
        <f t="shared" si="53"/>
        <v>0026</v>
      </c>
      <c r="BF320" s="407" t="s">
        <v>781</v>
      </c>
      <c r="BG320" s="202" t="str">
        <f t="shared" si="48"/>
        <v>0026-0319</v>
      </c>
    </row>
    <row r="321" spans="1:59">
      <c r="A321" s="405">
        <v>4095</v>
      </c>
      <c r="B321" s="406">
        <v>4095</v>
      </c>
      <c r="C321" s="261" t="str">
        <f t="shared" si="49"/>
        <v>0005-0026</v>
      </c>
      <c r="D321" s="261" t="str">
        <f t="shared" si="50"/>
        <v>0005-0026-0044</v>
      </c>
      <c r="E321" s="407" t="s">
        <v>780</v>
      </c>
      <c r="F321" s="261" t="str">
        <f>TEXT(VLOOKUP(J321,'[3]1'!$B$2:$D$37,2,0),"0000")</f>
        <v>0005</v>
      </c>
      <c r="G321" s="261" t="str">
        <f t="shared" si="51"/>
        <v>0026</v>
      </c>
      <c r="H321" s="408">
        <f t="shared" si="52"/>
        <v>44</v>
      </c>
      <c r="I321" s="407" t="s">
        <v>780</v>
      </c>
      <c r="J321" s="258" t="s">
        <v>294</v>
      </c>
      <c r="K321" s="258" t="s">
        <v>2771</v>
      </c>
      <c r="L321" s="258" t="s">
        <v>2690</v>
      </c>
      <c r="M321" s="409">
        <v>22430000</v>
      </c>
      <c r="N321" s="258">
        <v>2497</v>
      </c>
      <c r="O321" s="258" t="s">
        <v>78</v>
      </c>
      <c r="P321" s="258" t="s">
        <v>86</v>
      </c>
      <c r="Q321" s="258" t="s">
        <v>88</v>
      </c>
      <c r="R321" s="258" t="e">
        <v>#N/A</v>
      </c>
      <c r="S321" s="410">
        <v>15</v>
      </c>
      <c r="T321" s="261">
        <v>6</v>
      </c>
      <c r="U321" s="261">
        <v>6</v>
      </c>
      <c r="V321" s="258" t="s">
        <v>3993</v>
      </c>
      <c r="W321" s="261" t="str">
        <f t="shared" si="54"/>
        <v>현대자동차포터Ⅱ 특장내장탑파워게이트 초장축 슈퍼캡 SUP22430000</v>
      </c>
      <c r="X321" s="411">
        <f t="shared" si="55"/>
        <v>4095</v>
      </c>
      <c r="Y321" s="261">
        <v>6</v>
      </c>
      <c r="Z321" s="261">
        <v>6</v>
      </c>
      <c r="AA321" s="407" t="s">
        <v>780</v>
      </c>
      <c r="AB321" s="258" t="e">
        <v>#N/A</v>
      </c>
      <c r="AC321" s="258"/>
      <c r="AD321" s="258" t="s">
        <v>2135</v>
      </c>
      <c r="AE321" s="258" t="s">
        <v>2129</v>
      </c>
      <c r="AF321" s="259"/>
      <c r="AG321" s="260"/>
      <c r="AH321" s="259"/>
      <c r="AI321" s="259"/>
      <c r="AJ321" s="260"/>
      <c r="AK321" s="259">
        <v>26</v>
      </c>
      <c r="AL321" s="259"/>
      <c r="AM321" s="259" t="s">
        <v>3222</v>
      </c>
      <c r="AN321" s="449"/>
      <c r="AO321" s="449"/>
      <c r="AP321" s="449"/>
      <c r="AQ321" s="392" t="str">
        <f>IFERROR(VLOOKUP(BG321,#REF!,1,0),"")</f>
        <v/>
      </c>
      <c r="AS321" s="259" t="s">
        <v>3233</v>
      </c>
      <c r="BD321" s="202" t="str">
        <f t="shared" si="47"/>
        <v>포터Ⅱ 특장내장탑파워게이트 초장축 슈퍼캡 SUP</v>
      </c>
      <c r="BE321" s="261" t="str">
        <f t="shared" si="53"/>
        <v>0026</v>
      </c>
      <c r="BF321" s="407" t="s">
        <v>780</v>
      </c>
      <c r="BG321" s="202" t="str">
        <f t="shared" si="48"/>
        <v>0026-0320</v>
      </c>
    </row>
    <row r="322" spans="1:59">
      <c r="A322" s="405">
        <v>4096</v>
      </c>
      <c r="B322" s="406">
        <v>4096</v>
      </c>
      <c r="C322" s="261" t="str">
        <f t="shared" si="49"/>
        <v>0005-0026</v>
      </c>
      <c r="D322" s="261" t="str">
        <f t="shared" si="50"/>
        <v>0005-0026-0045</v>
      </c>
      <c r="E322" s="407" t="s">
        <v>779</v>
      </c>
      <c r="F322" s="261" t="str">
        <f>TEXT(VLOOKUP(J322,'[3]1'!$B$2:$D$37,2,0),"0000")</f>
        <v>0005</v>
      </c>
      <c r="G322" s="261" t="str">
        <f t="shared" si="51"/>
        <v>0026</v>
      </c>
      <c r="H322" s="408">
        <f t="shared" si="52"/>
        <v>45</v>
      </c>
      <c r="I322" s="407" t="s">
        <v>779</v>
      </c>
      <c r="J322" s="258" t="s">
        <v>294</v>
      </c>
      <c r="K322" s="258" t="s">
        <v>2771</v>
      </c>
      <c r="L322" s="258" t="s">
        <v>2691</v>
      </c>
      <c r="M322" s="409">
        <v>23550000</v>
      </c>
      <c r="N322" s="258">
        <v>2497</v>
      </c>
      <c r="O322" s="258" t="s">
        <v>78</v>
      </c>
      <c r="P322" s="258" t="s">
        <v>86</v>
      </c>
      <c r="Q322" s="258" t="s">
        <v>72</v>
      </c>
      <c r="R322" s="258" t="e">
        <v>#N/A</v>
      </c>
      <c r="S322" s="410">
        <v>15</v>
      </c>
      <c r="T322" s="261">
        <v>6</v>
      </c>
      <c r="U322" s="261">
        <v>6</v>
      </c>
      <c r="V322" s="258" t="s">
        <v>3993</v>
      </c>
      <c r="W322" s="261" t="str">
        <f t="shared" si="54"/>
        <v>현대자동차포터Ⅱ 특장내장탑파워게이트 초장축 슈퍼캡 SUP A/T23550000</v>
      </c>
      <c r="X322" s="411">
        <f t="shared" si="55"/>
        <v>4096</v>
      </c>
      <c r="Y322" s="261">
        <v>6</v>
      </c>
      <c r="Z322" s="261">
        <v>6</v>
      </c>
      <c r="AA322" s="407" t="s">
        <v>779</v>
      </c>
      <c r="AB322" s="258" t="e">
        <v>#N/A</v>
      </c>
      <c r="AC322" s="258"/>
      <c r="AD322" s="258" t="s">
        <v>2135</v>
      </c>
      <c r="AE322" s="258" t="s">
        <v>2129</v>
      </c>
      <c r="AF322" s="259"/>
      <c r="AG322" s="260"/>
      <c r="AH322" s="259"/>
      <c r="AI322" s="259"/>
      <c r="AJ322" s="260"/>
      <c r="AK322" s="259">
        <v>26</v>
      </c>
      <c r="AL322" s="259"/>
      <c r="AM322" s="259" t="s">
        <v>3222</v>
      </c>
      <c r="AN322" s="449"/>
      <c r="AO322" s="449"/>
      <c r="AP322" s="449"/>
      <c r="AQ322" s="392" t="str">
        <f>IFERROR(VLOOKUP(BG322,#REF!,1,0),"")</f>
        <v/>
      </c>
      <c r="AS322" s="259" t="s">
        <v>3233</v>
      </c>
      <c r="BD322" s="202" t="str">
        <f t="shared" si="47"/>
        <v>포터Ⅱ 특장내장탑파워게이트 초장축 슈퍼캡 SUP A/T</v>
      </c>
      <c r="BE322" s="261" t="str">
        <f t="shared" si="53"/>
        <v>0026</v>
      </c>
      <c r="BF322" s="407" t="s">
        <v>779</v>
      </c>
      <c r="BG322" s="202" t="str">
        <f t="shared" si="48"/>
        <v>0026-0321</v>
      </c>
    </row>
    <row r="323" spans="1:59">
      <c r="A323" s="405">
        <v>4097</v>
      </c>
      <c r="B323" s="406">
        <v>4097</v>
      </c>
      <c r="C323" s="261" t="str">
        <f t="shared" si="49"/>
        <v>0005-0026</v>
      </c>
      <c r="D323" s="261" t="str">
        <f t="shared" si="50"/>
        <v>0005-0026-0046</v>
      </c>
      <c r="E323" s="407" t="s">
        <v>778</v>
      </c>
      <c r="F323" s="261" t="str">
        <f>TEXT(VLOOKUP(J323,'[3]1'!$B$2:$D$37,2,0),"0000")</f>
        <v>0005</v>
      </c>
      <c r="G323" s="261" t="str">
        <f t="shared" si="51"/>
        <v>0026</v>
      </c>
      <c r="H323" s="408">
        <f t="shared" si="52"/>
        <v>46</v>
      </c>
      <c r="I323" s="407" t="s">
        <v>778</v>
      </c>
      <c r="J323" s="258" t="s">
        <v>294</v>
      </c>
      <c r="K323" s="258" t="s">
        <v>2771</v>
      </c>
      <c r="L323" s="258" t="s">
        <v>2692</v>
      </c>
      <c r="M323" s="409">
        <v>24040000</v>
      </c>
      <c r="N323" s="258">
        <v>2497</v>
      </c>
      <c r="O323" s="258" t="s">
        <v>78</v>
      </c>
      <c r="P323" s="258" t="s">
        <v>86</v>
      </c>
      <c r="Q323" s="258" t="s">
        <v>72</v>
      </c>
      <c r="R323" s="258" t="e">
        <v>#N/A</v>
      </c>
      <c r="S323" s="410">
        <v>15</v>
      </c>
      <c r="T323" s="261">
        <v>6</v>
      </c>
      <c r="U323" s="261">
        <v>6</v>
      </c>
      <c r="V323" s="258" t="s">
        <v>3993</v>
      </c>
      <c r="W323" s="261" t="str">
        <f t="shared" si="54"/>
        <v>현대자동차포터Ⅱ 특장하이냉동탑차 초장축 슈퍼캡 SUP 트윈컴프 A/T24040000</v>
      </c>
      <c r="X323" s="411">
        <f t="shared" si="55"/>
        <v>4097</v>
      </c>
      <c r="Y323" s="261">
        <v>6</v>
      </c>
      <c r="Z323" s="261">
        <v>6</v>
      </c>
      <c r="AA323" s="407" t="s">
        <v>778</v>
      </c>
      <c r="AB323" s="258" t="e">
        <v>#N/A</v>
      </c>
      <c r="AC323" s="258"/>
      <c r="AD323" s="258" t="s">
        <v>2135</v>
      </c>
      <c r="AE323" s="258" t="s">
        <v>2129</v>
      </c>
      <c r="AF323" s="259"/>
      <c r="AG323" s="260"/>
      <c r="AH323" s="259"/>
      <c r="AI323" s="259"/>
      <c r="AJ323" s="260"/>
      <c r="AK323" s="259">
        <v>26</v>
      </c>
      <c r="AL323" s="259"/>
      <c r="AM323" s="259" t="s">
        <v>3222</v>
      </c>
      <c r="AN323" s="449"/>
      <c r="AO323" s="449"/>
      <c r="AP323" s="449"/>
      <c r="AQ323" s="392" t="str">
        <f>IFERROR(VLOOKUP(BG323,#REF!,1,0),"")</f>
        <v/>
      </c>
      <c r="AS323" s="259" t="s">
        <v>3233</v>
      </c>
      <c r="BD323" s="202" t="str">
        <f t="shared" si="47"/>
        <v>포터Ⅱ 특장하이냉동탑차 초장축 슈퍼캡 SUP 트윈컴프 A/T</v>
      </c>
      <c r="BE323" s="261" t="str">
        <f t="shared" si="53"/>
        <v>0026</v>
      </c>
      <c r="BF323" s="407" t="s">
        <v>778</v>
      </c>
      <c r="BG323" s="202" t="str">
        <f t="shared" si="48"/>
        <v>0026-0322</v>
      </c>
    </row>
    <row r="324" spans="1:59">
      <c r="A324" s="405">
        <v>4098</v>
      </c>
      <c r="B324" s="406">
        <v>4098</v>
      </c>
      <c r="C324" s="261" t="str">
        <f t="shared" si="49"/>
        <v>0005-0026</v>
      </c>
      <c r="D324" s="261" t="str">
        <f t="shared" si="50"/>
        <v>0005-0026-0047</v>
      </c>
      <c r="E324" s="407" t="s">
        <v>777</v>
      </c>
      <c r="F324" s="261" t="str">
        <f>TEXT(VLOOKUP(J324,'[3]1'!$B$2:$D$37,2,0),"0000")</f>
        <v>0005</v>
      </c>
      <c r="G324" s="261" t="str">
        <f t="shared" si="51"/>
        <v>0026</v>
      </c>
      <c r="H324" s="408">
        <f t="shared" si="52"/>
        <v>47</v>
      </c>
      <c r="I324" s="407" t="s">
        <v>777</v>
      </c>
      <c r="J324" s="258" t="s">
        <v>294</v>
      </c>
      <c r="K324" s="258" t="s">
        <v>2771</v>
      </c>
      <c r="L324" s="258" t="s">
        <v>2693</v>
      </c>
      <c r="M324" s="409">
        <v>20340000</v>
      </c>
      <c r="N324" s="258">
        <v>2497</v>
      </c>
      <c r="O324" s="258" t="s">
        <v>78</v>
      </c>
      <c r="P324" s="258" t="s">
        <v>86</v>
      </c>
      <c r="Q324" s="258" t="s">
        <v>88</v>
      </c>
      <c r="R324" s="258" t="e">
        <v>#N/A</v>
      </c>
      <c r="S324" s="410">
        <v>15</v>
      </c>
      <c r="T324" s="261">
        <v>6</v>
      </c>
      <c r="U324" s="261">
        <v>6</v>
      </c>
      <c r="V324" s="258" t="s">
        <v>3993</v>
      </c>
      <c r="W324" s="261" t="str">
        <f t="shared" si="54"/>
        <v>현대자동차포터Ⅱ 특장하이냉장탑차 초장축 슈퍼캡 PLUS 싱글컴프20340000</v>
      </c>
      <c r="X324" s="411">
        <f t="shared" si="55"/>
        <v>4098</v>
      </c>
      <c r="Y324" s="261">
        <v>6</v>
      </c>
      <c r="Z324" s="261">
        <v>6</v>
      </c>
      <c r="AA324" s="407" t="s">
        <v>777</v>
      </c>
      <c r="AB324" s="258" t="e">
        <v>#N/A</v>
      </c>
      <c r="AC324" s="258"/>
      <c r="AD324" s="258" t="s">
        <v>2135</v>
      </c>
      <c r="AE324" s="258" t="s">
        <v>2129</v>
      </c>
      <c r="AF324" s="259"/>
      <c r="AG324" s="260"/>
      <c r="AH324" s="259"/>
      <c r="AI324" s="259"/>
      <c r="AJ324" s="260"/>
      <c r="AK324" s="259">
        <v>26</v>
      </c>
      <c r="AL324" s="259"/>
      <c r="AM324" s="259" t="s">
        <v>3222</v>
      </c>
      <c r="AN324" s="449"/>
      <c r="AO324" s="449"/>
      <c r="AP324" s="449"/>
      <c r="AQ324" s="392" t="str">
        <f>IFERROR(VLOOKUP(BG324,#REF!,1,0),"")</f>
        <v/>
      </c>
      <c r="AS324" s="259" t="s">
        <v>3233</v>
      </c>
      <c r="BD324" s="202" t="str">
        <f t="shared" si="47"/>
        <v>포터Ⅱ 특장하이냉장탑차 초장축 슈퍼캡 PLUS 싱글컴프</v>
      </c>
      <c r="BE324" s="261" t="str">
        <f t="shared" si="53"/>
        <v>0026</v>
      </c>
      <c r="BF324" s="407" t="s">
        <v>777</v>
      </c>
      <c r="BG324" s="202" t="str">
        <f t="shared" si="48"/>
        <v>0026-0323</v>
      </c>
    </row>
    <row r="325" spans="1:59">
      <c r="A325" s="405">
        <v>4099</v>
      </c>
      <c r="B325" s="406">
        <v>4099</v>
      </c>
      <c r="C325" s="261" t="str">
        <f t="shared" si="49"/>
        <v>0005-0026</v>
      </c>
      <c r="D325" s="261" t="str">
        <f t="shared" si="50"/>
        <v>0005-0026-0048</v>
      </c>
      <c r="E325" s="407" t="s">
        <v>776</v>
      </c>
      <c r="F325" s="261" t="str">
        <f>TEXT(VLOOKUP(J325,'[3]1'!$B$2:$D$37,2,0),"0000")</f>
        <v>0005</v>
      </c>
      <c r="G325" s="261" t="str">
        <f t="shared" si="51"/>
        <v>0026</v>
      </c>
      <c r="H325" s="408">
        <f t="shared" si="52"/>
        <v>48</v>
      </c>
      <c r="I325" s="407" t="s">
        <v>776</v>
      </c>
      <c r="J325" s="258" t="s">
        <v>294</v>
      </c>
      <c r="K325" s="258" t="s">
        <v>2771</v>
      </c>
      <c r="L325" s="258" t="s">
        <v>2694</v>
      </c>
      <c r="M325" s="409">
        <v>17310000</v>
      </c>
      <c r="N325" s="258">
        <v>2497</v>
      </c>
      <c r="O325" s="258" t="s">
        <v>78</v>
      </c>
      <c r="P325" s="258" t="s">
        <v>86</v>
      </c>
      <c r="Q325" s="258" t="s">
        <v>88</v>
      </c>
      <c r="R325" s="258" t="e">
        <v>#N/A</v>
      </c>
      <c r="S325" s="410">
        <v>15</v>
      </c>
      <c r="T325" s="261">
        <v>6</v>
      </c>
      <c r="U325" s="261">
        <v>6</v>
      </c>
      <c r="V325" s="258" t="s">
        <v>3993</v>
      </c>
      <c r="W325" s="261" t="str">
        <f t="shared" si="54"/>
        <v>현대자동차포터Ⅱ 특장파워게이트 초장축 슈퍼캡 PLUS17310000</v>
      </c>
      <c r="X325" s="411">
        <f t="shared" si="55"/>
        <v>4099</v>
      </c>
      <c r="Y325" s="261">
        <v>6</v>
      </c>
      <c r="Z325" s="261">
        <v>6</v>
      </c>
      <c r="AA325" s="407" t="s">
        <v>776</v>
      </c>
      <c r="AB325" s="258" t="e">
        <v>#N/A</v>
      </c>
      <c r="AC325" s="258"/>
      <c r="AD325" s="258" t="s">
        <v>2135</v>
      </c>
      <c r="AE325" s="258" t="s">
        <v>2129</v>
      </c>
      <c r="AF325" s="259"/>
      <c r="AG325" s="260"/>
      <c r="AH325" s="259"/>
      <c r="AI325" s="259"/>
      <c r="AJ325" s="260"/>
      <c r="AK325" s="259">
        <v>26</v>
      </c>
      <c r="AL325" s="259"/>
      <c r="AM325" s="259" t="s">
        <v>3222</v>
      </c>
      <c r="AN325" s="449"/>
      <c r="AO325" s="449"/>
      <c r="AP325" s="449"/>
      <c r="AQ325" s="392" t="str">
        <f>IFERROR(VLOOKUP(BG325,#REF!,1,0),"")</f>
        <v/>
      </c>
      <c r="AS325" s="259" t="s">
        <v>3233</v>
      </c>
      <c r="BD325" s="202" t="str">
        <f t="shared" ref="BD325:BD388" si="56">K325&amp;L325</f>
        <v>포터Ⅱ 특장파워게이트 초장축 슈퍼캡 PLUS</v>
      </c>
      <c r="BE325" s="261" t="str">
        <f t="shared" si="53"/>
        <v>0026</v>
      </c>
      <c r="BF325" s="407" t="s">
        <v>776</v>
      </c>
      <c r="BG325" s="202" t="str">
        <f t="shared" ref="BG325:BG388" si="57">BE325&amp;"-"&amp;BF325</f>
        <v>0026-0324</v>
      </c>
    </row>
    <row r="326" spans="1:59">
      <c r="A326" s="405">
        <v>4100</v>
      </c>
      <c r="B326" s="406">
        <v>4100</v>
      </c>
      <c r="C326" s="261" t="str">
        <f t="shared" ref="C326:C389" si="58">TEXT(F326,"0000")&amp;"-"&amp;TEXT(G326,"0000")</f>
        <v>0005-0026</v>
      </c>
      <c r="D326" s="261" t="str">
        <f t="shared" ref="D326:D389" si="59">TEXT(F326,"0000")&amp;"-"&amp;TEXT(G326,"0000")&amp;"-"&amp;TEXT(H326,"0000")</f>
        <v>0005-0026-0049</v>
      </c>
      <c r="E326" s="407" t="s">
        <v>775</v>
      </c>
      <c r="F326" s="261" t="str">
        <f>TEXT(VLOOKUP(J326,'[3]1'!$B$2:$D$37,2,0),"0000")</f>
        <v>0005</v>
      </c>
      <c r="G326" s="261" t="str">
        <f t="shared" ref="G326:G389" si="60">IF(K326=K325,TEXT(G325,"0000"),TEXT(G325+1,"0000"))</f>
        <v>0026</v>
      </c>
      <c r="H326" s="408">
        <f t="shared" ref="H326:H389" si="61">IF(F326&amp;G326=F325&amp;G325,H325+1,1)</f>
        <v>49</v>
      </c>
      <c r="I326" s="407" t="s">
        <v>775</v>
      </c>
      <c r="J326" s="258" t="s">
        <v>294</v>
      </c>
      <c r="K326" s="258" t="s">
        <v>2771</v>
      </c>
      <c r="L326" s="258" t="s">
        <v>2695</v>
      </c>
      <c r="M326" s="409">
        <v>21920000</v>
      </c>
      <c r="N326" s="258">
        <v>2497</v>
      </c>
      <c r="O326" s="258" t="s">
        <v>78</v>
      </c>
      <c r="P326" s="258" t="s">
        <v>86</v>
      </c>
      <c r="Q326" s="258" t="s">
        <v>72</v>
      </c>
      <c r="R326" s="258" t="e">
        <v>#N/A</v>
      </c>
      <c r="S326" s="410">
        <v>15</v>
      </c>
      <c r="T326" s="261">
        <v>6</v>
      </c>
      <c r="U326" s="261">
        <v>6</v>
      </c>
      <c r="V326" s="258" t="s">
        <v>3993</v>
      </c>
      <c r="W326" s="261" t="str">
        <f t="shared" si="54"/>
        <v>현대자동차포터Ⅱ 특장냉동탑차 초장축 일반캡 PLUS 싱글컴프 A/T21920000</v>
      </c>
      <c r="X326" s="411">
        <f t="shared" si="55"/>
        <v>4100</v>
      </c>
      <c r="Y326" s="261">
        <v>6</v>
      </c>
      <c r="Z326" s="261">
        <v>6</v>
      </c>
      <c r="AA326" s="407" t="s">
        <v>775</v>
      </c>
      <c r="AB326" s="258" t="e">
        <v>#N/A</v>
      </c>
      <c r="AC326" s="258"/>
      <c r="AD326" s="258" t="s">
        <v>2135</v>
      </c>
      <c r="AE326" s="258" t="s">
        <v>2129</v>
      </c>
      <c r="AF326" s="259"/>
      <c r="AG326" s="260"/>
      <c r="AH326" s="259"/>
      <c r="AI326" s="259"/>
      <c r="AJ326" s="260"/>
      <c r="AK326" s="259">
        <v>26</v>
      </c>
      <c r="AL326" s="259"/>
      <c r="AM326" s="259" t="s">
        <v>3222</v>
      </c>
      <c r="AN326" s="449"/>
      <c r="AO326" s="449"/>
      <c r="AP326" s="449"/>
      <c r="AQ326" s="392" t="str">
        <f>IFERROR(VLOOKUP(BG326,#REF!,1,0),"")</f>
        <v/>
      </c>
      <c r="AS326" s="259" t="s">
        <v>3233</v>
      </c>
      <c r="BD326" s="202" t="str">
        <f t="shared" si="56"/>
        <v>포터Ⅱ 특장냉동탑차 초장축 일반캡 PLUS 싱글컴프 A/T</v>
      </c>
      <c r="BE326" s="261" t="str">
        <f t="shared" ref="BE326:BE389" si="62">IF(K325=K326,TEXT(G325,"0000"),TEXT(G325+1,"0000"))</f>
        <v>0026</v>
      </c>
      <c r="BF326" s="407" t="s">
        <v>775</v>
      </c>
      <c r="BG326" s="202" t="str">
        <f t="shared" si="57"/>
        <v>0026-0325</v>
      </c>
    </row>
    <row r="327" spans="1:59">
      <c r="A327" s="405">
        <v>4101</v>
      </c>
      <c r="B327" s="406">
        <v>4101</v>
      </c>
      <c r="C327" s="261" t="str">
        <f t="shared" si="58"/>
        <v>0005-0026</v>
      </c>
      <c r="D327" s="261" t="str">
        <f t="shared" si="59"/>
        <v>0005-0026-0050</v>
      </c>
      <c r="E327" s="407" t="s">
        <v>774</v>
      </c>
      <c r="F327" s="261" t="str">
        <f>TEXT(VLOOKUP(J327,'[3]1'!$B$2:$D$37,2,0),"0000")</f>
        <v>0005</v>
      </c>
      <c r="G327" s="261" t="str">
        <f t="shared" si="60"/>
        <v>0026</v>
      </c>
      <c r="H327" s="408">
        <f t="shared" si="61"/>
        <v>50</v>
      </c>
      <c r="I327" s="407" t="s">
        <v>774</v>
      </c>
      <c r="J327" s="258" t="s">
        <v>294</v>
      </c>
      <c r="K327" s="258" t="s">
        <v>2771</v>
      </c>
      <c r="L327" s="258" t="s">
        <v>2696</v>
      </c>
      <c r="M327" s="409">
        <v>21880000</v>
      </c>
      <c r="N327" s="258">
        <v>2497</v>
      </c>
      <c r="O327" s="258" t="s">
        <v>78</v>
      </c>
      <c r="P327" s="258" t="s">
        <v>86</v>
      </c>
      <c r="Q327" s="258" t="s">
        <v>88</v>
      </c>
      <c r="R327" s="258" t="e">
        <v>#N/A</v>
      </c>
      <c r="S327" s="410">
        <v>15</v>
      </c>
      <c r="T327" s="261">
        <v>6</v>
      </c>
      <c r="U327" s="261">
        <v>6</v>
      </c>
      <c r="V327" s="258" t="s">
        <v>3993</v>
      </c>
      <c r="W327" s="261" t="str">
        <f t="shared" ref="W327:W390" si="63">J327&amp;K327&amp;L327&amp;M327</f>
        <v>현대자동차포터Ⅱ 특장하이냉동탑차 초장축 일반캡 SUP 싱글컴프21880000</v>
      </c>
      <c r="X327" s="411">
        <f t="shared" ref="X327:X390" si="64">B327</f>
        <v>4101</v>
      </c>
      <c r="Y327" s="261">
        <v>6</v>
      </c>
      <c r="Z327" s="261">
        <v>6</v>
      </c>
      <c r="AA327" s="407" t="s">
        <v>774</v>
      </c>
      <c r="AB327" s="258" t="e">
        <v>#N/A</v>
      </c>
      <c r="AC327" s="258"/>
      <c r="AD327" s="258" t="s">
        <v>2135</v>
      </c>
      <c r="AE327" s="258" t="s">
        <v>2129</v>
      </c>
      <c r="AF327" s="259"/>
      <c r="AG327" s="260"/>
      <c r="AH327" s="259"/>
      <c r="AI327" s="259"/>
      <c r="AJ327" s="260"/>
      <c r="AK327" s="259">
        <v>26</v>
      </c>
      <c r="AL327" s="259"/>
      <c r="AM327" s="259" t="s">
        <v>3222</v>
      </c>
      <c r="AN327" s="449"/>
      <c r="AO327" s="449"/>
      <c r="AP327" s="449"/>
      <c r="AQ327" s="392" t="str">
        <f>IFERROR(VLOOKUP(BG327,#REF!,1,0),"")</f>
        <v/>
      </c>
      <c r="AS327" s="259" t="s">
        <v>3233</v>
      </c>
      <c r="BD327" s="202" t="str">
        <f t="shared" si="56"/>
        <v>포터Ⅱ 특장하이냉동탑차 초장축 일반캡 SUP 싱글컴프</v>
      </c>
      <c r="BE327" s="261" t="str">
        <f t="shared" si="62"/>
        <v>0026</v>
      </c>
      <c r="BF327" s="407" t="s">
        <v>774</v>
      </c>
      <c r="BG327" s="202" t="str">
        <f t="shared" si="57"/>
        <v>0026-0326</v>
      </c>
    </row>
    <row r="328" spans="1:59">
      <c r="A328" s="405">
        <v>4102</v>
      </c>
      <c r="B328" s="406">
        <v>4102</v>
      </c>
      <c r="C328" s="261" t="str">
        <f t="shared" si="58"/>
        <v>0005-0026</v>
      </c>
      <c r="D328" s="261" t="str">
        <f t="shared" si="59"/>
        <v>0005-0026-0051</v>
      </c>
      <c r="E328" s="407" t="s">
        <v>772</v>
      </c>
      <c r="F328" s="261" t="str">
        <f>TEXT(VLOOKUP(J328,'[3]1'!$B$2:$D$37,2,0),"0000")</f>
        <v>0005</v>
      </c>
      <c r="G328" s="261" t="str">
        <f t="shared" si="60"/>
        <v>0026</v>
      </c>
      <c r="H328" s="408">
        <f t="shared" si="61"/>
        <v>51</v>
      </c>
      <c r="I328" s="407" t="s">
        <v>772</v>
      </c>
      <c r="J328" s="258" t="s">
        <v>294</v>
      </c>
      <c r="K328" s="258" t="s">
        <v>2771</v>
      </c>
      <c r="L328" s="258" t="s">
        <v>2697</v>
      </c>
      <c r="M328" s="409">
        <v>21030000</v>
      </c>
      <c r="N328" s="258">
        <v>2497</v>
      </c>
      <c r="O328" s="258" t="s">
        <v>78</v>
      </c>
      <c r="P328" s="258" t="s">
        <v>86</v>
      </c>
      <c r="Q328" s="258" t="s">
        <v>88</v>
      </c>
      <c r="R328" s="258" t="e">
        <v>#N/A</v>
      </c>
      <c r="S328" s="410">
        <v>15</v>
      </c>
      <c r="T328" s="261">
        <v>6</v>
      </c>
      <c r="U328" s="261">
        <v>6</v>
      </c>
      <c r="V328" s="258" t="s">
        <v>3993</v>
      </c>
      <c r="W328" s="261" t="str">
        <f t="shared" si="63"/>
        <v>현대자동차포터Ⅱ 특장냉장탑차 초장축 슈퍼캡 스타일21030000</v>
      </c>
      <c r="X328" s="411">
        <f t="shared" si="64"/>
        <v>4102</v>
      </c>
      <c r="Y328" s="261">
        <v>6</v>
      </c>
      <c r="Z328" s="261">
        <v>6</v>
      </c>
      <c r="AA328" s="407" t="s">
        <v>772</v>
      </c>
      <c r="AB328" s="258" t="e">
        <v>#N/A</v>
      </c>
      <c r="AC328" s="258"/>
      <c r="AD328" s="258" t="s">
        <v>2135</v>
      </c>
      <c r="AE328" s="258" t="s">
        <v>2129</v>
      </c>
      <c r="AF328" s="259"/>
      <c r="AG328" s="260"/>
      <c r="AH328" s="259"/>
      <c r="AI328" s="259"/>
      <c r="AJ328" s="260"/>
      <c r="AK328" s="259">
        <v>26</v>
      </c>
      <c r="AL328" s="259"/>
      <c r="AM328" s="259" t="s">
        <v>3222</v>
      </c>
      <c r="AN328" s="449"/>
      <c r="AO328" s="449"/>
      <c r="AP328" s="449"/>
      <c r="AQ328" s="392" t="str">
        <f>IFERROR(VLOOKUP(BG328,#REF!,1,0),"")</f>
        <v/>
      </c>
      <c r="AS328" s="259" t="s">
        <v>3233</v>
      </c>
      <c r="BD328" s="202" t="str">
        <f t="shared" si="56"/>
        <v>포터Ⅱ 특장냉장탑차 초장축 슈퍼캡 스타일</v>
      </c>
      <c r="BE328" s="261" t="str">
        <f t="shared" si="62"/>
        <v>0026</v>
      </c>
      <c r="BF328" s="407" t="s">
        <v>772</v>
      </c>
      <c r="BG328" s="202" t="str">
        <f t="shared" si="57"/>
        <v>0026-0327</v>
      </c>
    </row>
    <row r="329" spans="1:59">
      <c r="A329" s="405">
        <v>4103</v>
      </c>
      <c r="B329" s="406">
        <v>4103</v>
      </c>
      <c r="C329" s="261" t="str">
        <f t="shared" si="58"/>
        <v>0005-0026</v>
      </c>
      <c r="D329" s="261" t="str">
        <f t="shared" si="59"/>
        <v>0005-0026-0052</v>
      </c>
      <c r="E329" s="407" t="s">
        <v>771</v>
      </c>
      <c r="F329" s="261" t="str">
        <f>TEXT(VLOOKUP(J329,'[3]1'!$B$2:$D$37,2,0),"0000")</f>
        <v>0005</v>
      </c>
      <c r="G329" s="261" t="str">
        <f t="shared" si="60"/>
        <v>0026</v>
      </c>
      <c r="H329" s="408">
        <f t="shared" si="61"/>
        <v>52</v>
      </c>
      <c r="I329" s="407" t="s">
        <v>771</v>
      </c>
      <c r="J329" s="258" t="s">
        <v>294</v>
      </c>
      <c r="K329" s="258" t="s">
        <v>2771</v>
      </c>
      <c r="L329" s="258" t="s">
        <v>2698</v>
      </c>
      <c r="M329" s="409">
        <v>21990000</v>
      </c>
      <c r="N329" s="258">
        <v>2497</v>
      </c>
      <c r="O329" s="258" t="s">
        <v>78</v>
      </c>
      <c r="P329" s="258" t="s">
        <v>86</v>
      </c>
      <c r="Q329" s="258" t="s">
        <v>72</v>
      </c>
      <c r="R329" s="258" t="e">
        <v>#N/A</v>
      </c>
      <c r="S329" s="410">
        <v>15</v>
      </c>
      <c r="T329" s="261">
        <v>6</v>
      </c>
      <c r="U329" s="261">
        <v>6</v>
      </c>
      <c r="V329" s="258" t="s">
        <v>3993</v>
      </c>
      <c r="W329" s="261" t="str">
        <f t="shared" si="63"/>
        <v>현대자동차포터Ⅱ 특장냉동탑차 초장축 슈퍼캡 PLUS 싱글컴프 A/T21990000</v>
      </c>
      <c r="X329" s="411">
        <f t="shared" si="64"/>
        <v>4103</v>
      </c>
      <c r="Y329" s="261">
        <v>6</v>
      </c>
      <c r="Z329" s="261">
        <v>6</v>
      </c>
      <c r="AA329" s="407" t="s">
        <v>771</v>
      </c>
      <c r="AB329" s="258" t="e">
        <v>#N/A</v>
      </c>
      <c r="AC329" s="258"/>
      <c r="AD329" s="258" t="s">
        <v>2135</v>
      </c>
      <c r="AE329" s="258" t="s">
        <v>2129</v>
      </c>
      <c r="AF329" s="259"/>
      <c r="AG329" s="260"/>
      <c r="AH329" s="259"/>
      <c r="AI329" s="259"/>
      <c r="AJ329" s="260"/>
      <c r="AK329" s="259">
        <v>26</v>
      </c>
      <c r="AL329" s="259"/>
      <c r="AM329" s="259" t="s">
        <v>3222</v>
      </c>
      <c r="AN329" s="449"/>
      <c r="AO329" s="449"/>
      <c r="AP329" s="449"/>
      <c r="AQ329" s="392" t="str">
        <f>IFERROR(VLOOKUP(BG329,#REF!,1,0),"")</f>
        <v/>
      </c>
      <c r="AS329" s="259" t="s">
        <v>3233</v>
      </c>
      <c r="BD329" s="202" t="str">
        <f t="shared" si="56"/>
        <v>포터Ⅱ 특장냉동탑차 초장축 슈퍼캡 PLUS 싱글컴프 A/T</v>
      </c>
      <c r="BE329" s="261" t="str">
        <f t="shared" si="62"/>
        <v>0026</v>
      </c>
      <c r="BF329" s="407" t="s">
        <v>771</v>
      </c>
      <c r="BG329" s="202" t="str">
        <f t="shared" si="57"/>
        <v>0026-0328</v>
      </c>
    </row>
    <row r="330" spans="1:59">
      <c r="A330" s="405">
        <v>4104</v>
      </c>
      <c r="B330" s="406">
        <v>4104</v>
      </c>
      <c r="C330" s="261" t="str">
        <f t="shared" si="58"/>
        <v>0005-0026</v>
      </c>
      <c r="D330" s="261" t="str">
        <f t="shared" si="59"/>
        <v>0005-0026-0053</v>
      </c>
      <c r="E330" s="407" t="s">
        <v>770</v>
      </c>
      <c r="F330" s="261" t="str">
        <f>TEXT(VLOOKUP(J330,'[3]1'!$B$2:$D$37,2,0),"0000")</f>
        <v>0005</v>
      </c>
      <c r="G330" s="261" t="str">
        <f t="shared" si="60"/>
        <v>0026</v>
      </c>
      <c r="H330" s="408">
        <f t="shared" si="61"/>
        <v>53</v>
      </c>
      <c r="I330" s="407" t="s">
        <v>770</v>
      </c>
      <c r="J330" s="258" t="s">
        <v>294</v>
      </c>
      <c r="K330" s="258" t="s">
        <v>2771</v>
      </c>
      <c r="L330" s="258" t="s">
        <v>2699</v>
      </c>
      <c r="M330" s="409">
        <v>21670000</v>
      </c>
      <c r="N330" s="258">
        <v>2497</v>
      </c>
      <c r="O330" s="258" t="s">
        <v>78</v>
      </c>
      <c r="P330" s="258" t="s">
        <v>86</v>
      </c>
      <c r="Q330" s="258" t="s">
        <v>88</v>
      </c>
      <c r="R330" s="258" t="e">
        <v>#N/A</v>
      </c>
      <c r="S330" s="410">
        <v>15</v>
      </c>
      <c r="T330" s="261">
        <v>6</v>
      </c>
      <c r="U330" s="261">
        <v>6</v>
      </c>
      <c r="V330" s="258" t="s">
        <v>3993</v>
      </c>
      <c r="W330" s="261" t="str">
        <f t="shared" si="63"/>
        <v>현대자동차포터Ⅱ 특장냉동탑차 초장축 슈퍼캡 SUP 싱글컴프21670000</v>
      </c>
      <c r="X330" s="411">
        <f t="shared" si="64"/>
        <v>4104</v>
      </c>
      <c r="Y330" s="261">
        <v>6</v>
      </c>
      <c r="Z330" s="261">
        <v>6</v>
      </c>
      <c r="AA330" s="407" t="s">
        <v>770</v>
      </c>
      <c r="AB330" s="258" t="e">
        <v>#N/A</v>
      </c>
      <c r="AC330" s="258"/>
      <c r="AD330" s="258" t="s">
        <v>2135</v>
      </c>
      <c r="AE330" s="258" t="s">
        <v>2129</v>
      </c>
      <c r="AF330" s="259"/>
      <c r="AG330" s="260"/>
      <c r="AH330" s="259"/>
      <c r="AI330" s="259"/>
      <c r="AJ330" s="260"/>
      <c r="AK330" s="259">
        <v>26</v>
      </c>
      <c r="AL330" s="259"/>
      <c r="AM330" s="259" t="s">
        <v>3222</v>
      </c>
      <c r="AN330" s="449"/>
      <c r="AO330" s="449"/>
      <c r="AP330" s="449"/>
      <c r="AQ330" s="392" t="str">
        <f>IFERROR(VLOOKUP(BG330,#REF!,1,0),"")</f>
        <v/>
      </c>
      <c r="AS330" s="259" t="s">
        <v>3233</v>
      </c>
      <c r="BD330" s="202" t="str">
        <f t="shared" si="56"/>
        <v>포터Ⅱ 특장냉동탑차 초장축 슈퍼캡 SUP 싱글컴프</v>
      </c>
      <c r="BE330" s="261" t="str">
        <f t="shared" si="62"/>
        <v>0026</v>
      </c>
      <c r="BF330" s="407" t="s">
        <v>770</v>
      </c>
      <c r="BG330" s="202" t="str">
        <f t="shared" si="57"/>
        <v>0026-0329</v>
      </c>
    </row>
    <row r="331" spans="1:59">
      <c r="A331" s="405">
        <v>4105</v>
      </c>
      <c r="B331" s="406">
        <v>4105</v>
      </c>
      <c r="C331" s="261" t="str">
        <f t="shared" si="58"/>
        <v>0005-0026</v>
      </c>
      <c r="D331" s="261" t="str">
        <f t="shared" si="59"/>
        <v>0005-0026-0054</v>
      </c>
      <c r="E331" s="407" t="s">
        <v>769</v>
      </c>
      <c r="F331" s="261" t="str">
        <f>TEXT(VLOOKUP(J331,'[3]1'!$B$2:$D$37,2,0),"0000")</f>
        <v>0005</v>
      </c>
      <c r="G331" s="261" t="str">
        <f t="shared" si="60"/>
        <v>0026</v>
      </c>
      <c r="H331" s="408">
        <f t="shared" si="61"/>
        <v>54</v>
      </c>
      <c r="I331" s="407" t="s">
        <v>769</v>
      </c>
      <c r="J331" s="258" t="s">
        <v>294</v>
      </c>
      <c r="K331" s="258" t="s">
        <v>2771</v>
      </c>
      <c r="L331" s="258" t="s">
        <v>2700</v>
      </c>
      <c r="M331" s="409">
        <v>21990000</v>
      </c>
      <c r="N331" s="258">
        <v>2497</v>
      </c>
      <c r="O331" s="258" t="s">
        <v>78</v>
      </c>
      <c r="P331" s="258" t="s">
        <v>86</v>
      </c>
      <c r="Q331" s="258" t="s">
        <v>72</v>
      </c>
      <c r="R331" s="258">
        <v>2</v>
      </c>
      <c r="S331" s="410">
        <v>15</v>
      </c>
      <c r="T331" s="261">
        <v>6</v>
      </c>
      <c r="U331" s="261">
        <v>6</v>
      </c>
      <c r="V331" s="258" t="s">
        <v>71</v>
      </c>
      <c r="W331" s="261" t="str">
        <f t="shared" si="63"/>
        <v>현대자동차포터Ⅱ 특장냉장탑차 초장축 슈퍼캡 SUP 싱글컴프 A/T21990000</v>
      </c>
      <c r="X331" s="411">
        <f t="shared" si="64"/>
        <v>4105</v>
      </c>
      <c r="Y331" s="261">
        <v>6</v>
      </c>
      <c r="Z331" s="261">
        <v>6</v>
      </c>
      <c r="AA331" s="407" t="s">
        <v>769</v>
      </c>
      <c r="AB331" s="258" t="s">
        <v>73</v>
      </c>
      <c r="AC331" s="258"/>
      <c r="AD331" s="258" t="s">
        <v>2135</v>
      </c>
      <c r="AE331" s="258" t="s">
        <v>2129</v>
      </c>
      <c r="AF331" s="259"/>
      <c r="AG331" s="260"/>
      <c r="AH331" s="259"/>
      <c r="AI331" s="259"/>
      <c r="AJ331" s="260"/>
      <c r="AK331" s="259">
        <v>26</v>
      </c>
      <c r="AL331" s="259"/>
      <c r="AM331" s="259" t="s">
        <v>3222</v>
      </c>
      <c r="AN331" s="449"/>
      <c r="AO331" s="449"/>
      <c r="AP331" s="449"/>
      <c r="AQ331" s="392" t="str">
        <f>IFERROR(VLOOKUP(BG331,#REF!,1,0),"")</f>
        <v/>
      </c>
      <c r="AS331" s="259" t="s">
        <v>3233</v>
      </c>
      <c r="BD331" s="202" t="str">
        <f t="shared" si="56"/>
        <v>포터Ⅱ 특장냉장탑차 초장축 슈퍼캡 SUP 싱글컴프 A/T</v>
      </c>
      <c r="BE331" s="261" t="str">
        <f t="shared" si="62"/>
        <v>0026</v>
      </c>
      <c r="BF331" s="407" t="s">
        <v>769</v>
      </c>
      <c r="BG331" s="202" t="str">
        <f t="shared" si="57"/>
        <v>0026-0330</v>
      </c>
    </row>
    <row r="332" spans="1:59">
      <c r="A332" s="405">
        <v>4106</v>
      </c>
      <c r="B332" s="406">
        <v>4106</v>
      </c>
      <c r="C332" s="261" t="str">
        <f t="shared" si="58"/>
        <v>0005-0026</v>
      </c>
      <c r="D332" s="261" t="str">
        <f t="shared" si="59"/>
        <v>0005-0026-0055</v>
      </c>
      <c r="E332" s="407" t="s">
        <v>768</v>
      </c>
      <c r="F332" s="261" t="str">
        <f>TEXT(VLOOKUP(J332,'[3]1'!$B$2:$D$37,2,0),"0000")</f>
        <v>0005</v>
      </c>
      <c r="G332" s="261" t="str">
        <f t="shared" si="60"/>
        <v>0026</v>
      </c>
      <c r="H332" s="408">
        <f t="shared" si="61"/>
        <v>55</v>
      </c>
      <c r="I332" s="407" t="s">
        <v>768</v>
      </c>
      <c r="J332" s="258" t="s">
        <v>294</v>
      </c>
      <c r="K332" s="258" t="s">
        <v>2771</v>
      </c>
      <c r="L332" s="258" t="s">
        <v>2701</v>
      </c>
      <c r="M332" s="409">
        <v>21460000</v>
      </c>
      <c r="N332" s="258">
        <v>2497</v>
      </c>
      <c r="O332" s="258" t="s">
        <v>78</v>
      </c>
      <c r="P332" s="258" t="s">
        <v>86</v>
      </c>
      <c r="Q332" s="258" t="s">
        <v>72</v>
      </c>
      <c r="R332" s="258" t="e">
        <v>#N/A</v>
      </c>
      <c r="S332" s="410">
        <v>15</v>
      </c>
      <c r="T332" s="261">
        <v>6</v>
      </c>
      <c r="U332" s="261">
        <v>6</v>
      </c>
      <c r="V332" s="258" t="s">
        <v>3993</v>
      </c>
      <c r="W332" s="261" t="str">
        <f t="shared" si="63"/>
        <v>현대자동차포터Ⅱ 특장하이냉장탑차 초장축 슈퍼캡 PLUS 싱글컴프 A/T21460000</v>
      </c>
      <c r="X332" s="411">
        <f t="shared" si="64"/>
        <v>4106</v>
      </c>
      <c r="Y332" s="261">
        <v>6</v>
      </c>
      <c r="Z332" s="261">
        <v>6</v>
      </c>
      <c r="AA332" s="407" t="s">
        <v>768</v>
      </c>
      <c r="AB332" s="258" t="e">
        <v>#N/A</v>
      </c>
      <c r="AC332" s="258"/>
      <c r="AD332" s="258" t="s">
        <v>2135</v>
      </c>
      <c r="AE332" s="258" t="s">
        <v>2129</v>
      </c>
      <c r="AF332" s="259"/>
      <c r="AG332" s="260"/>
      <c r="AH332" s="259"/>
      <c r="AI332" s="259"/>
      <c r="AJ332" s="260"/>
      <c r="AK332" s="259">
        <v>26</v>
      </c>
      <c r="AL332" s="259"/>
      <c r="AM332" s="259" t="s">
        <v>3222</v>
      </c>
      <c r="AN332" s="449"/>
      <c r="AO332" s="449"/>
      <c r="AP332" s="449"/>
      <c r="AQ332" s="392" t="str">
        <f>IFERROR(VLOOKUP(BG332,#REF!,1,0),"")</f>
        <v/>
      </c>
      <c r="AS332" s="259" t="s">
        <v>3233</v>
      </c>
      <c r="BD332" s="202" t="str">
        <f t="shared" si="56"/>
        <v>포터Ⅱ 특장하이냉장탑차 초장축 슈퍼캡 PLUS 싱글컴프 A/T</v>
      </c>
      <c r="BE332" s="261" t="str">
        <f t="shared" si="62"/>
        <v>0026</v>
      </c>
      <c r="BF332" s="407" t="s">
        <v>768</v>
      </c>
      <c r="BG332" s="202" t="str">
        <f t="shared" si="57"/>
        <v>0026-0331</v>
      </c>
    </row>
    <row r="333" spans="1:59">
      <c r="A333" s="405">
        <v>4107</v>
      </c>
      <c r="B333" s="406">
        <v>4107</v>
      </c>
      <c r="C333" s="261" t="str">
        <f t="shared" si="58"/>
        <v>0005-0026</v>
      </c>
      <c r="D333" s="261" t="str">
        <f t="shared" si="59"/>
        <v>0005-0026-0056</v>
      </c>
      <c r="E333" s="407" t="s">
        <v>767</v>
      </c>
      <c r="F333" s="261" t="str">
        <f>TEXT(VLOOKUP(J333,'[3]1'!$B$2:$D$37,2,0),"0000")</f>
        <v>0005</v>
      </c>
      <c r="G333" s="261" t="str">
        <f t="shared" si="60"/>
        <v>0026</v>
      </c>
      <c r="H333" s="408">
        <f t="shared" si="61"/>
        <v>56</v>
      </c>
      <c r="I333" s="407" t="s">
        <v>767</v>
      </c>
      <c r="J333" s="258" t="s">
        <v>294</v>
      </c>
      <c r="K333" s="258" t="s">
        <v>2771</v>
      </c>
      <c r="L333" s="258" t="s">
        <v>2702</v>
      </c>
      <c r="M333" s="409">
        <v>19410000</v>
      </c>
      <c r="N333" s="258">
        <v>2497</v>
      </c>
      <c r="O333" s="258" t="s">
        <v>78</v>
      </c>
      <c r="P333" s="258" t="s">
        <v>86</v>
      </c>
      <c r="Q333" s="258" t="s">
        <v>72</v>
      </c>
      <c r="R333" s="258" t="e">
        <v>#N/A</v>
      </c>
      <c r="S333" s="410">
        <v>15</v>
      </c>
      <c r="T333" s="261">
        <v>6</v>
      </c>
      <c r="U333" s="261">
        <v>6</v>
      </c>
      <c r="V333" s="258" t="s">
        <v>3993</v>
      </c>
      <c r="W333" s="261" t="str">
        <f t="shared" si="63"/>
        <v>현대자동차포터Ⅱ 특장내장탑차 초장축 슈퍼캡 SUP A/T19410000</v>
      </c>
      <c r="X333" s="411">
        <f t="shared" si="64"/>
        <v>4107</v>
      </c>
      <c r="Y333" s="261">
        <v>6</v>
      </c>
      <c r="Z333" s="261">
        <v>6</v>
      </c>
      <c r="AA333" s="407" t="s">
        <v>767</v>
      </c>
      <c r="AB333" s="258" t="e">
        <v>#N/A</v>
      </c>
      <c r="AC333" s="258"/>
      <c r="AD333" s="258" t="s">
        <v>2135</v>
      </c>
      <c r="AE333" s="258" t="s">
        <v>2129</v>
      </c>
      <c r="AF333" s="259"/>
      <c r="AG333" s="260"/>
      <c r="AH333" s="259"/>
      <c r="AI333" s="259"/>
      <c r="AJ333" s="260"/>
      <c r="AK333" s="259">
        <v>26</v>
      </c>
      <c r="AL333" s="259"/>
      <c r="AM333" s="259" t="s">
        <v>3222</v>
      </c>
      <c r="AN333" s="449"/>
      <c r="AO333" s="449"/>
      <c r="AP333" s="449"/>
      <c r="AQ333" s="392" t="str">
        <f>IFERROR(VLOOKUP(BG333,#REF!,1,0),"")</f>
        <v/>
      </c>
      <c r="AS333" s="259" t="s">
        <v>3233</v>
      </c>
      <c r="BD333" s="202" t="str">
        <f t="shared" si="56"/>
        <v>포터Ⅱ 특장내장탑차 초장축 슈퍼캡 SUP A/T</v>
      </c>
      <c r="BE333" s="261" t="str">
        <f t="shared" si="62"/>
        <v>0026</v>
      </c>
      <c r="BF333" s="407" t="s">
        <v>767</v>
      </c>
      <c r="BG333" s="202" t="str">
        <f t="shared" si="57"/>
        <v>0026-0332</v>
      </c>
    </row>
    <row r="334" spans="1:59">
      <c r="A334" s="405">
        <v>4108</v>
      </c>
      <c r="B334" s="406">
        <v>4108</v>
      </c>
      <c r="C334" s="261" t="str">
        <f t="shared" si="58"/>
        <v>0005-0026</v>
      </c>
      <c r="D334" s="261" t="str">
        <f t="shared" si="59"/>
        <v>0005-0026-0057</v>
      </c>
      <c r="E334" s="407" t="s">
        <v>766</v>
      </c>
      <c r="F334" s="261" t="str">
        <f>TEXT(VLOOKUP(J334,'[3]1'!$B$2:$D$37,2,0),"0000")</f>
        <v>0005</v>
      </c>
      <c r="G334" s="261" t="str">
        <f t="shared" si="60"/>
        <v>0026</v>
      </c>
      <c r="H334" s="408">
        <f t="shared" si="61"/>
        <v>57</v>
      </c>
      <c r="I334" s="407" t="s">
        <v>766</v>
      </c>
      <c r="J334" s="258" t="s">
        <v>294</v>
      </c>
      <c r="K334" s="258" t="s">
        <v>2771</v>
      </c>
      <c r="L334" s="258" t="s">
        <v>2703</v>
      </c>
      <c r="M334" s="409">
        <v>20800000</v>
      </c>
      <c r="N334" s="258">
        <v>2497</v>
      </c>
      <c r="O334" s="258" t="s">
        <v>78</v>
      </c>
      <c r="P334" s="258" t="s">
        <v>86</v>
      </c>
      <c r="Q334" s="258" t="s">
        <v>88</v>
      </c>
      <c r="R334" s="258" t="e">
        <v>#N/A</v>
      </c>
      <c r="S334" s="410">
        <v>15</v>
      </c>
      <c r="T334" s="261">
        <v>6</v>
      </c>
      <c r="U334" s="261">
        <v>6</v>
      </c>
      <c r="V334" s="258" t="s">
        <v>3993</v>
      </c>
      <c r="W334" s="261" t="str">
        <f t="shared" si="63"/>
        <v>현대자동차포터Ⅱ 특장냉동탑차 초장축 일반캡 PLUS 싱글컴프20800000</v>
      </c>
      <c r="X334" s="411">
        <f t="shared" si="64"/>
        <v>4108</v>
      </c>
      <c r="Y334" s="261">
        <v>6</v>
      </c>
      <c r="Z334" s="261">
        <v>6</v>
      </c>
      <c r="AA334" s="407" t="s">
        <v>766</v>
      </c>
      <c r="AB334" s="258" t="e">
        <v>#N/A</v>
      </c>
      <c r="AC334" s="258"/>
      <c r="AD334" s="258" t="s">
        <v>2135</v>
      </c>
      <c r="AE334" s="258" t="s">
        <v>2129</v>
      </c>
      <c r="AF334" s="259"/>
      <c r="AG334" s="260"/>
      <c r="AH334" s="259"/>
      <c r="AI334" s="259"/>
      <c r="AJ334" s="260"/>
      <c r="AK334" s="259">
        <v>26</v>
      </c>
      <c r="AL334" s="259"/>
      <c r="AM334" s="259" t="s">
        <v>3222</v>
      </c>
      <c r="AN334" s="449"/>
      <c r="AO334" s="449"/>
      <c r="AP334" s="449"/>
      <c r="AQ334" s="392" t="str">
        <f>IFERROR(VLOOKUP(BG334,#REF!,1,0),"")</f>
        <v/>
      </c>
      <c r="AS334" s="259" t="s">
        <v>3233</v>
      </c>
      <c r="BD334" s="202" t="str">
        <f t="shared" si="56"/>
        <v>포터Ⅱ 특장냉동탑차 초장축 일반캡 PLUS 싱글컴프</v>
      </c>
      <c r="BE334" s="261" t="str">
        <f t="shared" si="62"/>
        <v>0026</v>
      </c>
      <c r="BF334" s="407" t="s">
        <v>766</v>
      </c>
      <c r="BG334" s="202" t="str">
        <f t="shared" si="57"/>
        <v>0026-0333</v>
      </c>
    </row>
    <row r="335" spans="1:59">
      <c r="A335" s="405">
        <v>4109</v>
      </c>
      <c r="B335" s="406">
        <v>4109</v>
      </c>
      <c r="C335" s="261" t="str">
        <f t="shared" si="58"/>
        <v>0005-0026</v>
      </c>
      <c r="D335" s="261" t="str">
        <f t="shared" si="59"/>
        <v>0005-0026-0058</v>
      </c>
      <c r="E335" s="407" t="s">
        <v>765</v>
      </c>
      <c r="F335" s="261" t="str">
        <f>TEXT(VLOOKUP(J335,'[3]1'!$B$2:$D$37,2,0),"0000")</f>
        <v>0005</v>
      </c>
      <c r="G335" s="261" t="str">
        <f t="shared" si="60"/>
        <v>0026</v>
      </c>
      <c r="H335" s="408">
        <f t="shared" si="61"/>
        <v>58</v>
      </c>
      <c r="I335" s="407" t="s">
        <v>765</v>
      </c>
      <c r="J335" s="258" t="s">
        <v>294</v>
      </c>
      <c r="K335" s="258" t="s">
        <v>2771</v>
      </c>
      <c r="L335" s="258" t="s">
        <v>2704</v>
      </c>
      <c r="M335" s="409">
        <v>22340000</v>
      </c>
      <c r="N335" s="258">
        <v>2497</v>
      </c>
      <c r="O335" s="258" t="s">
        <v>78</v>
      </c>
      <c r="P335" s="258" t="s">
        <v>86</v>
      </c>
      <c r="Q335" s="258" t="s">
        <v>88</v>
      </c>
      <c r="R335" s="258">
        <v>4</v>
      </c>
      <c r="S335" s="410">
        <v>15</v>
      </c>
      <c r="T335" s="261">
        <v>6</v>
      </c>
      <c r="U335" s="261">
        <v>6</v>
      </c>
      <c r="V335" s="258" t="s">
        <v>71</v>
      </c>
      <c r="W335" s="261" t="str">
        <f t="shared" si="63"/>
        <v>현대자동차포터Ⅱ 특장시티밴 초장축 슈퍼캡 SUP22340000</v>
      </c>
      <c r="X335" s="411">
        <f t="shared" si="64"/>
        <v>4109</v>
      </c>
      <c r="Y335" s="261">
        <v>6</v>
      </c>
      <c r="Z335" s="261">
        <v>6</v>
      </c>
      <c r="AA335" s="407" t="s">
        <v>765</v>
      </c>
      <c r="AB335" s="258" t="s">
        <v>73</v>
      </c>
      <c r="AC335" s="258"/>
      <c r="AD335" s="258" t="s">
        <v>2135</v>
      </c>
      <c r="AE335" s="258" t="s">
        <v>2129</v>
      </c>
      <c r="AF335" s="259"/>
      <c r="AG335" s="260"/>
      <c r="AH335" s="259"/>
      <c r="AI335" s="259"/>
      <c r="AJ335" s="260"/>
      <c r="AK335" s="259">
        <v>26</v>
      </c>
      <c r="AL335" s="259"/>
      <c r="AM335" s="259" t="s">
        <v>3222</v>
      </c>
      <c r="AN335" s="449"/>
      <c r="AO335" s="449"/>
      <c r="AP335" s="449"/>
      <c r="AQ335" s="392" t="str">
        <f>IFERROR(VLOOKUP(BG335,#REF!,1,0),"")</f>
        <v/>
      </c>
      <c r="AS335" s="259" t="s">
        <v>3233</v>
      </c>
      <c r="BD335" s="202" t="str">
        <f t="shared" si="56"/>
        <v>포터Ⅱ 특장시티밴 초장축 슈퍼캡 SUP</v>
      </c>
      <c r="BE335" s="261" t="str">
        <f t="shared" si="62"/>
        <v>0026</v>
      </c>
      <c r="BF335" s="407" t="s">
        <v>765</v>
      </c>
      <c r="BG335" s="202" t="str">
        <f t="shared" si="57"/>
        <v>0026-0334</v>
      </c>
    </row>
    <row r="336" spans="1:59">
      <c r="A336" s="405">
        <v>4110</v>
      </c>
      <c r="B336" s="406">
        <v>4110</v>
      </c>
      <c r="C336" s="261" t="str">
        <f t="shared" si="58"/>
        <v>0005-0026</v>
      </c>
      <c r="D336" s="261" t="str">
        <f t="shared" si="59"/>
        <v>0005-0026-0059</v>
      </c>
      <c r="E336" s="407" t="s">
        <v>764</v>
      </c>
      <c r="F336" s="261" t="str">
        <f>TEXT(VLOOKUP(J336,'[3]1'!$B$2:$D$37,2,0),"0000")</f>
        <v>0005</v>
      </c>
      <c r="G336" s="261" t="str">
        <f t="shared" si="60"/>
        <v>0026</v>
      </c>
      <c r="H336" s="408">
        <f t="shared" si="61"/>
        <v>59</v>
      </c>
      <c r="I336" s="407" t="s">
        <v>764</v>
      </c>
      <c r="J336" s="258" t="s">
        <v>294</v>
      </c>
      <c r="K336" s="258" t="s">
        <v>2771</v>
      </c>
      <c r="L336" s="258" t="s">
        <v>2705</v>
      </c>
      <c r="M336" s="409">
        <v>24540000</v>
      </c>
      <c r="N336" s="258">
        <v>2497</v>
      </c>
      <c r="O336" s="258" t="s">
        <v>78</v>
      </c>
      <c r="P336" s="258" t="s">
        <v>86</v>
      </c>
      <c r="Q336" s="258" t="s">
        <v>72</v>
      </c>
      <c r="R336" s="258">
        <v>4</v>
      </c>
      <c r="S336" s="410">
        <v>15</v>
      </c>
      <c r="T336" s="261">
        <v>6</v>
      </c>
      <c r="U336" s="261">
        <v>6</v>
      </c>
      <c r="V336" s="258" t="s">
        <v>71</v>
      </c>
      <c r="W336" s="261" t="str">
        <f t="shared" si="63"/>
        <v>현대자동차포터Ⅱ 특장초저온냉동탑차 초장축 슈퍼캡 SUP 트윈컴프 A/T24540000</v>
      </c>
      <c r="X336" s="411">
        <f t="shared" si="64"/>
        <v>4110</v>
      </c>
      <c r="Y336" s="261">
        <v>6</v>
      </c>
      <c r="Z336" s="261">
        <v>6</v>
      </c>
      <c r="AA336" s="407" t="s">
        <v>764</v>
      </c>
      <c r="AB336" s="258" t="s">
        <v>73</v>
      </c>
      <c r="AC336" s="258"/>
      <c r="AD336" s="258" t="s">
        <v>2135</v>
      </c>
      <c r="AE336" s="258" t="s">
        <v>2129</v>
      </c>
      <c r="AF336" s="259"/>
      <c r="AG336" s="260"/>
      <c r="AH336" s="259"/>
      <c r="AI336" s="259"/>
      <c r="AJ336" s="260"/>
      <c r="AK336" s="259">
        <v>26</v>
      </c>
      <c r="AL336" s="259"/>
      <c r="AM336" s="259" t="s">
        <v>3222</v>
      </c>
      <c r="AN336" s="449"/>
      <c r="AO336" s="449"/>
      <c r="AP336" s="449"/>
      <c r="AQ336" s="392" t="str">
        <f>IFERROR(VLOOKUP(BG336,#REF!,1,0),"")</f>
        <v/>
      </c>
      <c r="AS336" s="259" t="s">
        <v>3233</v>
      </c>
      <c r="BD336" s="202" t="str">
        <f t="shared" si="56"/>
        <v>포터Ⅱ 특장초저온냉동탑차 초장축 슈퍼캡 SUP 트윈컴프 A/T</v>
      </c>
      <c r="BE336" s="261" t="str">
        <f t="shared" si="62"/>
        <v>0026</v>
      </c>
      <c r="BF336" s="407" t="s">
        <v>764</v>
      </c>
      <c r="BG336" s="202" t="str">
        <f t="shared" si="57"/>
        <v>0026-0335</v>
      </c>
    </row>
    <row r="337" spans="1:59">
      <c r="A337" s="405">
        <v>4111</v>
      </c>
      <c r="B337" s="406">
        <v>4111</v>
      </c>
      <c r="C337" s="261" t="str">
        <f t="shared" si="58"/>
        <v>0005-0026</v>
      </c>
      <c r="D337" s="261" t="str">
        <f t="shared" si="59"/>
        <v>0005-0026-0060</v>
      </c>
      <c r="E337" s="407" t="s">
        <v>763</v>
      </c>
      <c r="F337" s="261" t="str">
        <f>TEXT(VLOOKUP(J337,'[3]1'!$B$2:$D$37,2,0),"0000")</f>
        <v>0005</v>
      </c>
      <c r="G337" s="261" t="str">
        <f t="shared" si="60"/>
        <v>0026</v>
      </c>
      <c r="H337" s="408">
        <f t="shared" si="61"/>
        <v>60</v>
      </c>
      <c r="I337" s="407" t="s">
        <v>763</v>
      </c>
      <c r="J337" s="258" t="s">
        <v>294</v>
      </c>
      <c r="K337" s="258" t="s">
        <v>2771</v>
      </c>
      <c r="L337" s="258" t="s">
        <v>2706</v>
      </c>
      <c r="M337" s="409">
        <v>20100000</v>
      </c>
      <c r="N337" s="258">
        <v>2497</v>
      </c>
      <c r="O337" s="258" t="s">
        <v>78</v>
      </c>
      <c r="P337" s="258" t="s">
        <v>86</v>
      </c>
      <c r="Q337" s="258" t="s">
        <v>72</v>
      </c>
      <c r="R337" s="258" t="e">
        <v>#N/A</v>
      </c>
      <c r="S337" s="410">
        <v>15</v>
      </c>
      <c r="T337" s="261">
        <v>6</v>
      </c>
      <c r="U337" s="261">
        <v>6</v>
      </c>
      <c r="V337" s="258" t="s">
        <v>3993</v>
      </c>
      <c r="W337" s="261" t="str">
        <f t="shared" si="63"/>
        <v>현대자동차포터Ⅱ 특장하이내장탑차 초장축 슈퍼캡 SUP A/T20100000</v>
      </c>
      <c r="X337" s="411">
        <f t="shared" si="64"/>
        <v>4111</v>
      </c>
      <c r="Y337" s="261">
        <v>6</v>
      </c>
      <c r="Z337" s="261">
        <v>6</v>
      </c>
      <c r="AA337" s="407" t="s">
        <v>763</v>
      </c>
      <c r="AB337" s="258" t="e">
        <v>#N/A</v>
      </c>
      <c r="AC337" s="258"/>
      <c r="AD337" s="258" t="s">
        <v>2135</v>
      </c>
      <c r="AE337" s="258" t="s">
        <v>2129</v>
      </c>
      <c r="AF337" s="259"/>
      <c r="AG337" s="260"/>
      <c r="AH337" s="259"/>
      <c r="AI337" s="259"/>
      <c r="AJ337" s="260"/>
      <c r="AK337" s="259">
        <v>26</v>
      </c>
      <c r="AL337" s="259"/>
      <c r="AM337" s="259" t="s">
        <v>3222</v>
      </c>
      <c r="AN337" s="449"/>
      <c r="AO337" s="449"/>
      <c r="AP337" s="449"/>
      <c r="AQ337" s="392" t="str">
        <f>IFERROR(VLOOKUP(BG337,#REF!,1,0),"")</f>
        <v/>
      </c>
      <c r="AS337" s="259" t="s">
        <v>3233</v>
      </c>
      <c r="BD337" s="202" t="str">
        <f t="shared" si="56"/>
        <v>포터Ⅱ 특장하이내장탑차 초장축 슈퍼캡 SUP A/T</v>
      </c>
      <c r="BE337" s="261" t="str">
        <f t="shared" si="62"/>
        <v>0026</v>
      </c>
      <c r="BF337" s="407" t="s">
        <v>763</v>
      </c>
      <c r="BG337" s="202" t="str">
        <f t="shared" si="57"/>
        <v>0026-0336</v>
      </c>
    </row>
    <row r="338" spans="1:59">
      <c r="A338" s="405">
        <v>4112</v>
      </c>
      <c r="B338" s="406">
        <v>4112</v>
      </c>
      <c r="C338" s="261" t="str">
        <f t="shared" si="58"/>
        <v>0005-0026</v>
      </c>
      <c r="D338" s="261" t="str">
        <f t="shared" si="59"/>
        <v>0005-0026-0061</v>
      </c>
      <c r="E338" s="407" t="s">
        <v>762</v>
      </c>
      <c r="F338" s="261" t="str">
        <f>TEXT(VLOOKUP(J338,'[3]1'!$B$2:$D$37,2,0),"0000")</f>
        <v>0005</v>
      </c>
      <c r="G338" s="261" t="str">
        <f t="shared" si="60"/>
        <v>0026</v>
      </c>
      <c r="H338" s="408">
        <f t="shared" si="61"/>
        <v>61</v>
      </c>
      <c r="I338" s="407" t="s">
        <v>762</v>
      </c>
      <c r="J338" s="258" t="s">
        <v>294</v>
      </c>
      <c r="K338" s="258" t="s">
        <v>2771</v>
      </c>
      <c r="L338" s="258" t="s">
        <v>2707</v>
      </c>
      <c r="M338" s="409">
        <v>19410000</v>
      </c>
      <c r="N338" s="258">
        <v>2497</v>
      </c>
      <c r="O338" s="258" t="s">
        <v>78</v>
      </c>
      <c r="P338" s="258" t="s">
        <v>86</v>
      </c>
      <c r="Q338" s="258" t="s">
        <v>88</v>
      </c>
      <c r="R338" s="258">
        <v>5</v>
      </c>
      <c r="S338" s="410">
        <v>15</v>
      </c>
      <c r="T338" s="261">
        <v>6</v>
      </c>
      <c r="U338" s="261">
        <v>6</v>
      </c>
      <c r="V338" s="258" t="s">
        <v>71</v>
      </c>
      <c r="W338" s="261" t="str">
        <f t="shared" si="63"/>
        <v>현대자동차포터Ⅱ 특장트랜스파워게이트 초장축 슈퍼캡 SUP19410000</v>
      </c>
      <c r="X338" s="411">
        <f t="shared" si="64"/>
        <v>4112</v>
      </c>
      <c r="Y338" s="261">
        <v>6</v>
      </c>
      <c r="Z338" s="261">
        <v>6</v>
      </c>
      <c r="AA338" s="407" t="s">
        <v>762</v>
      </c>
      <c r="AB338" s="258" t="s">
        <v>73</v>
      </c>
      <c r="AC338" s="258"/>
      <c r="AD338" s="258" t="s">
        <v>2135</v>
      </c>
      <c r="AE338" s="258" t="s">
        <v>2129</v>
      </c>
      <c r="AF338" s="259"/>
      <c r="AG338" s="260"/>
      <c r="AH338" s="259"/>
      <c r="AI338" s="259"/>
      <c r="AJ338" s="260"/>
      <c r="AK338" s="259">
        <v>26</v>
      </c>
      <c r="AL338" s="259"/>
      <c r="AM338" s="259" t="s">
        <v>3222</v>
      </c>
      <c r="AN338" s="449"/>
      <c r="AO338" s="449"/>
      <c r="AP338" s="449"/>
      <c r="AQ338" s="392" t="str">
        <f>IFERROR(VLOOKUP(BG338,#REF!,1,0),"")</f>
        <v/>
      </c>
      <c r="AS338" s="259" t="s">
        <v>3233</v>
      </c>
      <c r="BD338" s="202" t="str">
        <f t="shared" si="56"/>
        <v>포터Ⅱ 특장트랜스파워게이트 초장축 슈퍼캡 SUP</v>
      </c>
      <c r="BE338" s="261" t="str">
        <f t="shared" si="62"/>
        <v>0026</v>
      </c>
      <c r="BF338" s="407" t="s">
        <v>762</v>
      </c>
      <c r="BG338" s="202" t="str">
        <f t="shared" si="57"/>
        <v>0026-0337</v>
      </c>
    </row>
    <row r="339" spans="1:59">
      <c r="A339" s="405">
        <v>4113</v>
      </c>
      <c r="B339" s="406">
        <v>4113</v>
      </c>
      <c r="C339" s="261" t="str">
        <f t="shared" si="58"/>
        <v>0005-0026</v>
      </c>
      <c r="D339" s="261" t="str">
        <f t="shared" si="59"/>
        <v>0005-0026-0062</v>
      </c>
      <c r="E339" s="407" t="s">
        <v>761</v>
      </c>
      <c r="F339" s="261" t="str">
        <f>TEXT(VLOOKUP(J339,'[3]1'!$B$2:$D$37,2,0),"0000")</f>
        <v>0005</v>
      </c>
      <c r="G339" s="261" t="str">
        <f t="shared" si="60"/>
        <v>0026</v>
      </c>
      <c r="H339" s="408">
        <f t="shared" si="61"/>
        <v>62</v>
      </c>
      <c r="I339" s="407" t="s">
        <v>761</v>
      </c>
      <c r="J339" s="258" t="s">
        <v>294</v>
      </c>
      <c r="K339" s="258" t="s">
        <v>2771</v>
      </c>
      <c r="L339" s="258" t="s">
        <v>2708</v>
      </c>
      <c r="M339" s="409">
        <v>20530000</v>
      </c>
      <c r="N339" s="258">
        <v>2497</v>
      </c>
      <c r="O339" s="258" t="s">
        <v>78</v>
      </c>
      <c r="P339" s="258" t="s">
        <v>86</v>
      </c>
      <c r="Q339" s="258" t="s">
        <v>72</v>
      </c>
      <c r="R339" s="258" t="e">
        <v>#N/A</v>
      </c>
      <c r="S339" s="410">
        <v>15</v>
      </c>
      <c r="T339" s="261">
        <v>6</v>
      </c>
      <c r="U339" s="261">
        <v>6</v>
      </c>
      <c r="V339" s="258" t="s">
        <v>3993</v>
      </c>
      <c r="W339" s="261" t="str">
        <f t="shared" si="63"/>
        <v>현대자동차포터Ⅱ 특장트랜스파워게이트 초장축 슈퍼캡 SUP A/T20530000</v>
      </c>
      <c r="X339" s="411">
        <f t="shared" si="64"/>
        <v>4113</v>
      </c>
      <c r="Y339" s="261">
        <v>6</v>
      </c>
      <c r="Z339" s="261">
        <v>6</v>
      </c>
      <c r="AA339" s="407" t="s">
        <v>761</v>
      </c>
      <c r="AB339" s="258" t="e">
        <v>#N/A</v>
      </c>
      <c r="AC339" s="258"/>
      <c r="AD339" s="258" t="s">
        <v>2135</v>
      </c>
      <c r="AE339" s="258" t="s">
        <v>2129</v>
      </c>
      <c r="AF339" s="259"/>
      <c r="AG339" s="260"/>
      <c r="AH339" s="259"/>
      <c r="AI339" s="259"/>
      <c r="AJ339" s="260"/>
      <c r="AK339" s="259">
        <v>26</v>
      </c>
      <c r="AL339" s="259"/>
      <c r="AM339" s="259" t="s">
        <v>3222</v>
      </c>
      <c r="AN339" s="449"/>
      <c r="AO339" s="449"/>
      <c r="AP339" s="449"/>
      <c r="AQ339" s="392" t="str">
        <f>IFERROR(VLOOKUP(BG339,#REF!,1,0),"")</f>
        <v/>
      </c>
      <c r="AS339" s="259" t="s">
        <v>3233</v>
      </c>
      <c r="BD339" s="202" t="str">
        <f t="shared" si="56"/>
        <v>포터Ⅱ 특장트랜스파워게이트 초장축 슈퍼캡 SUP A/T</v>
      </c>
      <c r="BE339" s="261" t="str">
        <f t="shared" si="62"/>
        <v>0026</v>
      </c>
      <c r="BF339" s="407" t="s">
        <v>761</v>
      </c>
      <c r="BG339" s="202" t="str">
        <f t="shared" si="57"/>
        <v>0026-0338</v>
      </c>
    </row>
    <row r="340" spans="1:59">
      <c r="A340" s="405">
        <v>4114</v>
      </c>
      <c r="B340" s="406">
        <v>4114</v>
      </c>
      <c r="C340" s="261" t="str">
        <f t="shared" si="58"/>
        <v>0005-0026</v>
      </c>
      <c r="D340" s="261" t="str">
        <f t="shared" si="59"/>
        <v>0005-0026-0063</v>
      </c>
      <c r="E340" s="407" t="s">
        <v>760</v>
      </c>
      <c r="F340" s="261" t="str">
        <f>TEXT(VLOOKUP(J340,'[3]1'!$B$2:$D$37,2,0),"0000")</f>
        <v>0005</v>
      </c>
      <c r="G340" s="261" t="str">
        <f t="shared" si="60"/>
        <v>0026</v>
      </c>
      <c r="H340" s="408">
        <f t="shared" si="61"/>
        <v>63</v>
      </c>
      <c r="I340" s="407" t="s">
        <v>760</v>
      </c>
      <c r="J340" s="258" t="s">
        <v>294</v>
      </c>
      <c r="K340" s="258" t="s">
        <v>2771</v>
      </c>
      <c r="L340" s="258" t="s">
        <v>2709</v>
      </c>
      <c r="M340" s="409">
        <v>19330000</v>
      </c>
      <c r="N340" s="258">
        <v>2497</v>
      </c>
      <c r="O340" s="258" t="s">
        <v>78</v>
      </c>
      <c r="P340" s="258" t="s">
        <v>86</v>
      </c>
      <c r="Q340" s="258" t="s">
        <v>72</v>
      </c>
      <c r="R340" s="258" t="e">
        <v>#N/A</v>
      </c>
      <c r="S340" s="410">
        <v>15</v>
      </c>
      <c r="T340" s="261">
        <v>6</v>
      </c>
      <c r="U340" s="261">
        <v>6</v>
      </c>
      <c r="V340" s="258" t="s">
        <v>3993</v>
      </c>
      <c r="W340" s="261" t="str">
        <f t="shared" si="63"/>
        <v>현대자동차포터Ⅱ 특장파워게이트 초장축 슈퍼캡 SUP A/T19330000</v>
      </c>
      <c r="X340" s="411">
        <f t="shared" si="64"/>
        <v>4114</v>
      </c>
      <c r="Y340" s="261">
        <v>6</v>
      </c>
      <c r="Z340" s="261">
        <v>6</v>
      </c>
      <c r="AA340" s="407" t="s">
        <v>760</v>
      </c>
      <c r="AB340" s="258" t="e">
        <v>#N/A</v>
      </c>
      <c r="AC340" s="258"/>
      <c r="AD340" s="258" t="s">
        <v>2135</v>
      </c>
      <c r="AE340" s="258" t="s">
        <v>2129</v>
      </c>
      <c r="AF340" s="259"/>
      <c r="AG340" s="260"/>
      <c r="AH340" s="259"/>
      <c r="AI340" s="259"/>
      <c r="AJ340" s="260"/>
      <c r="AK340" s="259">
        <v>26</v>
      </c>
      <c r="AL340" s="259"/>
      <c r="AM340" s="259" t="s">
        <v>3222</v>
      </c>
      <c r="AN340" s="449"/>
      <c r="AO340" s="449"/>
      <c r="AP340" s="449"/>
      <c r="AQ340" s="392" t="str">
        <f>IFERROR(VLOOKUP(BG340,#REF!,1,0),"")</f>
        <v/>
      </c>
      <c r="AS340" s="259" t="s">
        <v>3233</v>
      </c>
      <c r="BD340" s="202" t="str">
        <f t="shared" si="56"/>
        <v>포터Ⅱ 특장파워게이트 초장축 슈퍼캡 SUP A/T</v>
      </c>
      <c r="BE340" s="261" t="str">
        <f t="shared" si="62"/>
        <v>0026</v>
      </c>
      <c r="BF340" s="407" t="s">
        <v>760</v>
      </c>
      <c r="BG340" s="202" t="str">
        <f t="shared" si="57"/>
        <v>0026-0339</v>
      </c>
    </row>
    <row r="341" spans="1:59">
      <c r="A341" s="405">
        <v>4115</v>
      </c>
      <c r="B341" s="406">
        <v>4115</v>
      </c>
      <c r="C341" s="261" t="str">
        <f t="shared" si="58"/>
        <v>0004-0027</v>
      </c>
      <c r="D341" s="261" t="str">
        <f t="shared" si="59"/>
        <v>0004-0027-0001</v>
      </c>
      <c r="E341" s="407" t="s">
        <v>759</v>
      </c>
      <c r="F341" s="261" t="str">
        <f>TEXT(VLOOKUP(J341,'[3]1'!$B$2:$D$37,2,0),"0000")</f>
        <v>0004</v>
      </c>
      <c r="G341" s="261" t="str">
        <f t="shared" si="60"/>
        <v>0027</v>
      </c>
      <c r="H341" s="408">
        <f t="shared" si="61"/>
        <v>1</v>
      </c>
      <c r="I341" s="407" t="s">
        <v>759</v>
      </c>
      <c r="J341" s="258" t="s">
        <v>646</v>
      </c>
      <c r="K341" s="258" t="s">
        <v>2736</v>
      </c>
      <c r="L341" s="258" t="s">
        <v>2399</v>
      </c>
      <c r="M341" s="409">
        <v>9880000</v>
      </c>
      <c r="N341" s="258">
        <v>796</v>
      </c>
      <c r="O341" s="258" t="s">
        <v>2137</v>
      </c>
      <c r="P341" s="258" t="s">
        <v>86</v>
      </c>
      <c r="Q341" s="258" t="s">
        <v>88</v>
      </c>
      <c r="R341" s="258" t="e">
        <v>#N/A</v>
      </c>
      <c r="S341" s="410">
        <v>20</v>
      </c>
      <c r="T341" s="261">
        <v>6</v>
      </c>
      <c r="U341" s="261">
        <v>6</v>
      </c>
      <c r="V341" s="258" t="s">
        <v>3993</v>
      </c>
      <c r="W341" s="261" t="str">
        <f t="shared" si="63"/>
        <v>한국지엠/쉐보레 코리아다마스뉴다마스 밴 2인승 판넬밴 DLX M/T9880000</v>
      </c>
      <c r="X341" s="411">
        <f t="shared" si="64"/>
        <v>4115</v>
      </c>
      <c r="Y341" s="261">
        <v>6</v>
      </c>
      <c r="Z341" s="261">
        <v>6</v>
      </c>
      <c r="AA341" s="407" t="s">
        <v>759</v>
      </c>
      <c r="AB341" s="258" t="e">
        <v>#N/A</v>
      </c>
      <c r="AC341" s="258"/>
      <c r="AD341" s="258" t="s">
        <v>2134</v>
      </c>
      <c r="AE341" s="258" t="s">
        <v>2129</v>
      </c>
      <c r="AF341" s="259"/>
      <c r="AG341" s="260"/>
      <c r="AH341" s="259"/>
      <c r="AI341" s="259"/>
      <c r="AJ341" s="260"/>
      <c r="AK341" s="259">
        <v>26</v>
      </c>
      <c r="AL341" s="259"/>
      <c r="AM341" s="259" t="s">
        <v>3234</v>
      </c>
      <c r="AN341" s="449"/>
      <c r="AO341" s="449"/>
      <c r="AP341" s="449"/>
      <c r="AQ341" s="392" t="str">
        <f>IFERROR(VLOOKUP(BG341,#REF!,1,0),"")</f>
        <v/>
      </c>
      <c r="AS341" s="259" t="s">
        <v>3234</v>
      </c>
      <c r="BD341" s="202" t="str">
        <f t="shared" si="56"/>
        <v>다마스뉴다마스 밴 2인승 판넬밴 DLX M/T</v>
      </c>
      <c r="BE341" s="261" t="str">
        <f t="shared" si="62"/>
        <v>0027</v>
      </c>
      <c r="BF341" s="407" t="s">
        <v>759</v>
      </c>
      <c r="BG341" s="202" t="str">
        <f t="shared" si="57"/>
        <v>0027-0340</v>
      </c>
    </row>
    <row r="342" spans="1:59">
      <c r="A342" s="405">
        <v>4116</v>
      </c>
      <c r="B342" s="406">
        <v>4116</v>
      </c>
      <c r="C342" s="261" t="str">
        <f t="shared" si="58"/>
        <v>0004-0027</v>
      </c>
      <c r="D342" s="261" t="str">
        <f t="shared" si="59"/>
        <v>0004-0027-0002</v>
      </c>
      <c r="E342" s="407" t="s">
        <v>758</v>
      </c>
      <c r="F342" s="261" t="str">
        <f>TEXT(VLOOKUP(J342,'[3]1'!$B$2:$D$37,2,0),"0000")</f>
        <v>0004</v>
      </c>
      <c r="G342" s="261" t="str">
        <f t="shared" si="60"/>
        <v>0027</v>
      </c>
      <c r="H342" s="408">
        <f t="shared" si="61"/>
        <v>2</v>
      </c>
      <c r="I342" s="407" t="s">
        <v>758</v>
      </c>
      <c r="J342" s="258" t="s">
        <v>646</v>
      </c>
      <c r="K342" s="258" t="s">
        <v>2736</v>
      </c>
      <c r="L342" s="258" t="s">
        <v>2400</v>
      </c>
      <c r="M342" s="409">
        <v>10130000</v>
      </c>
      <c r="N342" s="258">
        <v>796</v>
      </c>
      <c r="O342" s="258" t="s">
        <v>2137</v>
      </c>
      <c r="P342" s="258" t="s">
        <v>86</v>
      </c>
      <c r="Q342" s="258" t="s">
        <v>88</v>
      </c>
      <c r="R342" s="258" t="e">
        <v>#N/A</v>
      </c>
      <c r="S342" s="410">
        <v>20</v>
      </c>
      <c r="T342" s="261">
        <v>6</v>
      </c>
      <c r="U342" s="261">
        <v>6</v>
      </c>
      <c r="V342" s="258" t="s">
        <v>3993</v>
      </c>
      <c r="W342" s="261" t="str">
        <f t="shared" si="63"/>
        <v>한국지엠/쉐보레 코리아다마스뉴다마스 밴 2인승 판넬밴 SUPER M/T10130000</v>
      </c>
      <c r="X342" s="411">
        <f t="shared" si="64"/>
        <v>4116</v>
      </c>
      <c r="Y342" s="261">
        <v>6</v>
      </c>
      <c r="Z342" s="261">
        <v>6</v>
      </c>
      <c r="AA342" s="407" t="s">
        <v>758</v>
      </c>
      <c r="AB342" s="258" t="e">
        <v>#N/A</v>
      </c>
      <c r="AC342" s="258"/>
      <c r="AD342" s="258" t="s">
        <v>2134</v>
      </c>
      <c r="AE342" s="258" t="s">
        <v>2129</v>
      </c>
      <c r="AF342" s="259"/>
      <c r="AG342" s="260"/>
      <c r="AH342" s="259"/>
      <c r="AI342" s="259"/>
      <c r="AJ342" s="260"/>
      <c r="AK342" s="259">
        <v>26</v>
      </c>
      <c r="AL342" s="259"/>
      <c r="AM342" s="259" t="s">
        <v>3234</v>
      </c>
      <c r="AN342" s="449"/>
      <c r="AO342" s="449"/>
      <c r="AP342" s="449"/>
      <c r="AQ342" s="392" t="str">
        <f>IFERROR(VLOOKUP(BG342,#REF!,1,0),"")</f>
        <v/>
      </c>
      <c r="AS342" s="259" t="s">
        <v>3234</v>
      </c>
      <c r="BD342" s="202" t="str">
        <f t="shared" si="56"/>
        <v>다마스뉴다마스 밴 2인승 판넬밴 SUPER M/T</v>
      </c>
      <c r="BE342" s="261" t="str">
        <f t="shared" si="62"/>
        <v>0027</v>
      </c>
      <c r="BF342" s="407" t="s">
        <v>758</v>
      </c>
      <c r="BG342" s="202" t="str">
        <f t="shared" si="57"/>
        <v>0027-0341</v>
      </c>
    </row>
    <row r="343" spans="1:59">
      <c r="A343" s="405">
        <v>4117</v>
      </c>
      <c r="B343" s="406">
        <v>4117</v>
      </c>
      <c r="C343" s="261" t="str">
        <f t="shared" si="58"/>
        <v>0004-0027</v>
      </c>
      <c r="D343" s="261" t="str">
        <f t="shared" si="59"/>
        <v>0004-0027-0003</v>
      </c>
      <c r="E343" s="407" t="s">
        <v>757</v>
      </c>
      <c r="F343" s="261" t="str">
        <f>TEXT(VLOOKUP(J343,'[3]1'!$B$2:$D$37,2,0),"0000")</f>
        <v>0004</v>
      </c>
      <c r="G343" s="261" t="str">
        <f t="shared" si="60"/>
        <v>0027</v>
      </c>
      <c r="H343" s="408">
        <f t="shared" si="61"/>
        <v>3</v>
      </c>
      <c r="I343" s="407" t="s">
        <v>757</v>
      </c>
      <c r="J343" s="258" t="s">
        <v>646</v>
      </c>
      <c r="K343" s="258" t="s">
        <v>2736</v>
      </c>
      <c r="L343" s="258" t="s">
        <v>2401</v>
      </c>
      <c r="M343" s="409">
        <v>10050000</v>
      </c>
      <c r="N343" s="258">
        <v>796</v>
      </c>
      <c r="O343" s="258" t="s">
        <v>2137</v>
      </c>
      <c r="P343" s="258" t="s">
        <v>73</v>
      </c>
      <c r="Q343" s="258" t="s">
        <v>88</v>
      </c>
      <c r="R343" s="258" t="e">
        <v>#N/A</v>
      </c>
      <c r="S343" s="410">
        <v>20</v>
      </c>
      <c r="T343" s="261">
        <v>6</v>
      </c>
      <c r="U343" s="261">
        <v>6</v>
      </c>
      <c r="V343" s="258" t="s">
        <v>3993</v>
      </c>
      <c r="W343" s="261" t="str">
        <f t="shared" si="63"/>
        <v>한국지엠/쉐보레 코리아다마스뉴다마스 코치 5인승 SUPER M/T10050000</v>
      </c>
      <c r="X343" s="411">
        <f t="shared" si="64"/>
        <v>4117</v>
      </c>
      <c r="Y343" s="261">
        <v>6</v>
      </c>
      <c r="Z343" s="261">
        <v>6</v>
      </c>
      <c r="AA343" s="407" t="s">
        <v>757</v>
      </c>
      <c r="AB343" s="258" t="e">
        <v>#N/A</v>
      </c>
      <c r="AC343" s="258"/>
      <c r="AD343" s="258" t="s">
        <v>2135</v>
      </c>
      <c r="AE343" s="258" t="s">
        <v>2129</v>
      </c>
      <c r="AF343" s="259"/>
      <c r="AG343" s="260"/>
      <c r="AH343" s="259"/>
      <c r="AI343" s="259"/>
      <c r="AJ343" s="260"/>
      <c r="AK343" s="259">
        <v>26</v>
      </c>
      <c r="AL343" s="259"/>
      <c r="AM343" s="259" t="s">
        <v>3234</v>
      </c>
      <c r="AN343" s="449"/>
      <c r="AO343" s="449"/>
      <c r="AP343" s="449"/>
      <c r="AQ343" s="392" t="str">
        <f>IFERROR(VLOOKUP(BG343,#REF!,1,0),"")</f>
        <v/>
      </c>
      <c r="AS343" s="259" t="s">
        <v>3234</v>
      </c>
      <c r="BD343" s="202" t="str">
        <f t="shared" si="56"/>
        <v>다마스뉴다마스 코치 5인승 SUPER M/T</v>
      </c>
      <c r="BE343" s="261" t="str">
        <f t="shared" si="62"/>
        <v>0027</v>
      </c>
      <c r="BF343" s="407" t="s">
        <v>757</v>
      </c>
      <c r="BG343" s="202" t="str">
        <f t="shared" si="57"/>
        <v>0027-0342</v>
      </c>
    </row>
    <row r="344" spans="1:59">
      <c r="A344" s="405">
        <v>4118</v>
      </c>
      <c r="B344" s="406">
        <v>4118</v>
      </c>
      <c r="C344" s="261" t="str">
        <f t="shared" si="58"/>
        <v>0004-0028</v>
      </c>
      <c r="D344" s="261" t="str">
        <f t="shared" si="59"/>
        <v>0004-0028-0001</v>
      </c>
      <c r="E344" s="407" t="s">
        <v>756</v>
      </c>
      <c r="F344" s="261" t="str">
        <f>TEXT(VLOOKUP(J344,'[3]1'!$B$2:$D$37,2,0),"0000")</f>
        <v>0004</v>
      </c>
      <c r="G344" s="261" t="str">
        <f t="shared" si="60"/>
        <v>0028</v>
      </c>
      <c r="H344" s="408">
        <f t="shared" si="61"/>
        <v>1</v>
      </c>
      <c r="I344" s="407" t="s">
        <v>756</v>
      </c>
      <c r="J344" s="258" t="s">
        <v>646</v>
      </c>
      <c r="K344" s="258" t="s">
        <v>2737</v>
      </c>
      <c r="L344" s="258" t="s">
        <v>2402</v>
      </c>
      <c r="M344" s="409">
        <v>8380000</v>
      </c>
      <c r="N344" s="258">
        <v>796</v>
      </c>
      <c r="O344" s="258" t="s">
        <v>2137</v>
      </c>
      <c r="P344" s="258" t="s">
        <v>73</v>
      </c>
      <c r="Q344" s="258" t="s">
        <v>88</v>
      </c>
      <c r="R344" s="258" t="e">
        <v>#N/A</v>
      </c>
      <c r="S344" s="410">
        <v>15</v>
      </c>
      <c r="T344" s="261">
        <v>6</v>
      </c>
      <c r="U344" s="261">
        <v>6</v>
      </c>
      <c r="V344" s="258" t="s">
        <v>3993</v>
      </c>
      <c r="W344" s="261" t="str">
        <f t="shared" si="63"/>
        <v>한국지엠/쉐보레 코리아라보뉴라보 일반형 STD M/T8380000</v>
      </c>
      <c r="X344" s="411">
        <f t="shared" si="64"/>
        <v>4118</v>
      </c>
      <c r="Y344" s="261">
        <v>6</v>
      </c>
      <c r="Z344" s="261">
        <v>6</v>
      </c>
      <c r="AA344" s="407" t="s">
        <v>756</v>
      </c>
      <c r="AB344" s="258" t="e">
        <v>#N/A</v>
      </c>
      <c r="AC344" s="258"/>
      <c r="AD344" s="258" t="s">
        <v>2135</v>
      </c>
      <c r="AE344" s="258" t="s">
        <v>2129</v>
      </c>
      <c r="AF344" s="259"/>
      <c r="AG344" s="260"/>
      <c r="AH344" s="259"/>
      <c r="AI344" s="259"/>
      <c r="AJ344" s="260"/>
      <c r="AK344" s="259">
        <v>26</v>
      </c>
      <c r="AL344" s="259"/>
      <c r="AM344" s="259" t="s">
        <v>3234</v>
      </c>
      <c r="AN344" s="449"/>
      <c r="AO344" s="449"/>
      <c r="AP344" s="449"/>
      <c r="AQ344" s="392" t="str">
        <f>IFERROR(VLOOKUP(BG344,#REF!,1,0),"")</f>
        <v/>
      </c>
      <c r="AS344" s="259" t="s">
        <v>3233</v>
      </c>
      <c r="BD344" s="202" t="str">
        <f t="shared" si="56"/>
        <v>라보뉴라보 일반형 STD M/T</v>
      </c>
      <c r="BE344" s="261" t="str">
        <f t="shared" si="62"/>
        <v>0028</v>
      </c>
      <c r="BF344" s="407" t="s">
        <v>756</v>
      </c>
      <c r="BG344" s="202" t="str">
        <f t="shared" si="57"/>
        <v>0028-0343</v>
      </c>
    </row>
    <row r="345" spans="1:59">
      <c r="A345" s="405">
        <v>4119</v>
      </c>
      <c r="B345" s="406">
        <v>4119</v>
      </c>
      <c r="C345" s="261" t="str">
        <f t="shared" si="58"/>
        <v>0004-0028</v>
      </c>
      <c r="D345" s="261" t="str">
        <f t="shared" si="59"/>
        <v>0004-0028-0002</v>
      </c>
      <c r="E345" s="407" t="s">
        <v>755</v>
      </c>
      <c r="F345" s="261" t="str">
        <f>TEXT(VLOOKUP(J345,'[3]1'!$B$2:$D$37,2,0),"0000")</f>
        <v>0004</v>
      </c>
      <c r="G345" s="261" t="str">
        <f t="shared" si="60"/>
        <v>0028</v>
      </c>
      <c r="H345" s="408">
        <f t="shared" si="61"/>
        <v>2</v>
      </c>
      <c r="I345" s="407" t="s">
        <v>755</v>
      </c>
      <c r="J345" s="258" t="s">
        <v>646</v>
      </c>
      <c r="K345" s="258" t="s">
        <v>2737</v>
      </c>
      <c r="L345" s="258" t="s">
        <v>2403</v>
      </c>
      <c r="M345" s="409">
        <v>8730000</v>
      </c>
      <c r="N345" s="258">
        <v>796</v>
      </c>
      <c r="O345" s="258" t="s">
        <v>2137</v>
      </c>
      <c r="P345" s="258" t="s">
        <v>73</v>
      </c>
      <c r="Q345" s="258" t="s">
        <v>88</v>
      </c>
      <c r="R345" s="258" t="e">
        <v>#N/A</v>
      </c>
      <c r="S345" s="410">
        <v>15</v>
      </c>
      <c r="T345" s="261">
        <v>6</v>
      </c>
      <c r="U345" s="261">
        <v>6</v>
      </c>
      <c r="V345" s="258" t="s">
        <v>3993</v>
      </c>
      <c r="W345" s="261" t="str">
        <f t="shared" si="63"/>
        <v>한국지엠/쉐보레 코리아라보뉴라보 일반형 DLX M/T8730000</v>
      </c>
      <c r="X345" s="411">
        <f t="shared" si="64"/>
        <v>4119</v>
      </c>
      <c r="Y345" s="261">
        <v>6</v>
      </c>
      <c r="Z345" s="261">
        <v>6</v>
      </c>
      <c r="AA345" s="407" t="s">
        <v>755</v>
      </c>
      <c r="AB345" s="258" t="e">
        <v>#N/A</v>
      </c>
      <c r="AC345" s="258"/>
      <c r="AD345" s="258" t="s">
        <v>2135</v>
      </c>
      <c r="AE345" s="258" t="s">
        <v>2129</v>
      </c>
      <c r="AF345" s="259"/>
      <c r="AG345" s="260"/>
      <c r="AH345" s="259"/>
      <c r="AI345" s="259"/>
      <c r="AJ345" s="260"/>
      <c r="AK345" s="259">
        <v>26</v>
      </c>
      <c r="AL345" s="259"/>
      <c r="AM345" s="259" t="s">
        <v>3234</v>
      </c>
      <c r="AN345" s="449"/>
      <c r="AO345" s="449"/>
      <c r="AP345" s="449"/>
      <c r="AQ345" s="392" t="str">
        <f>IFERROR(VLOOKUP(BG345,#REF!,1,0),"")</f>
        <v/>
      </c>
      <c r="AS345" s="259" t="s">
        <v>3233</v>
      </c>
      <c r="BD345" s="202" t="str">
        <f t="shared" si="56"/>
        <v>라보뉴라보 일반형 DLX M/T</v>
      </c>
      <c r="BE345" s="261" t="str">
        <f t="shared" si="62"/>
        <v>0028</v>
      </c>
      <c r="BF345" s="407" t="s">
        <v>755</v>
      </c>
      <c r="BG345" s="202" t="str">
        <f t="shared" si="57"/>
        <v>0028-0344</v>
      </c>
    </row>
    <row r="346" spans="1:59">
      <c r="A346" s="405">
        <v>4120</v>
      </c>
      <c r="B346" s="406">
        <v>4120</v>
      </c>
      <c r="C346" s="261" t="str">
        <f t="shared" si="58"/>
        <v>0004-0028</v>
      </c>
      <c r="D346" s="261" t="str">
        <f t="shared" si="59"/>
        <v>0004-0028-0003</v>
      </c>
      <c r="E346" s="407" t="s">
        <v>754</v>
      </c>
      <c r="F346" s="261" t="str">
        <f>TEXT(VLOOKUP(J346,'[3]1'!$B$2:$D$37,2,0),"0000")</f>
        <v>0004</v>
      </c>
      <c r="G346" s="261" t="str">
        <f t="shared" si="60"/>
        <v>0028</v>
      </c>
      <c r="H346" s="408">
        <f t="shared" si="61"/>
        <v>3</v>
      </c>
      <c r="I346" s="407" t="s">
        <v>754</v>
      </c>
      <c r="J346" s="258" t="s">
        <v>646</v>
      </c>
      <c r="K346" s="258" t="s">
        <v>2737</v>
      </c>
      <c r="L346" s="258" t="s">
        <v>2404</v>
      </c>
      <c r="M346" s="409">
        <v>8880000</v>
      </c>
      <c r="N346" s="258">
        <v>796</v>
      </c>
      <c r="O346" s="258" t="s">
        <v>2137</v>
      </c>
      <c r="P346" s="258" t="s">
        <v>73</v>
      </c>
      <c r="Q346" s="258" t="s">
        <v>88</v>
      </c>
      <c r="R346" s="258">
        <v>5</v>
      </c>
      <c r="S346" s="410">
        <v>20</v>
      </c>
      <c r="T346" s="261">
        <v>6</v>
      </c>
      <c r="U346" s="261">
        <v>6</v>
      </c>
      <c r="V346" s="258" t="s">
        <v>71</v>
      </c>
      <c r="W346" s="261" t="str">
        <f t="shared" si="63"/>
        <v>한국지엠/쉐보레 코리아라보뉴라보 롱카고 DLX  M/T8880000</v>
      </c>
      <c r="X346" s="411">
        <f t="shared" si="64"/>
        <v>4120</v>
      </c>
      <c r="Y346" s="261">
        <v>6</v>
      </c>
      <c r="Z346" s="261">
        <v>6</v>
      </c>
      <c r="AA346" s="407" t="s">
        <v>754</v>
      </c>
      <c r="AB346" s="258" t="s">
        <v>73</v>
      </c>
      <c r="AC346" s="258"/>
      <c r="AD346" s="258" t="s">
        <v>2135</v>
      </c>
      <c r="AE346" s="258" t="s">
        <v>2129</v>
      </c>
      <c r="AF346" s="259"/>
      <c r="AG346" s="260"/>
      <c r="AH346" s="259"/>
      <c r="AI346" s="259"/>
      <c r="AJ346" s="260"/>
      <c r="AK346" s="259">
        <v>26</v>
      </c>
      <c r="AL346" s="259"/>
      <c r="AM346" s="259" t="s">
        <v>3234</v>
      </c>
      <c r="AN346" s="449"/>
      <c r="AO346" s="449"/>
      <c r="AP346" s="449"/>
      <c r="AQ346" s="392" t="str">
        <f>IFERROR(VLOOKUP(BG346,#REF!,1,0),"")</f>
        <v/>
      </c>
      <c r="AS346" s="259" t="s">
        <v>3234</v>
      </c>
      <c r="BD346" s="202" t="str">
        <f t="shared" si="56"/>
        <v>라보뉴라보 롱카고 DLX  M/T</v>
      </c>
      <c r="BE346" s="261" t="str">
        <f t="shared" si="62"/>
        <v>0028</v>
      </c>
      <c r="BF346" s="407" t="s">
        <v>754</v>
      </c>
      <c r="BG346" s="202" t="str">
        <f t="shared" si="57"/>
        <v>0028-0345</v>
      </c>
    </row>
    <row r="347" spans="1:59">
      <c r="A347" s="405">
        <v>4121</v>
      </c>
      <c r="B347" s="406">
        <v>4121</v>
      </c>
      <c r="C347" s="261" t="str">
        <f t="shared" si="58"/>
        <v>0004-0028</v>
      </c>
      <c r="D347" s="261" t="str">
        <f t="shared" si="59"/>
        <v>0004-0028-0004</v>
      </c>
      <c r="E347" s="407" t="s">
        <v>753</v>
      </c>
      <c r="F347" s="261" t="str">
        <f>TEXT(VLOOKUP(J347,'[3]1'!$B$2:$D$37,2,0),"0000")</f>
        <v>0004</v>
      </c>
      <c r="G347" s="261" t="str">
        <f t="shared" si="60"/>
        <v>0028</v>
      </c>
      <c r="H347" s="408">
        <f t="shared" si="61"/>
        <v>4</v>
      </c>
      <c r="I347" s="407" t="s">
        <v>753</v>
      </c>
      <c r="J347" s="258" t="s">
        <v>646</v>
      </c>
      <c r="K347" s="258" t="s">
        <v>2737</v>
      </c>
      <c r="L347" s="258" t="s">
        <v>2405</v>
      </c>
      <c r="M347" s="409">
        <v>9080000</v>
      </c>
      <c r="N347" s="258">
        <v>796</v>
      </c>
      <c r="O347" s="258" t="s">
        <v>2137</v>
      </c>
      <c r="P347" s="258" t="s">
        <v>73</v>
      </c>
      <c r="Q347" s="258" t="s">
        <v>88</v>
      </c>
      <c r="R347" s="258" t="e">
        <v>#N/A</v>
      </c>
      <c r="S347" s="410">
        <v>20</v>
      </c>
      <c r="T347" s="261">
        <v>6</v>
      </c>
      <c r="U347" s="261">
        <v>6</v>
      </c>
      <c r="V347" s="258" t="s">
        <v>3993</v>
      </c>
      <c r="W347" s="261" t="str">
        <f t="shared" si="63"/>
        <v>한국지엠/쉐보레 코리아라보뉴라보 롱카고 SUPER M/T9080000</v>
      </c>
      <c r="X347" s="411">
        <f t="shared" si="64"/>
        <v>4121</v>
      </c>
      <c r="Y347" s="261">
        <v>6</v>
      </c>
      <c r="Z347" s="261">
        <v>6</v>
      </c>
      <c r="AA347" s="407" t="s">
        <v>753</v>
      </c>
      <c r="AB347" s="258" t="e">
        <v>#N/A</v>
      </c>
      <c r="AC347" s="258"/>
      <c r="AD347" s="258" t="s">
        <v>2135</v>
      </c>
      <c r="AE347" s="258" t="s">
        <v>2129</v>
      </c>
      <c r="AF347" s="259"/>
      <c r="AG347" s="260"/>
      <c r="AH347" s="259"/>
      <c r="AI347" s="259"/>
      <c r="AJ347" s="260"/>
      <c r="AK347" s="259">
        <v>26</v>
      </c>
      <c r="AL347" s="259"/>
      <c r="AM347" s="259" t="s">
        <v>3234</v>
      </c>
      <c r="AN347" s="449"/>
      <c r="AO347" s="449"/>
      <c r="AP347" s="449"/>
      <c r="AQ347" s="392" t="str">
        <f>IFERROR(VLOOKUP(BG347,#REF!,1,0),"")</f>
        <v/>
      </c>
      <c r="AS347" s="259" t="s">
        <v>3234</v>
      </c>
      <c r="BD347" s="202" t="str">
        <f t="shared" si="56"/>
        <v>라보뉴라보 롱카고 SUPER M/T</v>
      </c>
      <c r="BE347" s="261" t="str">
        <f t="shared" si="62"/>
        <v>0028</v>
      </c>
      <c r="BF347" s="407" t="s">
        <v>753</v>
      </c>
      <c r="BG347" s="202" t="str">
        <f t="shared" si="57"/>
        <v>0028-0346</v>
      </c>
    </row>
    <row r="348" spans="1:59">
      <c r="A348" s="405">
        <v>4122</v>
      </c>
      <c r="B348" s="406">
        <v>4122</v>
      </c>
      <c r="C348" s="261" t="str">
        <f t="shared" si="58"/>
        <v>0004-0028</v>
      </c>
      <c r="D348" s="261" t="str">
        <f t="shared" si="59"/>
        <v>0004-0028-0005</v>
      </c>
      <c r="E348" s="407" t="s">
        <v>752</v>
      </c>
      <c r="F348" s="261" t="str">
        <f>TEXT(VLOOKUP(J348,'[3]1'!$B$2:$D$37,2,0),"0000")</f>
        <v>0004</v>
      </c>
      <c r="G348" s="261" t="str">
        <f t="shared" si="60"/>
        <v>0028</v>
      </c>
      <c r="H348" s="408">
        <f t="shared" si="61"/>
        <v>5</v>
      </c>
      <c r="I348" s="407" t="s">
        <v>752</v>
      </c>
      <c r="J348" s="258" t="s">
        <v>646</v>
      </c>
      <c r="K348" s="258" t="s">
        <v>2737</v>
      </c>
      <c r="L348" s="258" t="s">
        <v>2406</v>
      </c>
      <c r="M348" s="409">
        <v>10980000</v>
      </c>
      <c r="N348" s="258">
        <v>796</v>
      </c>
      <c r="O348" s="258" t="s">
        <v>2137</v>
      </c>
      <c r="P348" s="258" t="s">
        <v>73</v>
      </c>
      <c r="Q348" s="258" t="s">
        <v>88</v>
      </c>
      <c r="R348" s="258">
        <v>5</v>
      </c>
      <c r="S348" s="410">
        <v>20</v>
      </c>
      <c r="T348" s="261">
        <v>6</v>
      </c>
      <c r="U348" s="261">
        <v>6</v>
      </c>
      <c r="V348" s="258" t="s">
        <v>71</v>
      </c>
      <c r="W348" s="261" t="str">
        <f t="shared" si="63"/>
        <v>한국지엠/쉐보레 코리아라보뉴라보 특장차 보냉탑차 일반형 M/T10980000</v>
      </c>
      <c r="X348" s="411">
        <f t="shared" si="64"/>
        <v>4122</v>
      </c>
      <c r="Y348" s="261">
        <v>6</v>
      </c>
      <c r="Z348" s="261">
        <v>6</v>
      </c>
      <c r="AA348" s="407" t="s">
        <v>752</v>
      </c>
      <c r="AB348" s="258" t="s">
        <v>73</v>
      </c>
      <c r="AC348" s="258"/>
      <c r="AD348" s="258" t="s">
        <v>2135</v>
      </c>
      <c r="AE348" s="258" t="s">
        <v>2129</v>
      </c>
      <c r="AF348" s="259"/>
      <c r="AG348" s="260"/>
      <c r="AH348" s="259"/>
      <c r="AI348" s="259"/>
      <c r="AJ348" s="260"/>
      <c r="AK348" s="259">
        <v>26</v>
      </c>
      <c r="AL348" s="259"/>
      <c r="AM348" s="259" t="s">
        <v>3234</v>
      </c>
      <c r="AN348" s="449"/>
      <c r="AO348" s="449"/>
      <c r="AP348" s="449"/>
      <c r="AQ348" s="392" t="str">
        <f>IFERROR(VLOOKUP(BG348,#REF!,1,0),"")</f>
        <v/>
      </c>
      <c r="AS348" s="259" t="s">
        <v>3234</v>
      </c>
      <c r="BD348" s="202" t="str">
        <f t="shared" si="56"/>
        <v>라보뉴라보 특장차 보냉탑차 일반형 M/T</v>
      </c>
      <c r="BE348" s="261" t="str">
        <f t="shared" si="62"/>
        <v>0028</v>
      </c>
      <c r="BF348" s="407" t="s">
        <v>752</v>
      </c>
      <c r="BG348" s="202" t="str">
        <f t="shared" si="57"/>
        <v>0028-0347</v>
      </c>
    </row>
    <row r="349" spans="1:59">
      <c r="A349" s="405">
        <v>4123</v>
      </c>
      <c r="B349" s="406">
        <v>4123</v>
      </c>
      <c r="C349" s="261" t="str">
        <f t="shared" si="58"/>
        <v>0004-0028</v>
      </c>
      <c r="D349" s="261" t="str">
        <f t="shared" si="59"/>
        <v>0004-0028-0006</v>
      </c>
      <c r="E349" s="407" t="s">
        <v>751</v>
      </c>
      <c r="F349" s="261" t="str">
        <f>TEXT(VLOOKUP(J349,'[3]1'!$B$2:$D$37,2,0),"0000")</f>
        <v>0004</v>
      </c>
      <c r="G349" s="261" t="str">
        <f t="shared" si="60"/>
        <v>0028</v>
      </c>
      <c r="H349" s="408">
        <f t="shared" si="61"/>
        <v>6</v>
      </c>
      <c r="I349" s="407" t="s">
        <v>751</v>
      </c>
      <c r="J349" s="258" t="s">
        <v>646</v>
      </c>
      <c r="K349" s="258" t="s">
        <v>2737</v>
      </c>
      <c r="L349" s="258" t="s">
        <v>2407</v>
      </c>
      <c r="M349" s="409">
        <v>10180000</v>
      </c>
      <c r="N349" s="258">
        <v>796</v>
      </c>
      <c r="O349" s="258" t="s">
        <v>2137</v>
      </c>
      <c r="P349" s="258" t="s">
        <v>73</v>
      </c>
      <c r="Q349" s="258" t="s">
        <v>88</v>
      </c>
      <c r="R349" s="258">
        <v>5</v>
      </c>
      <c r="S349" s="410">
        <v>20</v>
      </c>
      <c r="T349" s="261">
        <v>6</v>
      </c>
      <c r="U349" s="261">
        <v>6</v>
      </c>
      <c r="V349" s="258" t="s">
        <v>71</v>
      </c>
      <c r="W349" s="261" t="str">
        <f t="shared" si="63"/>
        <v>한국지엠/쉐보레 코리아라보뉴라보 특장차 내장탑차 롱카고 M/T10180000</v>
      </c>
      <c r="X349" s="411">
        <f t="shared" si="64"/>
        <v>4123</v>
      </c>
      <c r="Y349" s="261">
        <v>6</v>
      </c>
      <c r="Z349" s="261">
        <v>6</v>
      </c>
      <c r="AA349" s="407" t="s">
        <v>751</v>
      </c>
      <c r="AB349" s="258" t="s">
        <v>73</v>
      </c>
      <c r="AC349" s="258"/>
      <c r="AD349" s="258" t="s">
        <v>2135</v>
      </c>
      <c r="AE349" s="258" t="s">
        <v>2129</v>
      </c>
      <c r="AF349" s="259"/>
      <c r="AG349" s="260"/>
      <c r="AH349" s="259"/>
      <c r="AI349" s="259"/>
      <c r="AJ349" s="260"/>
      <c r="AK349" s="259">
        <v>26</v>
      </c>
      <c r="AL349" s="259"/>
      <c r="AM349" s="259" t="s">
        <v>3234</v>
      </c>
      <c r="AN349" s="449"/>
      <c r="AO349" s="449"/>
      <c r="AP349" s="449"/>
      <c r="AQ349" s="392" t="str">
        <f>IFERROR(VLOOKUP(BG349,#REF!,1,0),"")</f>
        <v/>
      </c>
      <c r="AS349" s="259" t="s">
        <v>3234</v>
      </c>
      <c r="BD349" s="202" t="str">
        <f t="shared" si="56"/>
        <v>라보뉴라보 특장차 내장탑차 롱카고 M/T</v>
      </c>
      <c r="BE349" s="261" t="str">
        <f t="shared" si="62"/>
        <v>0028</v>
      </c>
      <c r="BF349" s="407" t="s">
        <v>751</v>
      </c>
      <c r="BG349" s="202" t="str">
        <f t="shared" si="57"/>
        <v>0028-0348</v>
      </c>
    </row>
    <row r="350" spans="1:59">
      <c r="A350" s="405">
        <v>4124</v>
      </c>
      <c r="B350" s="406">
        <v>4124</v>
      </c>
      <c r="C350" s="261" t="str">
        <f t="shared" si="58"/>
        <v>0004-0028</v>
      </c>
      <c r="D350" s="261" t="str">
        <f t="shared" si="59"/>
        <v>0004-0028-0007</v>
      </c>
      <c r="E350" s="407" t="s">
        <v>750</v>
      </c>
      <c r="F350" s="261" t="str">
        <f>TEXT(VLOOKUP(J350,'[3]1'!$B$2:$D$37,2,0),"0000")</f>
        <v>0004</v>
      </c>
      <c r="G350" s="261" t="str">
        <f t="shared" si="60"/>
        <v>0028</v>
      </c>
      <c r="H350" s="408">
        <f t="shared" si="61"/>
        <v>7</v>
      </c>
      <c r="I350" s="407" t="s">
        <v>750</v>
      </c>
      <c r="J350" s="258" t="s">
        <v>646</v>
      </c>
      <c r="K350" s="258" t="s">
        <v>2737</v>
      </c>
      <c r="L350" s="258" t="s">
        <v>2408</v>
      </c>
      <c r="M350" s="409">
        <v>10530000</v>
      </c>
      <c r="N350" s="258">
        <v>796</v>
      </c>
      <c r="O350" s="258" t="s">
        <v>2137</v>
      </c>
      <c r="P350" s="258" t="s">
        <v>73</v>
      </c>
      <c r="Q350" s="258" t="s">
        <v>88</v>
      </c>
      <c r="R350" s="258" t="e">
        <v>#N/A</v>
      </c>
      <c r="S350" s="410">
        <v>20</v>
      </c>
      <c r="T350" s="261">
        <v>6</v>
      </c>
      <c r="U350" s="261">
        <v>6</v>
      </c>
      <c r="V350" s="258" t="s">
        <v>3993</v>
      </c>
      <c r="W350" s="261" t="str">
        <f t="shared" si="63"/>
        <v>한국지엠/쉐보레 코리아라보뉴라보 특장차 탑차 롱카고  M/T10530000</v>
      </c>
      <c r="X350" s="411">
        <f t="shared" si="64"/>
        <v>4124</v>
      </c>
      <c r="Y350" s="261">
        <v>6</v>
      </c>
      <c r="Z350" s="261">
        <v>6</v>
      </c>
      <c r="AA350" s="407" t="s">
        <v>750</v>
      </c>
      <c r="AB350" s="258" t="e">
        <v>#N/A</v>
      </c>
      <c r="AC350" s="258"/>
      <c r="AD350" s="258" t="s">
        <v>2135</v>
      </c>
      <c r="AE350" s="258" t="s">
        <v>2129</v>
      </c>
      <c r="AF350" s="259"/>
      <c r="AG350" s="260"/>
      <c r="AH350" s="259"/>
      <c r="AI350" s="259"/>
      <c r="AJ350" s="260"/>
      <c r="AK350" s="259">
        <v>26</v>
      </c>
      <c r="AL350" s="259"/>
      <c r="AM350" s="259" t="s">
        <v>3234</v>
      </c>
      <c r="AN350" s="449"/>
      <c r="AO350" s="449"/>
      <c r="AP350" s="449"/>
      <c r="AQ350" s="392" t="str">
        <f>IFERROR(VLOOKUP(BG350,#REF!,1,0),"")</f>
        <v/>
      </c>
      <c r="AS350" s="259" t="s">
        <v>3234</v>
      </c>
      <c r="BD350" s="202" t="str">
        <f t="shared" si="56"/>
        <v>라보뉴라보 특장차 탑차 롱카고  M/T</v>
      </c>
      <c r="BE350" s="261" t="str">
        <f t="shared" si="62"/>
        <v>0028</v>
      </c>
      <c r="BF350" s="407" t="s">
        <v>750</v>
      </c>
      <c r="BG350" s="202" t="str">
        <f t="shared" si="57"/>
        <v>0028-0349</v>
      </c>
    </row>
    <row r="351" spans="1:59">
      <c r="A351" s="405">
        <v>4125</v>
      </c>
      <c r="B351" s="406">
        <v>4125</v>
      </c>
      <c r="C351" s="261" t="str">
        <f t="shared" si="58"/>
        <v>0004-0028</v>
      </c>
      <c r="D351" s="261" t="str">
        <f t="shared" si="59"/>
        <v>0004-0028-0008</v>
      </c>
      <c r="E351" s="407" t="s">
        <v>749</v>
      </c>
      <c r="F351" s="261" t="str">
        <f>TEXT(VLOOKUP(J351,'[3]1'!$B$2:$D$37,2,0),"0000")</f>
        <v>0004</v>
      </c>
      <c r="G351" s="261" t="str">
        <f t="shared" si="60"/>
        <v>0028</v>
      </c>
      <c r="H351" s="408">
        <f t="shared" si="61"/>
        <v>8</v>
      </c>
      <c r="I351" s="407" t="s">
        <v>749</v>
      </c>
      <c r="J351" s="258" t="s">
        <v>646</v>
      </c>
      <c r="K351" s="258" t="s">
        <v>2737</v>
      </c>
      <c r="L351" s="258" t="s">
        <v>2409</v>
      </c>
      <c r="M351" s="409">
        <v>10930000</v>
      </c>
      <c r="N351" s="258">
        <v>796</v>
      </c>
      <c r="O351" s="258" t="s">
        <v>2137</v>
      </c>
      <c r="P351" s="258" t="s">
        <v>73</v>
      </c>
      <c r="Q351" s="258" t="s">
        <v>88</v>
      </c>
      <c r="R351" s="258">
        <v>5</v>
      </c>
      <c r="S351" s="410">
        <v>20</v>
      </c>
      <c r="T351" s="261">
        <v>6</v>
      </c>
      <c r="U351" s="261">
        <v>6</v>
      </c>
      <c r="V351" s="258" t="s">
        <v>71</v>
      </c>
      <c r="W351" s="261" t="str">
        <f t="shared" si="63"/>
        <v>한국지엠/쉐보레 코리아라보뉴라보 특장차 접이식탑차 롱카고 M/T10930000</v>
      </c>
      <c r="X351" s="411">
        <f t="shared" si="64"/>
        <v>4125</v>
      </c>
      <c r="Y351" s="261">
        <v>6</v>
      </c>
      <c r="Z351" s="261">
        <v>6</v>
      </c>
      <c r="AA351" s="407" t="s">
        <v>749</v>
      </c>
      <c r="AB351" s="258" t="s">
        <v>73</v>
      </c>
      <c r="AC351" s="258"/>
      <c r="AD351" s="258" t="s">
        <v>2135</v>
      </c>
      <c r="AE351" s="258" t="s">
        <v>2129</v>
      </c>
      <c r="AF351" s="259"/>
      <c r="AG351" s="260"/>
      <c r="AH351" s="259"/>
      <c r="AI351" s="259"/>
      <c r="AJ351" s="260"/>
      <c r="AK351" s="259">
        <v>26</v>
      </c>
      <c r="AL351" s="259"/>
      <c r="AM351" s="259" t="s">
        <v>3234</v>
      </c>
      <c r="AN351" s="449"/>
      <c r="AO351" s="449"/>
      <c r="AP351" s="449"/>
      <c r="AQ351" s="392" t="str">
        <f>IFERROR(VLOOKUP(BG351,#REF!,1,0),"")</f>
        <v/>
      </c>
      <c r="AS351" s="259" t="s">
        <v>3234</v>
      </c>
      <c r="BD351" s="202" t="str">
        <f t="shared" si="56"/>
        <v>라보뉴라보 특장차 접이식탑차 롱카고 M/T</v>
      </c>
      <c r="BE351" s="261" t="str">
        <f t="shared" si="62"/>
        <v>0028</v>
      </c>
      <c r="BF351" s="407" t="s">
        <v>749</v>
      </c>
      <c r="BG351" s="202" t="str">
        <f t="shared" si="57"/>
        <v>0028-0350</v>
      </c>
    </row>
    <row r="352" spans="1:59">
      <c r="A352" s="405">
        <v>4126</v>
      </c>
      <c r="B352" s="406">
        <v>4126</v>
      </c>
      <c r="C352" s="261" t="str">
        <f t="shared" si="58"/>
        <v>0004-0029</v>
      </c>
      <c r="D352" s="261" t="str">
        <f t="shared" si="59"/>
        <v>0004-0029-0001</v>
      </c>
      <c r="E352" s="407" t="s">
        <v>748</v>
      </c>
      <c r="F352" s="261" t="str">
        <f>TEXT(VLOOKUP(J352,'[3]1'!$B$2:$D$37,2,0),"0000")</f>
        <v>0004</v>
      </c>
      <c r="G352" s="261" t="str">
        <f t="shared" si="60"/>
        <v>0029</v>
      </c>
      <c r="H352" s="408">
        <f t="shared" si="61"/>
        <v>1</v>
      </c>
      <c r="I352" s="407" t="s">
        <v>748</v>
      </c>
      <c r="J352" s="258" t="s">
        <v>646</v>
      </c>
      <c r="K352" s="258" t="s">
        <v>2738</v>
      </c>
      <c r="L352" s="258" t="s">
        <v>2410</v>
      </c>
      <c r="M352" s="409">
        <v>29360000</v>
      </c>
      <c r="N352" s="258">
        <v>1598</v>
      </c>
      <c r="O352" s="258" t="s">
        <v>78</v>
      </c>
      <c r="P352" s="258" t="s">
        <v>73</v>
      </c>
      <c r="Q352" s="258" t="s">
        <v>72</v>
      </c>
      <c r="R352" s="258">
        <v>5</v>
      </c>
      <c r="S352" s="410">
        <v>9</v>
      </c>
      <c r="T352" s="261">
        <v>6</v>
      </c>
      <c r="U352" s="261">
        <v>6</v>
      </c>
      <c r="V352" s="258" t="s">
        <v>71</v>
      </c>
      <c r="W352" s="261" t="str">
        <f t="shared" si="63"/>
        <v>한국지엠/쉐보레 코리아말리부1.6 디젤 LT29360000</v>
      </c>
      <c r="X352" s="411">
        <f t="shared" si="64"/>
        <v>4126</v>
      </c>
      <c r="Y352" s="261">
        <v>6</v>
      </c>
      <c r="Z352" s="261">
        <v>6</v>
      </c>
      <c r="AA352" s="407" t="s">
        <v>748</v>
      </c>
      <c r="AB352" s="258" t="s">
        <v>73</v>
      </c>
      <c r="AC352" s="258"/>
      <c r="AD352" s="258" t="s">
        <v>2131</v>
      </c>
      <c r="AE352" s="258" t="s">
        <v>2129</v>
      </c>
      <c r="AF352" s="259"/>
      <c r="AG352" s="260"/>
      <c r="AH352" s="259"/>
      <c r="AI352" s="259"/>
      <c r="AJ352" s="260"/>
      <c r="AK352" s="259">
        <v>26</v>
      </c>
      <c r="AL352" s="259"/>
      <c r="AM352" s="259" t="s">
        <v>3222</v>
      </c>
      <c r="AN352" s="449"/>
      <c r="AO352" s="449"/>
      <c r="AP352" s="449"/>
      <c r="AQ352" s="392" t="str">
        <f>IFERROR(VLOOKUP(BG352,#REF!,1,0),"")</f>
        <v/>
      </c>
      <c r="AS352" s="259" t="s">
        <v>3222</v>
      </c>
      <c r="BD352" s="202" t="str">
        <f t="shared" si="56"/>
        <v>말리부1.6 디젤 LT</v>
      </c>
      <c r="BE352" s="261" t="str">
        <f t="shared" si="62"/>
        <v>0029</v>
      </c>
      <c r="BF352" s="407" t="s">
        <v>748</v>
      </c>
      <c r="BG352" s="202" t="str">
        <f t="shared" si="57"/>
        <v>0029-0351</v>
      </c>
    </row>
    <row r="353" spans="1:60">
      <c r="A353" s="405">
        <v>4127</v>
      </c>
      <c r="B353" s="406">
        <v>4127</v>
      </c>
      <c r="C353" s="261" t="str">
        <f t="shared" si="58"/>
        <v>0004-0029</v>
      </c>
      <c r="D353" s="261" t="str">
        <f t="shared" si="59"/>
        <v>0004-0029-0002</v>
      </c>
      <c r="E353" s="407" t="s">
        <v>747</v>
      </c>
      <c r="F353" s="261" t="str">
        <f>TEXT(VLOOKUP(J353,'[3]1'!$B$2:$D$37,2,0),"0000")</f>
        <v>0004</v>
      </c>
      <c r="G353" s="261" t="str">
        <f t="shared" si="60"/>
        <v>0029</v>
      </c>
      <c r="H353" s="408">
        <f t="shared" si="61"/>
        <v>2</v>
      </c>
      <c r="I353" s="407" t="s">
        <v>747</v>
      </c>
      <c r="J353" s="258" t="s">
        <v>646</v>
      </c>
      <c r="K353" s="258" t="s">
        <v>2738</v>
      </c>
      <c r="L353" s="258" t="s">
        <v>2411</v>
      </c>
      <c r="M353" s="409">
        <v>31950000</v>
      </c>
      <c r="N353" s="258">
        <v>1598</v>
      </c>
      <c r="O353" s="258" t="s">
        <v>78</v>
      </c>
      <c r="P353" s="258" t="s">
        <v>73</v>
      </c>
      <c r="Q353" s="258" t="s">
        <v>72</v>
      </c>
      <c r="R353" s="258">
        <v>5</v>
      </c>
      <c r="S353" s="410">
        <v>9</v>
      </c>
      <c r="T353" s="261">
        <v>6</v>
      </c>
      <c r="U353" s="261">
        <v>6</v>
      </c>
      <c r="V353" s="258" t="s">
        <v>3331</v>
      </c>
      <c r="W353" s="261" t="str">
        <f t="shared" si="63"/>
        <v>한국지엠/쉐보레 코리아말리부1.6 디젤 LT 프리미엄31950000</v>
      </c>
      <c r="X353" s="411">
        <f t="shared" si="64"/>
        <v>4127</v>
      </c>
      <c r="Y353" s="261">
        <v>6</v>
      </c>
      <c r="Z353" s="261">
        <v>6</v>
      </c>
      <c r="AA353" s="407" t="s">
        <v>747</v>
      </c>
      <c r="AB353" s="258" t="s">
        <v>3332</v>
      </c>
      <c r="AC353" s="258"/>
      <c r="AD353" s="258" t="s">
        <v>2131</v>
      </c>
      <c r="AE353" s="258" t="s">
        <v>2129</v>
      </c>
      <c r="AF353" s="259"/>
      <c r="AG353" s="260"/>
      <c r="AH353" s="259"/>
      <c r="AI353" s="259"/>
      <c r="AJ353" s="260"/>
      <c r="AK353" s="259">
        <v>26</v>
      </c>
      <c r="AL353" s="259"/>
      <c r="AM353" s="259" t="s">
        <v>3222</v>
      </c>
      <c r="AN353" s="449"/>
      <c r="AO353" s="449"/>
      <c r="AP353" s="449"/>
      <c r="AQ353" s="392" t="str">
        <f>IFERROR(VLOOKUP(BG353,#REF!,1,0),"")</f>
        <v/>
      </c>
      <c r="AS353" s="259" t="s">
        <v>3222</v>
      </c>
      <c r="BD353" s="202" t="str">
        <f t="shared" si="56"/>
        <v>말리부1.6 디젤 LT 프리미엄</v>
      </c>
      <c r="BE353" s="261" t="str">
        <f t="shared" si="62"/>
        <v>0029</v>
      </c>
      <c r="BF353" s="407" t="s">
        <v>747</v>
      </c>
      <c r="BG353" s="202" t="str">
        <f t="shared" si="57"/>
        <v>0029-0352</v>
      </c>
    </row>
    <row r="354" spans="1:60">
      <c r="A354" s="405">
        <v>4128</v>
      </c>
      <c r="B354" s="406">
        <v>4128</v>
      </c>
      <c r="C354" s="261" t="str">
        <f t="shared" si="58"/>
        <v>0004-0029</v>
      </c>
      <c r="D354" s="261" t="str">
        <f t="shared" si="59"/>
        <v>0004-0029-0003</v>
      </c>
      <c r="E354" s="407" t="s">
        <v>746</v>
      </c>
      <c r="F354" s="261" t="str">
        <f>TEXT(VLOOKUP(J354,'[3]1'!$B$2:$D$37,2,0),"0000")</f>
        <v>0004</v>
      </c>
      <c r="G354" s="261" t="str">
        <f t="shared" si="60"/>
        <v>0029</v>
      </c>
      <c r="H354" s="408">
        <f t="shared" si="61"/>
        <v>3</v>
      </c>
      <c r="I354" s="407" t="s">
        <v>746</v>
      </c>
      <c r="J354" s="258" t="s">
        <v>646</v>
      </c>
      <c r="K354" s="258" t="s">
        <v>2738</v>
      </c>
      <c r="L354" s="258" t="s">
        <v>2412</v>
      </c>
      <c r="M354" s="409">
        <v>22560000</v>
      </c>
      <c r="N354" s="258">
        <v>1490</v>
      </c>
      <c r="O354" s="258" t="s">
        <v>77</v>
      </c>
      <c r="P354" s="258" t="s">
        <v>73</v>
      </c>
      <c r="Q354" s="258" t="s">
        <v>72</v>
      </c>
      <c r="R354" s="258">
        <v>5</v>
      </c>
      <c r="S354" s="410">
        <v>9</v>
      </c>
      <c r="T354" s="261">
        <v>6</v>
      </c>
      <c r="U354" s="261">
        <v>6</v>
      </c>
      <c r="V354" s="258" t="s">
        <v>3331</v>
      </c>
      <c r="W354" s="261" t="str">
        <f t="shared" si="63"/>
        <v>한국지엠/쉐보레 코리아말리부1.5 E-TURBO LS22560000</v>
      </c>
      <c r="X354" s="411">
        <f t="shared" si="64"/>
        <v>4128</v>
      </c>
      <c r="Y354" s="261">
        <v>6</v>
      </c>
      <c r="Z354" s="261">
        <v>6</v>
      </c>
      <c r="AA354" s="407" t="s">
        <v>746</v>
      </c>
      <c r="AB354" s="258" t="s">
        <v>3332</v>
      </c>
      <c r="AC354" s="258"/>
      <c r="AD354" s="258" t="s">
        <v>2135</v>
      </c>
      <c r="AE354" s="258" t="s">
        <v>2129</v>
      </c>
      <c r="AF354" s="259"/>
      <c r="AG354" s="260"/>
      <c r="AH354" s="259"/>
      <c r="AI354" s="259"/>
      <c r="AJ354" s="260"/>
      <c r="AK354" s="259">
        <v>26</v>
      </c>
      <c r="AL354" s="259"/>
      <c r="AM354" s="259" t="s">
        <v>3222</v>
      </c>
      <c r="AN354" s="449"/>
      <c r="AO354" s="449"/>
      <c r="AP354" s="449"/>
      <c r="AQ354" s="392" t="str">
        <f>IFERROR(VLOOKUP(BG354,#REF!,1,0),"")</f>
        <v/>
      </c>
      <c r="AS354" s="259" t="s">
        <v>3222</v>
      </c>
      <c r="BD354" s="202" t="str">
        <f t="shared" si="56"/>
        <v>말리부1.5 E-TURBO LS</v>
      </c>
      <c r="BE354" s="261" t="str">
        <f t="shared" si="62"/>
        <v>0029</v>
      </c>
      <c r="BF354" s="407" t="s">
        <v>746</v>
      </c>
      <c r="BG354" s="202" t="str">
        <f t="shared" si="57"/>
        <v>0029-0353</v>
      </c>
    </row>
    <row r="355" spans="1:60">
      <c r="A355" s="405">
        <v>4129</v>
      </c>
      <c r="B355" s="406">
        <v>4129</v>
      </c>
      <c r="C355" s="261" t="str">
        <f t="shared" si="58"/>
        <v>0004-0029</v>
      </c>
      <c r="D355" s="261" t="str">
        <f t="shared" si="59"/>
        <v>0004-0029-0004</v>
      </c>
      <c r="E355" s="407" t="s">
        <v>745</v>
      </c>
      <c r="F355" s="261" t="str">
        <f>TEXT(VLOOKUP(J355,'[3]1'!$B$2:$D$37,2,0),"0000")</f>
        <v>0004</v>
      </c>
      <c r="G355" s="261" t="str">
        <f t="shared" si="60"/>
        <v>0029</v>
      </c>
      <c r="H355" s="408">
        <f t="shared" si="61"/>
        <v>4</v>
      </c>
      <c r="I355" s="407" t="s">
        <v>745</v>
      </c>
      <c r="J355" s="258" t="s">
        <v>646</v>
      </c>
      <c r="K355" s="258" t="s">
        <v>2738</v>
      </c>
      <c r="L355" s="258" t="s">
        <v>2413</v>
      </c>
      <c r="M355" s="409">
        <v>30220000</v>
      </c>
      <c r="N355" s="258">
        <v>1998</v>
      </c>
      <c r="O355" s="258" t="s">
        <v>77</v>
      </c>
      <c r="P355" s="258" t="s">
        <v>73</v>
      </c>
      <c r="Q355" s="258" t="s">
        <v>72</v>
      </c>
      <c r="R355" s="258">
        <v>5</v>
      </c>
      <c r="S355" s="410">
        <v>9</v>
      </c>
      <c r="T355" s="261">
        <v>6</v>
      </c>
      <c r="U355" s="261">
        <v>6</v>
      </c>
      <c r="V355" s="258" t="s">
        <v>71</v>
      </c>
      <c r="W355" s="261" t="str">
        <f t="shared" si="63"/>
        <v>한국지엠/쉐보레 코리아말리부2.0 TURBO[가솔린] LT 스페셜30220000</v>
      </c>
      <c r="X355" s="411">
        <f t="shared" si="64"/>
        <v>4129</v>
      </c>
      <c r="Y355" s="261">
        <v>6</v>
      </c>
      <c r="Z355" s="261">
        <v>6</v>
      </c>
      <c r="AA355" s="407" t="s">
        <v>745</v>
      </c>
      <c r="AB355" s="258" t="s">
        <v>73</v>
      </c>
      <c r="AC355" s="258"/>
      <c r="AD355" s="258" t="s">
        <v>2135</v>
      </c>
      <c r="AE355" s="258" t="s">
        <v>2129</v>
      </c>
      <c r="AF355" s="259"/>
      <c r="AG355" s="260"/>
      <c r="AH355" s="259"/>
      <c r="AI355" s="259"/>
      <c r="AJ355" s="260"/>
      <c r="AK355" s="259">
        <v>26</v>
      </c>
      <c r="AL355" s="259"/>
      <c r="AM355" s="259" t="s">
        <v>3222</v>
      </c>
      <c r="AN355" s="449"/>
      <c r="AO355" s="449"/>
      <c r="AP355" s="449"/>
      <c r="AQ355" s="392" t="str">
        <f>IFERROR(VLOOKUP(BG355,#REF!,1,0),"")</f>
        <v/>
      </c>
      <c r="AS355" s="259" t="s">
        <v>3222</v>
      </c>
      <c r="BD355" s="202" t="str">
        <f t="shared" si="56"/>
        <v>말리부2.0 TURBO[가솔린] LT 스페셜</v>
      </c>
      <c r="BE355" s="261" t="str">
        <f t="shared" si="62"/>
        <v>0029</v>
      </c>
      <c r="BF355" s="407" t="s">
        <v>745</v>
      </c>
      <c r="BG355" s="202" t="str">
        <f t="shared" si="57"/>
        <v>0029-0354</v>
      </c>
    </row>
    <row r="356" spans="1:60">
      <c r="A356" s="405">
        <v>4130</v>
      </c>
      <c r="B356" s="406">
        <v>4130</v>
      </c>
      <c r="C356" s="261" t="str">
        <f t="shared" si="58"/>
        <v>0004-0029</v>
      </c>
      <c r="D356" s="261" t="str">
        <f t="shared" si="59"/>
        <v>0004-0029-0005</v>
      </c>
      <c r="E356" s="407" t="s">
        <v>744</v>
      </c>
      <c r="F356" s="261" t="str">
        <f>TEXT(VLOOKUP(J356,'[3]1'!$B$2:$D$37,2,0),"0000")</f>
        <v>0004</v>
      </c>
      <c r="G356" s="261" t="str">
        <f t="shared" si="60"/>
        <v>0029</v>
      </c>
      <c r="H356" s="408">
        <f t="shared" si="61"/>
        <v>5</v>
      </c>
      <c r="I356" s="407" t="s">
        <v>744</v>
      </c>
      <c r="J356" s="258" t="s">
        <v>646</v>
      </c>
      <c r="K356" s="258" t="s">
        <v>2738</v>
      </c>
      <c r="L356" s="258" t="s">
        <v>2414</v>
      </c>
      <c r="M356" s="409">
        <v>29310000</v>
      </c>
      <c r="N356" s="258">
        <v>1998</v>
      </c>
      <c r="O356" s="258" t="s">
        <v>77</v>
      </c>
      <c r="P356" s="258" t="s">
        <v>73</v>
      </c>
      <c r="Q356" s="258" t="s">
        <v>72</v>
      </c>
      <c r="R356" s="258">
        <v>5</v>
      </c>
      <c r="S356" s="410">
        <v>9</v>
      </c>
      <c r="T356" s="261">
        <v>6</v>
      </c>
      <c r="U356" s="261">
        <v>6</v>
      </c>
      <c r="V356" s="258" t="s">
        <v>3331</v>
      </c>
      <c r="W356" s="261" t="str">
        <f t="shared" si="63"/>
        <v>한국지엠/쉐보레 코리아말리부2.0 터보 퍼펙트블랙29310000</v>
      </c>
      <c r="X356" s="411">
        <f t="shared" si="64"/>
        <v>4130</v>
      </c>
      <c r="Y356" s="261">
        <v>6</v>
      </c>
      <c r="Z356" s="261">
        <v>6</v>
      </c>
      <c r="AA356" s="407" t="s">
        <v>744</v>
      </c>
      <c r="AB356" s="258" t="s">
        <v>3332</v>
      </c>
      <c r="AC356" s="258"/>
      <c r="AD356" s="258" t="s">
        <v>2135</v>
      </c>
      <c r="AE356" s="258" t="s">
        <v>2129</v>
      </c>
      <c r="AF356" s="259"/>
      <c r="AG356" s="260"/>
      <c r="AH356" s="259"/>
      <c r="AI356" s="259"/>
      <c r="AJ356" s="260"/>
      <c r="AK356" s="259">
        <v>26</v>
      </c>
      <c r="AL356" s="259"/>
      <c r="AM356" s="259" t="s">
        <v>3222</v>
      </c>
      <c r="AN356" s="449"/>
      <c r="AO356" s="449"/>
      <c r="AP356" s="449"/>
      <c r="AQ356" s="392" t="str">
        <f>IFERROR(VLOOKUP(BG356,#REF!,1,0),"")</f>
        <v/>
      </c>
      <c r="AS356" s="259" t="s">
        <v>3222</v>
      </c>
      <c r="BD356" s="202" t="str">
        <f t="shared" si="56"/>
        <v>말리부2.0 터보 퍼펙트블랙</v>
      </c>
      <c r="BE356" s="261" t="str">
        <f t="shared" si="62"/>
        <v>0029</v>
      </c>
      <c r="BF356" s="407" t="s">
        <v>744</v>
      </c>
      <c r="BG356" s="202" t="str">
        <f t="shared" si="57"/>
        <v>0029-0355</v>
      </c>
    </row>
    <row r="357" spans="1:60">
      <c r="A357" s="405">
        <v>4131</v>
      </c>
      <c r="B357" s="406">
        <v>4131</v>
      </c>
      <c r="C357" s="261" t="str">
        <f t="shared" si="58"/>
        <v>0004-0029</v>
      </c>
      <c r="D357" s="261" t="str">
        <f t="shared" si="59"/>
        <v>0004-0029-0006</v>
      </c>
      <c r="E357" s="407" t="s">
        <v>743</v>
      </c>
      <c r="F357" s="261" t="str">
        <f>TEXT(VLOOKUP(J357,'[3]1'!$B$2:$D$37,2,0),"0000")</f>
        <v>0004</v>
      </c>
      <c r="G357" s="261" t="str">
        <f t="shared" si="60"/>
        <v>0029</v>
      </c>
      <c r="H357" s="408">
        <f t="shared" si="61"/>
        <v>6</v>
      </c>
      <c r="I357" s="407" t="s">
        <v>743</v>
      </c>
      <c r="J357" s="258" t="s">
        <v>646</v>
      </c>
      <c r="K357" s="258" t="s">
        <v>2738</v>
      </c>
      <c r="L357" s="258" t="s">
        <v>2415</v>
      </c>
      <c r="M357" s="409">
        <v>28450000</v>
      </c>
      <c r="N357" s="258">
        <v>1341</v>
      </c>
      <c r="O357" s="258" t="s">
        <v>77</v>
      </c>
      <c r="P357" s="258" t="s">
        <v>73</v>
      </c>
      <c r="Q357" s="258" t="s">
        <v>72</v>
      </c>
      <c r="R357" s="258">
        <v>5</v>
      </c>
      <c r="S357" s="410">
        <v>9</v>
      </c>
      <c r="T357" s="261">
        <v>6</v>
      </c>
      <c r="U357" s="261">
        <v>6</v>
      </c>
      <c r="V357" s="258" t="s">
        <v>3331</v>
      </c>
      <c r="W357" s="261" t="str">
        <f t="shared" si="63"/>
        <v>한국지엠/쉐보레 코리아말리부E-TURBO Premier28450000</v>
      </c>
      <c r="X357" s="411">
        <f t="shared" si="64"/>
        <v>4131</v>
      </c>
      <c r="Y357" s="261">
        <v>6</v>
      </c>
      <c r="Z357" s="261">
        <v>6</v>
      </c>
      <c r="AA357" s="407" t="s">
        <v>743</v>
      </c>
      <c r="AB357" s="258" t="s">
        <v>3332</v>
      </c>
      <c r="AC357" s="258"/>
      <c r="AD357" s="258" t="s">
        <v>2135</v>
      </c>
      <c r="AE357" s="258" t="s">
        <v>2129</v>
      </c>
      <c r="AF357" s="259"/>
      <c r="AG357" s="260"/>
      <c r="AH357" s="259"/>
      <c r="AI357" s="259"/>
      <c r="AJ357" s="260"/>
      <c r="AK357" s="259">
        <v>26</v>
      </c>
      <c r="AL357" s="259"/>
      <c r="AM357" s="259" t="s">
        <v>3222</v>
      </c>
      <c r="AN357" s="449"/>
      <c r="AO357" s="449"/>
      <c r="AP357" s="449"/>
      <c r="AQ357" s="392" t="str">
        <f>IFERROR(VLOOKUP(BG357,#REF!,1,0),"")</f>
        <v/>
      </c>
      <c r="AS357" s="259" t="s">
        <v>3222</v>
      </c>
      <c r="BD357" s="202" t="str">
        <f t="shared" si="56"/>
        <v>말리부E-TURBO Premier</v>
      </c>
      <c r="BE357" s="261" t="str">
        <f t="shared" si="62"/>
        <v>0029</v>
      </c>
      <c r="BF357" s="407" t="s">
        <v>743</v>
      </c>
      <c r="BG357" s="202" t="str">
        <f t="shared" si="57"/>
        <v>0029-0356</v>
      </c>
    </row>
    <row r="358" spans="1:60" s="207" customFormat="1">
      <c r="A358" s="405">
        <v>4132</v>
      </c>
      <c r="B358" s="406">
        <v>4132</v>
      </c>
      <c r="C358" s="261" t="str">
        <f t="shared" si="58"/>
        <v>0004-0029</v>
      </c>
      <c r="D358" s="261" t="str">
        <f t="shared" si="59"/>
        <v>0004-0029-0007</v>
      </c>
      <c r="E358" s="407" t="s">
        <v>742</v>
      </c>
      <c r="F358" s="261" t="str">
        <f>TEXT(VLOOKUP(J358,'[3]1'!$B$2:$D$37,2,0),"0000")</f>
        <v>0004</v>
      </c>
      <c r="G358" s="261" t="str">
        <f t="shared" si="60"/>
        <v>0029</v>
      </c>
      <c r="H358" s="408">
        <f t="shared" si="61"/>
        <v>7</v>
      </c>
      <c r="I358" s="407" t="s">
        <v>742</v>
      </c>
      <c r="J358" s="258" t="s">
        <v>646</v>
      </c>
      <c r="K358" s="258" t="s">
        <v>2738</v>
      </c>
      <c r="L358" s="258" t="s">
        <v>2416</v>
      </c>
      <c r="M358" s="409">
        <v>23720000</v>
      </c>
      <c r="N358" s="258">
        <v>1490</v>
      </c>
      <c r="O358" s="258" t="s">
        <v>77</v>
      </c>
      <c r="P358" s="258" t="s">
        <v>73</v>
      </c>
      <c r="Q358" s="258" t="s">
        <v>72</v>
      </c>
      <c r="R358" s="258">
        <v>4</v>
      </c>
      <c r="S358" s="410">
        <v>9</v>
      </c>
      <c r="T358" s="261">
        <v>6</v>
      </c>
      <c r="U358" s="261">
        <v>6</v>
      </c>
      <c r="V358" s="258" t="s">
        <v>71</v>
      </c>
      <c r="W358" s="261" t="str">
        <f t="shared" si="63"/>
        <v>한국지엠/쉐보레 코리아말리부1.5 E-TURBO LS 디럭스23720000</v>
      </c>
      <c r="X358" s="411">
        <f t="shared" si="64"/>
        <v>4132</v>
      </c>
      <c r="Y358" s="261">
        <v>6</v>
      </c>
      <c r="Z358" s="261">
        <v>6</v>
      </c>
      <c r="AA358" s="407" t="s">
        <v>742</v>
      </c>
      <c r="AB358" s="258" t="s">
        <v>73</v>
      </c>
      <c r="AC358" s="258"/>
      <c r="AD358" s="258" t="s">
        <v>2135</v>
      </c>
      <c r="AE358" s="258" t="s">
        <v>2129</v>
      </c>
      <c r="AF358" s="259"/>
      <c r="AG358" s="260"/>
      <c r="AH358" s="259"/>
      <c r="AI358" s="259"/>
      <c r="AJ358" s="260"/>
      <c r="AK358" s="259">
        <v>26</v>
      </c>
      <c r="AL358" s="259"/>
      <c r="AM358" s="259" t="s">
        <v>3222</v>
      </c>
      <c r="AN358" s="449"/>
      <c r="AO358" s="449"/>
      <c r="AP358" s="449"/>
      <c r="AQ358" s="392" t="str">
        <f>IFERROR(VLOOKUP(BG358,#REF!,1,0),"")</f>
        <v/>
      </c>
      <c r="AR358" s="392"/>
      <c r="AS358" s="259" t="s">
        <v>3222</v>
      </c>
      <c r="AT358" s="392"/>
      <c r="AU358" s="392"/>
      <c r="AV358" s="392"/>
      <c r="AW358" s="392"/>
      <c r="AX358" s="392"/>
      <c r="AY358" s="392"/>
      <c r="BD358" s="202" t="str">
        <f t="shared" si="56"/>
        <v>말리부1.5 E-TURBO LS 디럭스</v>
      </c>
      <c r="BE358" s="261" t="str">
        <f t="shared" si="62"/>
        <v>0029</v>
      </c>
      <c r="BF358" s="407" t="s">
        <v>742</v>
      </c>
      <c r="BG358" s="202" t="str">
        <f t="shared" si="57"/>
        <v>0029-0357</v>
      </c>
      <c r="BH358" s="202"/>
    </row>
    <row r="359" spans="1:60" s="207" customFormat="1">
      <c r="A359" s="405">
        <v>4133</v>
      </c>
      <c r="B359" s="406">
        <v>4133</v>
      </c>
      <c r="C359" s="261" t="str">
        <f t="shared" si="58"/>
        <v>0004-0029</v>
      </c>
      <c r="D359" s="261" t="str">
        <f t="shared" si="59"/>
        <v>0004-0029-0008</v>
      </c>
      <c r="E359" s="407" t="s">
        <v>741</v>
      </c>
      <c r="F359" s="261" t="str">
        <f>TEXT(VLOOKUP(J359,'[3]1'!$B$2:$D$37,2,0),"0000")</f>
        <v>0004</v>
      </c>
      <c r="G359" s="261" t="str">
        <f t="shared" si="60"/>
        <v>0029</v>
      </c>
      <c r="H359" s="408">
        <f t="shared" si="61"/>
        <v>8</v>
      </c>
      <c r="I359" s="407" t="s">
        <v>741</v>
      </c>
      <c r="J359" s="258" t="s">
        <v>646</v>
      </c>
      <c r="K359" s="258" t="s">
        <v>2738</v>
      </c>
      <c r="L359" s="258" t="s">
        <v>2417</v>
      </c>
      <c r="M359" s="409">
        <v>29430000</v>
      </c>
      <c r="N359" s="258">
        <v>1998</v>
      </c>
      <c r="O359" s="258" t="s">
        <v>77</v>
      </c>
      <c r="P359" s="258" t="s">
        <v>73</v>
      </c>
      <c r="Q359" s="258" t="s">
        <v>72</v>
      </c>
      <c r="R359" s="258">
        <v>5</v>
      </c>
      <c r="S359" s="410">
        <v>9</v>
      </c>
      <c r="T359" s="261">
        <v>6</v>
      </c>
      <c r="U359" s="261">
        <v>6</v>
      </c>
      <c r="V359" s="258" t="s">
        <v>3331</v>
      </c>
      <c r="W359" s="261" t="str">
        <f t="shared" si="63"/>
        <v>한국지엠/쉐보레 코리아말리부2.0 터보 LT 프리미엄29430000</v>
      </c>
      <c r="X359" s="411">
        <f t="shared" si="64"/>
        <v>4133</v>
      </c>
      <c r="Y359" s="261">
        <v>6</v>
      </c>
      <c r="Z359" s="261">
        <v>6</v>
      </c>
      <c r="AA359" s="407" t="s">
        <v>741</v>
      </c>
      <c r="AB359" s="258" t="s">
        <v>3332</v>
      </c>
      <c r="AC359" s="258"/>
      <c r="AD359" s="258" t="s">
        <v>2135</v>
      </c>
      <c r="AE359" s="258" t="s">
        <v>2129</v>
      </c>
      <c r="AF359" s="259"/>
      <c r="AG359" s="260"/>
      <c r="AH359" s="259"/>
      <c r="AI359" s="259"/>
      <c r="AJ359" s="260"/>
      <c r="AK359" s="259">
        <v>26</v>
      </c>
      <c r="AL359" s="259"/>
      <c r="AM359" s="259" t="s">
        <v>3222</v>
      </c>
      <c r="AN359" s="449"/>
      <c r="AO359" s="449"/>
      <c r="AP359" s="449"/>
      <c r="AQ359" s="392" t="str">
        <f>IFERROR(VLOOKUP(BG359,#REF!,1,0),"")</f>
        <v/>
      </c>
      <c r="AR359" s="392"/>
      <c r="AS359" s="259" t="s">
        <v>3222</v>
      </c>
      <c r="AT359" s="392"/>
      <c r="AU359" s="392"/>
      <c r="AV359" s="392"/>
      <c r="AW359" s="392"/>
      <c r="AX359" s="392"/>
      <c r="AY359" s="392"/>
      <c r="BD359" s="202" t="str">
        <f t="shared" si="56"/>
        <v>말리부2.0 터보 LT 프리미엄</v>
      </c>
      <c r="BE359" s="261" t="str">
        <f t="shared" si="62"/>
        <v>0029</v>
      </c>
      <c r="BF359" s="407" t="s">
        <v>741</v>
      </c>
      <c r="BG359" s="202" t="str">
        <f t="shared" si="57"/>
        <v>0029-0358</v>
      </c>
      <c r="BH359" s="202"/>
    </row>
    <row r="360" spans="1:60" s="207" customFormat="1">
      <c r="A360" s="405">
        <v>4134</v>
      </c>
      <c r="B360" s="406">
        <v>4134</v>
      </c>
      <c r="C360" s="261" t="str">
        <f t="shared" si="58"/>
        <v>0004-0029</v>
      </c>
      <c r="D360" s="261" t="str">
        <f t="shared" si="59"/>
        <v>0004-0029-0009</v>
      </c>
      <c r="E360" s="407" t="s">
        <v>740</v>
      </c>
      <c r="F360" s="261" t="str">
        <f>TEXT(VLOOKUP(J360,'[3]1'!$B$2:$D$37,2,0),"0000")</f>
        <v>0004</v>
      </c>
      <c r="G360" s="261" t="str">
        <f t="shared" si="60"/>
        <v>0029</v>
      </c>
      <c r="H360" s="408">
        <f t="shared" si="61"/>
        <v>9</v>
      </c>
      <c r="I360" s="407" t="s">
        <v>740</v>
      </c>
      <c r="J360" s="258" t="s">
        <v>646</v>
      </c>
      <c r="K360" s="258" t="s">
        <v>2738</v>
      </c>
      <c r="L360" s="258" t="s">
        <v>2418</v>
      </c>
      <c r="M360" s="409">
        <v>27520000</v>
      </c>
      <c r="N360" s="258">
        <v>1490</v>
      </c>
      <c r="O360" s="258" t="s">
        <v>77</v>
      </c>
      <c r="P360" s="258" t="s">
        <v>73</v>
      </c>
      <c r="Q360" s="258" t="s">
        <v>72</v>
      </c>
      <c r="R360" s="258">
        <v>5</v>
      </c>
      <c r="S360" s="410">
        <v>9</v>
      </c>
      <c r="T360" s="261">
        <v>6</v>
      </c>
      <c r="U360" s="261">
        <v>6</v>
      </c>
      <c r="V360" s="258" t="s">
        <v>3331</v>
      </c>
      <c r="W360" s="261" t="str">
        <f t="shared" si="63"/>
        <v>한국지엠/쉐보레 코리아말리부1.5 E-TURBO LT 디럭스27520000</v>
      </c>
      <c r="X360" s="411">
        <f t="shared" si="64"/>
        <v>4134</v>
      </c>
      <c r="Y360" s="261">
        <v>6</v>
      </c>
      <c r="Z360" s="261">
        <v>6</v>
      </c>
      <c r="AA360" s="407" t="s">
        <v>740</v>
      </c>
      <c r="AB360" s="258" t="s">
        <v>3332</v>
      </c>
      <c r="AC360" s="258"/>
      <c r="AD360" s="258" t="s">
        <v>2135</v>
      </c>
      <c r="AE360" s="258" t="s">
        <v>2129</v>
      </c>
      <c r="AF360" s="259"/>
      <c r="AG360" s="260"/>
      <c r="AH360" s="259"/>
      <c r="AI360" s="259"/>
      <c r="AJ360" s="260"/>
      <c r="AK360" s="259">
        <v>26</v>
      </c>
      <c r="AL360" s="259"/>
      <c r="AM360" s="259" t="s">
        <v>3222</v>
      </c>
      <c r="AN360" s="449"/>
      <c r="AO360" s="449"/>
      <c r="AP360" s="449"/>
      <c r="AQ360" s="392" t="str">
        <f>IFERROR(VLOOKUP(BG360,#REF!,1,0),"")</f>
        <v/>
      </c>
      <c r="AR360" s="392"/>
      <c r="AS360" s="259" t="s">
        <v>3222</v>
      </c>
      <c r="AT360" s="392"/>
      <c r="AU360" s="392"/>
      <c r="AV360" s="392"/>
      <c r="AW360" s="392"/>
      <c r="AX360" s="392"/>
      <c r="AY360" s="392"/>
      <c r="BD360" s="202" t="str">
        <f t="shared" si="56"/>
        <v>말리부1.5 E-TURBO LT 디럭스</v>
      </c>
      <c r="BE360" s="261" t="str">
        <f t="shared" si="62"/>
        <v>0029</v>
      </c>
      <c r="BF360" s="407" t="s">
        <v>740</v>
      </c>
      <c r="BG360" s="202" t="str">
        <f t="shared" si="57"/>
        <v>0029-0359</v>
      </c>
      <c r="BH360" s="202"/>
    </row>
    <row r="361" spans="1:60" s="207" customFormat="1">
      <c r="A361" s="405">
        <v>4135</v>
      </c>
      <c r="B361" s="406">
        <v>4135</v>
      </c>
      <c r="C361" s="261" t="str">
        <f t="shared" si="58"/>
        <v>0004-0029</v>
      </c>
      <c r="D361" s="261" t="str">
        <f t="shared" si="59"/>
        <v>0004-0029-0010</v>
      </c>
      <c r="E361" s="407" t="s">
        <v>739</v>
      </c>
      <c r="F361" s="261" t="str">
        <f>TEXT(VLOOKUP(J361,'[3]1'!$B$2:$D$37,2,0),"0000")</f>
        <v>0004</v>
      </c>
      <c r="G361" s="261" t="str">
        <f t="shared" si="60"/>
        <v>0029</v>
      </c>
      <c r="H361" s="408">
        <f t="shared" si="61"/>
        <v>10</v>
      </c>
      <c r="I361" s="407" t="s">
        <v>739</v>
      </c>
      <c r="J361" s="258" t="s">
        <v>646</v>
      </c>
      <c r="K361" s="258" t="s">
        <v>2738</v>
      </c>
      <c r="L361" s="258" t="s">
        <v>2419</v>
      </c>
      <c r="M361" s="409">
        <v>28460000</v>
      </c>
      <c r="N361" s="258">
        <v>1490</v>
      </c>
      <c r="O361" s="258" t="s">
        <v>77</v>
      </c>
      <c r="P361" s="258" t="s">
        <v>73</v>
      </c>
      <c r="Q361" s="258" t="s">
        <v>72</v>
      </c>
      <c r="R361" s="258">
        <v>5</v>
      </c>
      <c r="S361" s="410">
        <v>9</v>
      </c>
      <c r="T361" s="261">
        <v>6</v>
      </c>
      <c r="U361" s="261">
        <v>6</v>
      </c>
      <c r="V361" s="258" t="s">
        <v>3331</v>
      </c>
      <c r="W361" s="261" t="str">
        <f t="shared" si="63"/>
        <v>한국지엠/쉐보레 코리아말리부1.5 E-TURBO LTZ28460000</v>
      </c>
      <c r="X361" s="411">
        <f t="shared" si="64"/>
        <v>4135</v>
      </c>
      <c r="Y361" s="261">
        <v>6</v>
      </c>
      <c r="Z361" s="261">
        <v>6</v>
      </c>
      <c r="AA361" s="407" t="s">
        <v>739</v>
      </c>
      <c r="AB361" s="258" t="s">
        <v>3332</v>
      </c>
      <c r="AC361" s="258"/>
      <c r="AD361" s="258" t="s">
        <v>2135</v>
      </c>
      <c r="AE361" s="258" t="s">
        <v>2129</v>
      </c>
      <c r="AF361" s="259"/>
      <c r="AG361" s="260"/>
      <c r="AH361" s="259"/>
      <c r="AI361" s="259"/>
      <c r="AJ361" s="260"/>
      <c r="AK361" s="259">
        <v>26</v>
      </c>
      <c r="AL361" s="259"/>
      <c r="AM361" s="259" t="s">
        <v>3222</v>
      </c>
      <c r="AN361" s="449"/>
      <c r="AO361" s="449"/>
      <c r="AP361" s="449"/>
      <c r="AQ361" s="392" t="str">
        <f>IFERROR(VLOOKUP(BG361,#REF!,1,0),"")</f>
        <v/>
      </c>
      <c r="AR361" s="392"/>
      <c r="AS361" s="259" t="s">
        <v>3222</v>
      </c>
      <c r="AT361" s="392"/>
      <c r="AU361" s="392"/>
      <c r="AV361" s="392"/>
      <c r="AW361" s="392"/>
      <c r="AX361" s="392"/>
      <c r="AY361" s="392"/>
      <c r="BD361" s="202" t="str">
        <f t="shared" si="56"/>
        <v>말리부1.5 E-TURBO LTZ</v>
      </c>
      <c r="BE361" s="261" t="str">
        <f t="shared" si="62"/>
        <v>0029</v>
      </c>
      <c r="BF361" s="407" t="s">
        <v>739</v>
      </c>
      <c r="BG361" s="202" t="str">
        <f t="shared" si="57"/>
        <v>0029-0360</v>
      </c>
      <c r="BH361" s="202"/>
    </row>
    <row r="362" spans="1:60" s="207" customFormat="1">
      <c r="A362" s="405">
        <v>4136</v>
      </c>
      <c r="B362" s="406">
        <v>4136</v>
      </c>
      <c r="C362" s="261" t="str">
        <f t="shared" si="58"/>
        <v>0004-0029</v>
      </c>
      <c r="D362" s="261" t="str">
        <f t="shared" si="59"/>
        <v>0004-0029-0011</v>
      </c>
      <c r="E362" s="407" t="s">
        <v>738</v>
      </c>
      <c r="F362" s="261" t="str">
        <f>TEXT(VLOOKUP(J362,'[3]1'!$B$2:$D$37,2,0),"0000")</f>
        <v>0004</v>
      </c>
      <c r="G362" s="261" t="str">
        <f t="shared" si="60"/>
        <v>0029</v>
      </c>
      <c r="H362" s="408">
        <f t="shared" si="61"/>
        <v>11</v>
      </c>
      <c r="I362" s="407" t="s">
        <v>738</v>
      </c>
      <c r="J362" s="258" t="s">
        <v>646</v>
      </c>
      <c r="K362" s="258" t="s">
        <v>2738</v>
      </c>
      <c r="L362" s="258" t="s">
        <v>2420</v>
      </c>
      <c r="M362" s="409">
        <v>31500000</v>
      </c>
      <c r="N362" s="258">
        <v>1998</v>
      </c>
      <c r="O362" s="258" t="s">
        <v>77</v>
      </c>
      <c r="P362" s="258" t="s">
        <v>73</v>
      </c>
      <c r="Q362" s="258" t="s">
        <v>72</v>
      </c>
      <c r="R362" s="258">
        <v>9</v>
      </c>
      <c r="S362" s="410">
        <v>9</v>
      </c>
      <c r="T362" s="261">
        <v>6</v>
      </c>
      <c r="U362" s="261">
        <v>6</v>
      </c>
      <c r="V362" s="258" t="s">
        <v>71</v>
      </c>
      <c r="W362" s="261" t="str">
        <f t="shared" si="63"/>
        <v>한국지엠/쉐보레 코리아말리부2.0 터보 LTZ 프리미엄31500000</v>
      </c>
      <c r="X362" s="411">
        <f t="shared" si="64"/>
        <v>4136</v>
      </c>
      <c r="Y362" s="261">
        <v>6</v>
      </c>
      <c r="Z362" s="261">
        <v>6</v>
      </c>
      <c r="AA362" s="407" t="s">
        <v>738</v>
      </c>
      <c r="AB362" s="258" t="s">
        <v>2890</v>
      </c>
      <c r="AC362" s="258"/>
      <c r="AD362" s="258" t="s">
        <v>2135</v>
      </c>
      <c r="AE362" s="258" t="s">
        <v>2129</v>
      </c>
      <c r="AF362" s="259"/>
      <c r="AG362" s="260"/>
      <c r="AH362" s="259"/>
      <c r="AI362" s="259"/>
      <c r="AJ362" s="260"/>
      <c r="AK362" s="259">
        <v>26</v>
      </c>
      <c r="AL362" s="259"/>
      <c r="AM362" s="259" t="s">
        <v>3222</v>
      </c>
      <c r="AN362" s="449"/>
      <c r="AO362" s="449"/>
      <c r="AP362" s="449"/>
      <c r="AQ362" s="392" t="str">
        <f>IFERROR(VLOOKUP(BG362,#REF!,1,0),"")</f>
        <v/>
      </c>
      <c r="AR362" s="392"/>
      <c r="AS362" s="259" t="s">
        <v>3222</v>
      </c>
      <c r="AT362" s="392"/>
      <c r="AU362" s="392"/>
      <c r="AV362" s="392"/>
      <c r="AW362" s="392"/>
      <c r="AX362" s="392"/>
      <c r="AY362" s="392"/>
      <c r="BD362" s="202" t="str">
        <f t="shared" si="56"/>
        <v>말리부2.0 터보 LTZ 프리미엄</v>
      </c>
      <c r="BE362" s="261" t="str">
        <f t="shared" si="62"/>
        <v>0029</v>
      </c>
      <c r="BF362" s="407" t="s">
        <v>738</v>
      </c>
      <c r="BG362" s="202" t="str">
        <f t="shared" si="57"/>
        <v>0029-0361</v>
      </c>
      <c r="BH362" s="202"/>
    </row>
    <row r="363" spans="1:60" s="207" customFormat="1">
      <c r="A363" s="405">
        <v>4137</v>
      </c>
      <c r="B363" s="406">
        <v>4137</v>
      </c>
      <c r="C363" s="261" t="str">
        <f t="shared" si="58"/>
        <v>0004-0029</v>
      </c>
      <c r="D363" s="261" t="str">
        <f t="shared" si="59"/>
        <v>0004-0029-0012</v>
      </c>
      <c r="E363" s="407" t="s">
        <v>737</v>
      </c>
      <c r="F363" s="261" t="str">
        <f>TEXT(VLOOKUP(J363,'[3]1'!$B$2:$D$37,2,0),"0000")</f>
        <v>0004</v>
      </c>
      <c r="G363" s="261" t="str">
        <f t="shared" si="60"/>
        <v>0029</v>
      </c>
      <c r="H363" s="408">
        <f t="shared" si="61"/>
        <v>12</v>
      </c>
      <c r="I363" s="407" t="s">
        <v>737</v>
      </c>
      <c r="J363" s="258" t="s">
        <v>646</v>
      </c>
      <c r="K363" s="258" t="s">
        <v>2738</v>
      </c>
      <c r="L363" s="258" t="s">
        <v>2421</v>
      </c>
      <c r="M363" s="409">
        <v>31260000</v>
      </c>
      <c r="N363" s="258">
        <v>1490</v>
      </c>
      <c r="O363" s="258" t="s">
        <v>77</v>
      </c>
      <c r="P363" s="258" t="s">
        <v>73</v>
      </c>
      <c r="Q363" s="258" t="s">
        <v>72</v>
      </c>
      <c r="R363" s="258">
        <v>5</v>
      </c>
      <c r="S363" s="410">
        <v>9</v>
      </c>
      <c r="T363" s="261">
        <v>6</v>
      </c>
      <c r="U363" s="261">
        <v>6</v>
      </c>
      <c r="V363" s="258" t="s">
        <v>71</v>
      </c>
      <c r="W363" s="261" t="str">
        <f t="shared" si="63"/>
        <v>한국지엠/쉐보레 코리아말리부1.5 E-TURBO LTZ 프리미엄 세이프티31260000</v>
      </c>
      <c r="X363" s="411">
        <f t="shared" si="64"/>
        <v>4137</v>
      </c>
      <c r="Y363" s="261">
        <v>6</v>
      </c>
      <c r="Z363" s="261">
        <v>6</v>
      </c>
      <c r="AA363" s="407" t="s">
        <v>737</v>
      </c>
      <c r="AB363" s="258" t="s">
        <v>73</v>
      </c>
      <c r="AC363" s="258"/>
      <c r="AD363" s="258" t="s">
        <v>2135</v>
      </c>
      <c r="AE363" s="258" t="s">
        <v>2129</v>
      </c>
      <c r="AF363" s="259"/>
      <c r="AG363" s="260"/>
      <c r="AH363" s="259"/>
      <c r="AI363" s="259"/>
      <c r="AJ363" s="260"/>
      <c r="AK363" s="259">
        <v>26</v>
      </c>
      <c r="AL363" s="259"/>
      <c r="AM363" s="259" t="s">
        <v>3222</v>
      </c>
      <c r="AN363" s="449"/>
      <c r="AO363" s="449"/>
      <c r="AP363" s="449"/>
      <c r="AQ363" s="392" t="str">
        <f>IFERROR(VLOOKUP(BG363,#REF!,1,0),"")</f>
        <v/>
      </c>
      <c r="AR363" s="392"/>
      <c r="AS363" s="259" t="s">
        <v>3222</v>
      </c>
      <c r="AT363" s="392"/>
      <c r="AU363" s="392"/>
      <c r="AV363" s="392"/>
      <c r="AW363" s="392"/>
      <c r="AX363" s="392"/>
      <c r="AY363" s="392"/>
      <c r="BD363" s="202" t="str">
        <f t="shared" si="56"/>
        <v>말리부1.5 E-TURBO LTZ 프리미엄 세이프티</v>
      </c>
      <c r="BE363" s="261" t="str">
        <f t="shared" si="62"/>
        <v>0029</v>
      </c>
      <c r="BF363" s="407" t="s">
        <v>737</v>
      </c>
      <c r="BG363" s="202" t="str">
        <f t="shared" si="57"/>
        <v>0029-0362</v>
      </c>
      <c r="BH363" s="202"/>
    </row>
    <row r="364" spans="1:60" s="207" customFormat="1">
      <c r="A364" s="405">
        <v>4138</v>
      </c>
      <c r="B364" s="406">
        <v>4138</v>
      </c>
      <c r="C364" s="261" t="str">
        <f t="shared" si="58"/>
        <v>0004-0029</v>
      </c>
      <c r="D364" s="261" t="str">
        <f t="shared" si="59"/>
        <v>0004-0029-0013</v>
      </c>
      <c r="E364" s="407" t="s">
        <v>736</v>
      </c>
      <c r="F364" s="261" t="str">
        <f>TEXT(VLOOKUP(J364,'[3]1'!$B$2:$D$37,2,0),"0000")</f>
        <v>0004</v>
      </c>
      <c r="G364" s="261" t="str">
        <f t="shared" si="60"/>
        <v>0029</v>
      </c>
      <c r="H364" s="408">
        <f t="shared" si="61"/>
        <v>13</v>
      </c>
      <c r="I364" s="407" t="s">
        <v>736</v>
      </c>
      <c r="J364" s="258" t="s">
        <v>646</v>
      </c>
      <c r="K364" s="258" t="s">
        <v>2738</v>
      </c>
      <c r="L364" s="258" t="s">
        <v>2422</v>
      </c>
      <c r="M364" s="409">
        <v>25870000</v>
      </c>
      <c r="N364" s="258">
        <v>1490</v>
      </c>
      <c r="O364" s="258" t="s">
        <v>77</v>
      </c>
      <c r="P364" s="258" t="s">
        <v>73</v>
      </c>
      <c r="Q364" s="258" t="s">
        <v>72</v>
      </c>
      <c r="R364" s="258">
        <v>3</v>
      </c>
      <c r="S364" s="410">
        <v>9</v>
      </c>
      <c r="T364" s="261">
        <v>6</v>
      </c>
      <c r="U364" s="261">
        <v>6</v>
      </c>
      <c r="V364" s="258" t="s">
        <v>71</v>
      </c>
      <c r="W364" s="261" t="str">
        <f t="shared" si="63"/>
        <v>한국지엠/쉐보레 코리아말리부1.5 E-TURBO LT25870000</v>
      </c>
      <c r="X364" s="411">
        <f t="shared" si="64"/>
        <v>4138</v>
      </c>
      <c r="Y364" s="261">
        <v>6</v>
      </c>
      <c r="Z364" s="261">
        <v>6</v>
      </c>
      <c r="AA364" s="407" t="s">
        <v>736</v>
      </c>
      <c r="AB364" s="258" t="s">
        <v>86</v>
      </c>
      <c r="AC364" s="258"/>
      <c r="AD364" s="258" t="s">
        <v>2135</v>
      </c>
      <c r="AE364" s="258" t="s">
        <v>2129</v>
      </c>
      <c r="AF364" s="259"/>
      <c r="AG364" s="260"/>
      <c r="AH364" s="259"/>
      <c r="AI364" s="259"/>
      <c r="AJ364" s="260"/>
      <c r="AK364" s="259">
        <v>26</v>
      </c>
      <c r="AL364" s="259"/>
      <c r="AM364" s="259" t="s">
        <v>3222</v>
      </c>
      <c r="AN364" s="449"/>
      <c r="AO364" s="449"/>
      <c r="AP364" s="449"/>
      <c r="AQ364" s="392" t="str">
        <f>IFERROR(VLOOKUP(BG364,#REF!,1,0),"")</f>
        <v/>
      </c>
      <c r="AR364" s="392"/>
      <c r="AS364" s="259" t="s">
        <v>3222</v>
      </c>
      <c r="AT364" s="392"/>
      <c r="AU364" s="392"/>
      <c r="AV364" s="392"/>
      <c r="AW364" s="392"/>
      <c r="AX364" s="392"/>
      <c r="AY364" s="392"/>
      <c r="BD364" s="202" t="str">
        <f t="shared" si="56"/>
        <v>말리부1.5 E-TURBO LT</v>
      </c>
      <c r="BE364" s="261" t="str">
        <f t="shared" si="62"/>
        <v>0029</v>
      </c>
      <c r="BF364" s="407" t="s">
        <v>736</v>
      </c>
      <c r="BG364" s="202" t="str">
        <f t="shared" si="57"/>
        <v>0029-0363</v>
      </c>
      <c r="BH364" s="202"/>
    </row>
    <row r="365" spans="1:60" s="207" customFormat="1">
      <c r="A365" s="405">
        <v>4139</v>
      </c>
      <c r="B365" s="406">
        <v>4139</v>
      </c>
      <c r="C365" s="261" t="str">
        <f t="shared" si="58"/>
        <v>0004-0030</v>
      </c>
      <c r="D365" s="261" t="str">
        <f t="shared" si="59"/>
        <v>0004-0030-0001</v>
      </c>
      <c r="E365" s="407" t="s">
        <v>735</v>
      </c>
      <c r="F365" s="261" t="str">
        <f>TEXT(VLOOKUP(J365,'[3]1'!$B$2:$D$37,2,0),"0000")</f>
        <v>0004</v>
      </c>
      <c r="G365" s="261" t="str">
        <f t="shared" si="60"/>
        <v>0030</v>
      </c>
      <c r="H365" s="408">
        <f t="shared" si="61"/>
        <v>1</v>
      </c>
      <c r="I365" s="407" t="s">
        <v>735</v>
      </c>
      <c r="J365" s="258" t="s">
        <v>646</v>
      </c>
      <c r="K365" s="258" t="s">
        <v>2739</v>
      </c>
      <c r="L365" s="258" t="s">
        <v>2424</v>
      </c>
      <c r="M365" s="409">
        <v>11560000</v>
      </c>
      <c r="N365" s="258">
        <v>999</v>
      </c>
      <c r="O365" s="258" t="s">
        <v>77</v>
      </c>
      <c r="P365" s="258" t="s">
        <v>73</v>
      </c>
      <c r="Q365" s="258" t="s">
        <v>72</v>
      </c>
      <c r="R365" s="258">
        <v>5</v>
      </c>
      <c r="S365" s="410">
        <v>7</v>
      </c>
      <c r="T365" s="261">
        <v>6</v>
      </c>
      <c r="U365" s="261">
        <v>6</v>
      </c>
      <c r="V365" s="258" t="s">
        <v>3329</v>
      </c>
      <c r="W365" s="261" t="str">
        <f t="shared" si="63"/>
        <v>한국지엠/쉐보레 코리아스파크LS Basic C-tech11560000</v>
      </c>
      <c r="X365" s="411">
        <f t="shared" si="64"/>
        <v>4139</v>
      </c>
      <c r="Y365" s="261">
        <v>6</v>
      </c>
      <c r="Z365" s="261">
        <v>6</v>
      </c>
      <c r="AA365" s="407" t="s">
        <v>735</v>
      </c>
      <c r="AB365" s="258" t="s">
        <v>73</v>
      </c>
      <c r="AC365" s="258"/>
      <c r="AD365" s="258" t="s">
        <v>2131</v>
      </c>
      <c r="AE365" s="258" t="s">
        <v>2129</v>
      </c>
      <c r="AF365" s="259"/>
      <c r="AG365" s="260"/>
      <c r="AH365" s="259"/>
      <c r="AI365" s="259"/>
      <c r="AJ365" s="260"/>
      <c r="AK365" s="259">
        <v>26</v>
      </c>
      <c r="AL365" s="259"/>
      <c r="AM365" s="259" t="s">
        <v>3229</v>
      </c>
      <c r="AN365" s="449"/>
      <c r="AO365" s="449"/>
      <c r="AP365" s="449"/>
      <c r="AQ365" s="392" t="str">
        <f>IFERROR(VLOOKUP(BG365,#REF!,1,0),"")</f>
        <v/>
      </c>
      <c r="AR365" s="392"/>
      <c r="AS365" s="259" t="s">
        <v>3229</v>
      </c>
      <c r="AT365" s="392"/>
      <c r="AU365" s="392"/>
      <c r="AV365" s="392"/>
      <c r="AW365" s="392"/>
      <c r="AX365" s="392"/>
      <c r="AY365" s="392"/>
      <c r="BD365" s="202" t="str">
        <f t="shared" si="56"/>
        <v>스파크LS Basic C-tech</v>
      </c>
      <c r="BE365" s="261" t="str">
        <f t="shared" si="62"/>
        <v>0030</v>
      </c>
      <c r="BF365" s="407" t="s">
        <v>735</v>
      </c>
      <c r="BG365" s="202" t="str">
        <f t="shared" si="57"/>
        <v>0030-0364</v>
      </c>
      <c r="BH365" s="202"/>
    </row>
    <row r="366" spans="1:60" s="207" customFormat="1">
      <c r="A366" s="405">
        <v>4140</v>
      </c>
      <c r="B366" s="406">
        <v>4140</v>
      </c>
      <c r="C366" s="261" t="str">
        <f t="shared" si="58"/>
        <v>0004-0030</v>
      </c>
      <c r="D366" s="261" t="str">
        <f t="shared" si="59"/>
        <v>0004-0030-0002</v>
      </c>
      <c r="E366" s="407" t="s">
        <v>734</v>
      </c>
      <c r="F366" s="261" t="str">
        <f>TEXT(VLOOKUP(J366,'[3]1'!$B$2:$D$37,2,0),"0000")</f>
        <v>0004</v>
      </c>
      <c r="G366" s="261" t="str">
        <f t="shared" si="60"/>
        <v>0030</v>
      </c>
      <c r="H366" s="408">
        <f t="shared" si="61"/>
        <v>2</v>
      </c>
      <c r="I366" s="407" t="s">
        <v>734</v>
      </c>
      <c r="J366" s="258" t="s">
        <v>646</v>
      </c>
      <c r="K366" s="258" t="s">
        <v>2739</v>
      </c>
      <c r="L366" s="258" t="s">
        <v>2425</v>
      </c>
      <c r="M366" s="409">
        <v>14700000</v>
      </c>
      <c r="N366" s="258">
        <v>999</v>
      </c>
      <c r="O366" s="258" t="s">
        <v>77</v>
      </c>
      <c r="P366" s="258" t="s">
        <v>73</v>
      </c>
      <c r="Q366" s="258" t="s">
        <v>72</v>
      </c>
      <c r="R366" s="258">
        <v>5</v>
      </c>
      <c r="S366" s="410">
        <v>7</v>
      </c>
      <c r="T366" s="261">
        <v>6</v>
      </c>
      <c r="U366" s="261">
        <v>6</v>
      </c>
      <c r="V366" s="258" t="s">
        <v>3329</v>
      </c>
      <c r="W366" s="261" t="str">
        <f t="shared" si="63"/>
        <v>한국지엠/쉐보레 코리아스파크Premier C-Tech14700000</v>
      </c>
      <c r="X366" s="411">
        <f t="shared" si="64"/>
        <v>4140</v>
      </c>
      <c r="Y366" s="261">
        <v>6</v>
      </c>
      <c r="Z366" s="261">
        <v>6</v>
      </c>
      <c r="AA366" s="407" t="s">
        <v>734</v>
      </c>
      <c r="AB366" s="258" t="s">
        <v>73</v>
      </c>
      <c r="AC366" s="258"/>
      <c r="AD366" s="258" t="s">
        <v>2131</v>
      </c>
      <c r="AE366" s="258" t="s">
        <v>2129</v>
      </c>
      <c r="AF366" s="259"/>
      <c r="AG366" s="260"/>
      <c r="AH366" s="259"/>
      <c r="AI366" s="259"/>
      <c r="AJ366" s="260"/>
      <c r="AK366" s="259">
        <v>26</v>
      </c>
      <c r="AL366" s="259"/>
      <c r="AM366" s="259" t="s">
        <v>3229</v>
      </c>
      <c r="AN366" s="449"/>
      <c r="AO366" s="449"/>
      <c r="AP366" s="449"/>
      <c r="AQ366" s="392" t="str">
        <f>IFERROR(VLOOKUP(BG366,#REF!,1,0),"")</f>
        <v/>
      </c>
      <c r="AR366" s="392"/>
      <c r="AS366" s="259" t="s">
        <v>3229</v>
      </c>
      <c r="AT366" s="392"/>
      <c r="AU366" s="392"/>
      <c r="AV366" s="392"/>
      <c r="AW366" s="392"/>
      <c r="AX366" s="392"/>
      <c r="AY366" s="392"/>
      <c r="BD366" s="202" t="str">
        <f t="shared" si="56"/>
        <v>스파크Premier C-Tech</v>
      </c>
      <c r="BE366" s="261" t="str">
        <f t="shared" si="62"/>
        <v>0030</v>
      </c>
      <c r="BF366" s="407" t="s">
        <v>734</v>
      </c>
      <c r="BG366" s="202" t="str">
        <f t="shared" si="57"/>
        <v>0030-0365</v>
      </c>
      <c r="BH366" s="202"/>
    </row>
    <row r="367" spans="1:60">
      <c r="A367" s="405">
        <v>4141</v>
      </c>
      <c r="B367" s="406">
        <v>4141</v>
      </c>
      <c r="C367" s="261" t="str">
        <f t="shared" si="58"/>
        <v>0004-0030</v>
      </c>
      <c r="D367" s="261" t="str">
        <f t="shared" si="59"/>
        <v>0004-0030-0003</v>
      </c>
      <c r="E367" s="407" t="s">
        <v>733</v>
      </c>
      <c r="F367" s="261" t="str">
        <f>TEXT(VLOOKUP(J367,'[3]1'!$B$2:$D$37,2,0),"0000")</f>
        <v>0004</v>
      </c>
      <c r="G367" s="261" t="str">
        <f t="shared" si="60"/>
        <v>0030</v>
      </c>
      <c r="H367" s="408">
        <f t="shared" si="61"/>
        <v>3</v>
      </c>
      <c r="I367" s="407" t="s">
        <v>733</v>
      </c>
      <c r="J367" s="258" t="s">
        <v>646</v>
      </c>
      <c r="K367" s="258" t="s">
        <v>2739</v>
      </c>
      <c r="L367" s="258" t="s">
        <v>2427</v>
      </c>
      <c r="M367" s="409">
        <v>15090000</v>
      </c>
      <c r="N367" s="258">
        <v>999</v>
      </c>
      <c r="O367" s="258" t="s">
        <v>77</v>
      </c>
      <c r="P367" s="258" t="s">
        <v>73</v>
      </c>
      <c r="Q367" s="258" t="s">
        <v>72</v>
      </c>
      <c r="R367" s="258">
        <v>5</v>
      </c>
      <c r="S367" s="410">
        <v>7</v>
      </c>
      <c r="T367" s="261">
        <v>6</v>
      </c>
      <c r="U367" s="261">
        <v>6</v>
      </c>
      <c r="V367" s="258" t="s">
        <v>71</v>
      </c>
      <c r="W367" s="261" t="str">
        <f t="shared" si="63"/>
        <v>한국지엠/쉐보레 코리아스파크스페셜 에디션 퍼펙트 블랙 C-Tech15090000</v>
      </c>
      <c r="X367" s="411">
        <f t="shared" si="64"/>
        <v>4141</v>
      </c>
      <c r="Y367" s="261">
        <v>6</v>
      </c>
      <c r="Z367" s="261">
        <v>6</v>
      </c>
      <c r="AA367" s="407" t="s">
        <v>733</v>
      </c>
      <c r="AB367" s="258" t="s">
        <v>73</v>
      </c>
      <c r="AC367" s="258"/>
      <c r="AD367" s="258" t="s">
        <v>2131</v>
      </c>
      <c r="AE367" s="258" t="s">
        <v>2129</v>
      </c>
      <c r="AF367" s="259"/>
      <c r="AG367" s="260"/>
      <c r="AH367" s="259"/>
      <c r="AI367" s="259"/>
      <c r="AJ367" s="260"/>
      <c r="AK367" s="259">
        <v>26</v>
      </c>
      <c r="AL367" s="259"/>
      <c r="AM367" s="259" t="s">
        <v>3229</v>
      </c>
      <c r="AN367" s="449"/>
      <c r="AO367" s="449"/>
      <c r="AP367" s="449"/>
      <c r="AQ367" s="392" t="str">
        <f>IFERROR(VLOOKUP(BG367,#REF!,1,0),"")</f>
        <v/>
      </c>
      <c r="AS367" s="259" t="s">
        <v>3229</v>
      </c>
      <c r="BD367" s="202" t="str">
        <f t="shared" si="56"/>
        <v>스파크스페셜 에디션 퍼펙트 블랙 C-Tech</v>
      </c>
      <c r="BE367" s="261" t="str">
        <f t="shared" si="62"/>
        <v>0030</v>
      </c>
      <c r="BF367" s="407" t="s">
        <v>733</v>
      </c>
      <c r="BG367" s="202" t="str">
        <f t="shared" si="57"/>
        <v>0030-0366</v>
      </c>
    </row>
    <row r="368" spans="1:60">
      <c r="A368" s="405">
        <v>4142</v>
      </c>
      <c r="B368" s="406">
        <v>4142</v>
      </c>
      <c r="C368" s="261" t="str">
        <f t="shared" si="58"/>
        <v>0004-0030</v>
      </c>
      <c r="D368" s="261" t="str">
        <f t="shared" si="59"/>
        <v>0004-0030-0004</v>
      </c>
      <c r="E368" s="407" t="s">
        <v>732</v>
      </c>
      <c r="F368" s="261" t="str">
        <f>TEXT(VLOOKUP(J368,'[3]1'!$B$2:$D$37,2,0),"0000")</f>
        <v>0004</v>
      </c>
      <c r="G368" s="261" t="str">
        <f t="shared" si="60"/>
        <v>0030</v>
      </c>
      <c r="H368" s="408">
        <f t="shared" si="61"/>
        <v>4</v>
      </c>
      <c r="I368" s="407" t="s">
        <v>732</v>
      </c>
      <c r="J368" s="258" t="s">
        <v>646</v>
      </c>
      <c r="K368" s="258" t="s">
        <v>2739</v>
      </c>
      <c r="L368" s="258" t="s">
        <v>2428</v>
      </c>
      <c r="M368" s="409">
        <v>12990000</v>
      </c>
      <c r="N368" s="258">
        <v>999</v>
      </c>
      <c r="O368" s="258" t="s">
        <v>77</v>
      </c>
      <c r="P368" s="258" t="s">
        <v>73</v>
      </c>
      <c r="Q368" s="258" t="s">
        <v>72</v>
      </c>
      <c r="R368" s="258">
        <v>2</v>
      </c>
      <c r="S368" s="410">
        <v>7</v>
      </c>
      <c r="T368" s="261">
        <v>6</v>
      </c>
      <c r="U368" s="261">
        <v>6</v>
      </c>
      <c r="V368" s="258" t="s">
        <v>71</v>
      </c>
      <c r="W368" s="261" t="str">
        <f t="shared" si="63"/>
        <v>한국지엠/쉐보레 코리아스파크LT C-tech12990000</v>
      </c>
      <c r="X368" s="411">
        <f t="shared" si="64"/>
        <v>4142</v>
      </c>
      <c r="Y368" s="261">
        <v>6</v>
      </c>
      <c r="Z368" s="261">
        <v>6</v>
      </c>
      <c r="AA368" s="407" t="s">
        <v>732</v>
      </c>
      <c r="AB368" s="258" t="s">
        <v>73</v>
      </c>
      <c r="AC368" s="258"/>
      <c r="AD368" s="258" t="s">
        <v>2131</v>
      </c>
      <c r="AE368" s="258" t="s">
        <v>2129</v>
      </c>
      <c r="AF368" s="259"/>
      <c r="AG368" s="260"/>
      <c r="AH368" s="259"/>
      <c r="AI368" s="259"/>
      <c r="AJ368" s="260"/>
      <c r="AK368" s="259">
        <v>26</v>
      </c>
      <c r="AL368" s="259"/>
      <c r="AM368" s="259" t="s">
        <v>3229</v>
      </c>
      <c r="AN368" s="449"/>
      <c r="AO368" s="449"/>
      <c r="AP368" s="449"/>
      <c r="AQ368" s="392" t="str">
        <f>IFERROR(VLOOKUP(BG368,#REF!,1,0),"")</f>
        <v/>
      </c>
      <c r="AS368" s="259" t="s">
        <v>3229</v>
      </c>
      <c r="BD368" s="202" t="str">
        <f t="shared" si="56"/>
        <v>스파크LT C-tech</v>
      </c>
      <c r="BE368" s="261" t="str">
        <f t="shared" si="62"/>
        <v>0030</v>
      </c>
      <c r="BF368" s="407" t="s">
        <v>732</v>
      </c>
      <c r="BG368" s="202" t="str">
        <f t="shared" si="57"/>
        <v>0030-0367</v>
      </c>
    </row>
    <row r="369" spans="1:59">
      <c r="A369" s="405">
        <v>4143</v>
      </c>
      <c r="B369" s="406">
        <v>4143</v>
      </c>
      <c r="C369" s="261" t="str">
        <f t="shared" si="58"/>
        <v>0004-0030</v>
      </c>
      <c r="D369" s="261" t="str">
        <f t="shared" si="59"/>
        <v>0004-0030-0005</v>
      </c>
      <c r="E369" s="407" t="s">
        <v>731</v>
      </c>
      <c r="F369" s="261" t="str">
        <f>TEXT(VLOOKUP(J369,'[3]1'!$B$2:$D$37,2,0),"0000")</f>
        <v>0004</v>
      </c>
      <c r="G369" s="261" t="str">
        <f t="shared" si="60"/>
        <v>0030</v>
      </c>
      <c r="H369" s="408">
        <f t="shared" si="61"/>
        <v>5</v>
      </c>
      <c r="I369" s="407" t="s">
        <v>731</v>
      </c>
      <c r="J369" s="258" t="s">
        <v>646</v>
      </c>
      <c r="K369" s="258" t="s">
        <v>2739</v>
      </c>
      <c r="L369" s="258" t="s">
        <v>2430</v>
      </c>
      <c r="M369" s="409">
        <v>12340000</v>
      </c>
      <c r="N369" s="258">
        <v>999</v>
      </c>
      <c r="O369" s="258" t="s">
        <v>77</v>
      </c>
      <c r="P369" s="258" t="s">
        <v>73</v>
      </c>
      <c r="Q369" s="258" t="s">
        <v>72</v>
      </c>
      <c r="R369" s="258">
        <v>2</v>
      </c>
      <c r="S369" s="410">
        <v>7</v>
      </c>
      <c r="T369" s="261">
        <v>6</v>
      </c>
      <c r="U369" s="261">
        <v>6</v>
      </c>
      <c r="V369" s="258" t="s">
        <v>71</v>
      </c>
      <c r="W369" s="261" t="str">
        <f t="shared" si="63"/>
        <v>한국지엠/쉐보레 코리아스파크LS C-tech12340000</v>
      </c>
      <c r="X369" s="411">
        <f t="shared" si="64"/>
        <v>4143</v>
      </c>
      <c r="Y369" s="261">
        <v>6</v>
      </c>
      <c r="Z369" s="261">
        <v>6</v>
      </c>
      <c r="AA369" s="407" t="s">
        <v>731</v>
      </c>
      <c r="AB369" s="258" t="s">
        <v>73</v>
      </c>
      <c r="AC369" s="258"/>
      <c r="AD369" s="258" t="s">
        <v>2131</v>
      </c>
      <c r="AE369" s="258" t="s">
        <v>2129</v>
      </c>
      <c r="AF369" s="259"/>
      <c r="AG369" s="260"/>
      <c r="AH369" s="259"/>
      <c r="AI369" s="259"/>
      <c r="AJ369" s="260"/>
      <c r="AK369" s="259">
        <v>26</v>
      </c>
      <c r="AL369" s="259"/>
      <c r="AM369" s="259" t="s">
        <v>3229</v>
      </c>
      <c r="AN369" s="449"/>
      <c r="AO369" s="449"/>
      <c r="AP369" s="449"/>
      <c r="AQ369" s="392" t="str">
        <f>IFERROR(VLOOKUP(BG369,#REF!,1,0),"")</f>
        <v/>
      </c>
      <c r="AS369" s="259" t="s">
        <v>3229</v>
      </c>
      <c r="BD369" s="202" t="str">
        <f t="shared" si="56"/>
        <v>스파크LS C-tech</v>
      </c>
      <c r="BE369" s="261" t="str">
        <f t="shared" si="62"/>
        <v>0030</v>
      </c>
      <c r="BF369" s="407" t="s">
        <v>731</v>
      </c>
      <c r="BG369" s="202" t="str">
        <f t="shared" si="57"/>
        <v>0030-0368</v>
      </c>
    </row>
    <row r="370" spans="1:59">
      <c r="A370" s="405">
        <v>4144</v>
      </c>
      <c r="B370" s="406">
        <v>4144</v>
      </c>
      <c r="C370" s="261" t="str">
        <f t="shared" si="58"/>
        <v>0004-0030</v>
      </c>
      <c r="D370" s="261" t="str">
        <f t="shared" si="59"/>
        <v>0004-0030-0006</v>
      </c>
      <c r="E370" s="407" t="s">
        <v>730</v>
      </c>
      <c r="F370" s="261" t="str">
        <f>TEXT(VLOOKUP(J370,'[3]1'!$B$2:$D$37,2,0),"0000")</f>
        <v>0004</v>
      </c>
      <c r="G370" s="261" t="str">
        <f t="shared" si="60"/>
        <v>0030</v>
      </c>
      <c r="H370" s="408">
        <f t="shared" si="61"/>
        <v>6</v>
      </c>
      <c r="I370" s="407" t="s">
        <v>730</v>
      </c>
      <c r="J370" s="258" t="s">
        <v>646</v>
      </c>
      <c r="K370" s="258" t="s">
        <v>2739</v>
      </c>
      <c r="L370" s="258" t="s">
        <v>2423</v>
      </c>
      <c r="M370" s="409">
        <v>10200000</v>
      </c>
      <c r="N370" s="258">
        <v>999</v>
      </c>
      <c r="O370" s="258" t="s">
        <v>77</v>
      </c>
      <c r="P370" s="258" t="s">
        <v>73</v>
      </c>
      <c r="Q370" s="258" t="s">
        <v>88</v>
      </c>
      <c r="R370" s="258">
        <v>2</v>
      </c>
      <c r="S370" s="410">
        <v>19</v>
      </c>
      <c r="T370" s="261">
        <v>6</v>
      </c>
      <c r="U370" s="261">
        <v>6</v>
      </c>
      <c r="V370" s="258" t="s">
        <v>71</v>
      </c>
      <c r="W370" s="261" t="str">
        <f t="shared" si="63"/>
        <v>한국지엠/쉐보레 코리아스파크1.0 가솔린 승용밴 M/T10200000</v>
      </c>
      <c r="X370" s="411">
        <f t="shared" si="64"/>
        <v>4144</v>
      </c>
      <c r="Y370" s="261">
        <v>6</v>
      </c>
      <c r="Z370" s="261">
        <v>6</v>
      </c>
      <c r="AA370" s="407" t="s">
        <v>730</v>
      </c>
      <c r="AB370" s="258" t="s">
        <v>73</v>
      </c>
      <c r="AC370" s="258"/>
      <c r="AD370" s="258" t="s">
        <v>2134</v>
      </c>
      <c r="AE370" s="258" t="s">
        <v>2129</v>
      </c>
      <c r="AF370" s="259"/>
      <c r="AG370" s="260"/>
      <c r="AH370" s="259"/>
      <c r="AI370" s="259"/>
      <c r="AJ370" s="260"/>
      <c r="AK370" s="259">
        <v>26</v>
      </c>
      <c r="AL370" s="259"/>
      <c r="AM370" s="259" t="s">
        <v>91</v>
      </c>
      <c r="AN370" s="449"/>
      <c r="AO370" s="449"/>
      <c r="AP370" s="449"/>
      <c r="AQ370" s="392" t="str">
        <f>IFERROR(VLOOKUP(BG370,#REF!,1,0),"")</f>
        <v/>
      </c>
      <c r="AS370" s="259" t="s">
        <v>91</v>
      </c>
      <c r="BD370" s="202" t="str">
        <f t="shared" si="56"/>
        <v>스파크1.0 가솔린 승용밴 M/T</v>
      </c>
      <c r="BE370" s="261" t="str">
        <f t="shared" si="62"/>
        <v>0030</v>
      </c>
      <c r="BF370" s="407" t="s">
        <v>730</v>
      </c>
      <c r="BG370" s="202" t="str">
        <f t="shared" si="57"/>
        <v>0030-0369</v>
      </c>
    </row>
    <row r="371" spans="1:59">
      <c r="A371" s="405">
        <v>4145</v>
      </c>
      <c r="B371" s="406">
        <v>4145</v>
      </c>
      <c r="C371" s="261" t="str">
        <f t="shared" si="58"/>
        <v>0004-0030</v>
      </c>
      <c r="D371" s="261" t="str">
        <f t="shared" si="59"/>
        <v>0004-0030-0007</v>
      </c>
      <c r="E371" s="407" t="s">
        <v>729</v>
      </c>
      <c r="F371" s="261" t="str">
        <f>TEXT(VLOOKUP(J371,'[3]1'!$B$2:$D$37,2,0),"0000")</f>
        <v>0004</v>
      </c>
      <c r="G371" s="261" t="str">
        <f t="shared" si="60"/>
        <v>0030</v>
      </c>
      <c r="H371" s="408">
        <f t="shared" si="61"/>
        <v>7</v>
      </c>
      <c r="I371" s="407" t="s">
        <v>729</v>
      </c>
      <c r="J371" s="258" t="s">
        <v>646</v>
      </c>
      <c r="K371" s="258" t="s">
        <v>2739</v>
      </c>
      <c r="L371" s="258" t="s">
        <v>2426</v>
      </c>
      <c r="M371" s="409">
        <v>9770000</v>
      </c>
      <c r="N371" s="258">
        <v>999</v>
      </c>
      <c r="O371" s="258" t="s">
        <v>77</v>
      </c>
      <c r="P371" s="258" t="s">
        <v>73</v>
      </c>
      <c r="Q371" s="258" t="s">
        <v>88</v>
      </c>
      <c r="R371" s="258">
        <v>2</v>
      </c>
      <c r="S371" s="410">
        <v>19</v>
      </c>
      <c r="T371" s="261">
        <v>6</v>
      </c>
      <c r="U371" s="261">
        <v>6</v>
      </c>
      <c r="V371" s="258" t="s">
        <v>71</v>
      </c>
      <c r="W371" s="261" t="str">
        <f t="shared" si="63"/>
        <v>한국지엠/쉐보레 코리아스파크1.0L 승용밴 Basic M/T9770000</v>
      </c>
      <c r="X371" s="411">
        <f t="shared" si="64"/>
        <v>4145</v>
      </c>
      <c r="Y371" s="261">
        <v>6</v>
      </c>
      <c r="Z371" s="261">
        <v>6</v>
      </c>
      <c r="AA371" s="407" t="s">
        <v>729</v>
      </c>
      <c r="AB371" s="258" t="s">
        <v>73</v>
      </c>
      <c r="AC371" s="258"/>
      <c r="AD371" s="258" t="s">
        <v>2134</v>
      </c>
      <c r="AE371" s="258" t="s">
        <v>2129</v>
      </c>
      <c r="AF371" s="259"/>
      <c r="AG371" s="260"/>
      <c r="AH371" s="259"/>
      <c r="AI371" s="259"/>
      <c r="AJ371" s="260"/>
      <c r="AK371" s="259">
        <v>26</v>
      </c>
      <c r="AL371" s="259"/>
      <c r="AM371" s="259" t="s">
        <v>91</v>
      </c>
      <c r="AN371" s="449"/>
      <c r="AO371" s="449"/>
      <c r="AP371" s="449"/>
      <c r="AQ371" s="392" t="str">
        <f>IFERROR(VLOOKUP(BG371,#REF!,1,0),"")</f>
        <v/>
      </c>
      <c r="AS371" s="259" t="s">
        <v>91</v>
      </c>
      <c r="BD371" s="202" t="str">
        <f t="shared" si="56"/>
        <v>스파크1.0L 승용밴 Basic M/T</v>
      </c>
      <c r="BE371" s="261" t="str">
        <f t="shared" si="62"/>
        <v>0030</v>
      </c>
      <c r="BF371" s="407" t="s">
        <v>729</v>
      </c>
      <c r="BG371" s="202" t="str">
        <f t="shared" si="57"/>
        <v>0030-0370</v>
      </c>
    </row>
    <row r="372" spans="1:59">
      <c r="A372" s="405">
        <v>4146</v>
      </c>
      <c r="B372" s="406">
        <v>4146</v>
      </c>
      <c r="C372" s="261" t="str">
        <f t="shared" si="58"/>
        <v>0004-0030</v>
      </c>
      <c r="D372" s="261" t="str">
        <f t="shared" si="59"/>
        <v>0004-0030-0008</v>
      </c>
      <c r="E372" s="407" t="s">
        <v>727</v>
      </c>
      <c r="F372" s="261" t="str">
        <f>TEXT(VLOOKUP(J372,'[3]1'!$B$2:$D$37,2,0),"0000")</f>
        <v>0004</v>
      </c>
      <c r="G372" s="261" t="str">
        <f t="shared" si="60"/>
        <v>0030</v>
      </c>
      <c r="H372" s="408">
        <f t="shared" si="61"/>
        <v>8</v>
      </c>
      <c r="I372" s="407" t="s">
        <v>727</v>
      </c>
      <c r="J372" s="258" t="s">
        <v>646</v>
      </c>
      <c r="K372" s="258" t="s">
        <v>2739</v>
      </c>
      <c r="L372" s="258" t="s">
        <v>2429</v>
      </c>
      <c r="M372" s="409">
        <v>11940000</v>
      </c>
      <c r="N372" s="258">
        <v>999</v>
      </c>
      <c r="O372" s="258" t="s">
        <v>77</v>
      </c>
      <c r="P372" s="258" t="s">
        <v>73</v>
      </c>
      <c r="Q372" s="258" t="s">
        <v>72</v>
      </c>
      <c r="R372" s="258">
        <v>2</v>
      </c>
      <c r="S372" s="410">
        <v>19</v>
      </c>
      <c r="T372" s="261">
        <v>6</v>
      </c>
      <c r="U372" s="261">
        <v>6</v>
      </c>
      <c r="V372" s="258" t="s">
        <v>71</v>
      </c>
      <c r="W372" s="261" t="str">
        <f t="shared" si="63"/>
        <v>한국지엠/쉐보레 코리아스파크1.0 가솔린 승용밴 C-TECH11940000</v>
      </c>
      <c r="X372" s="411">
        <f t="shared" si="64"/>
        <v>4146</v>
      </c>
      <c r="Y372" s="261">
        <v>6</v>
      </c>
      <c r="Z372" s="261">
        <v>6</v>
      </c>
      <c r="AA372" s="407" t="s">
        <v>727</v>
      </c>
      <c r="AB372" s="258" t="s">
        <v>73</v>
      </c>
      <c r="AC372" s="258"/>
      <c r="AD372" s="258" t="s">
        <v>2134</v>
      </c>
      <c r="AE372" s="258" t="s">
        <v>2129</v>
      </c>
      <c r="AF372" s="259"/>
      <c r="AG372" s="260"/>
      <c r="AH372" s="259"/>
      <c r="AI372" s="259"/>
      <c r="AJ372" s="260"/>
      <c r="AK372" s="259">
        <v>26</v>
      </c>
      <c r="AL372" s="259"/>
      <c r="AM372" s="259" t="s">
        <v>91</v>
      </c>
      <c r="AN372" s="449"/>
      <c r="AO372" s="449"/>
      <c r="AP372" s="449"/>
      <c r="AQ372" s="392" t="str">
        <f>IFERROR(VLOOKUP(BG372,#REF!,1,0),"")</f>
        <v/>
      </c>
      <c r="AS372" s="259" t="s">
        <v>91</v>
      </c>
      <c r="BD372" s="202" t="str">
        <f t="shared" si="56"/>
        <v>스파크1.0 가솔린 승용밴 C-TECH</v>
      </c>
      <c r="BE372" s="261" t="str">
        <f t="shared" si="62"/>
        <v>0030</v>
      </c>
      <c r="BF372" s="407" t="s">
        <v>727</v>
      </c>
      <c r="BG372" s="202" t="str">
        <f t="shared" si="57"/>
        <v>0030-0371</v>
      </c>
    </row>
    <row r="373" spans="1:59">
      <c r="A373" s="405">
        <v>4147</v>
      </c>
      <c r="B373" s="406">
        <v>4147</v>
      </c>
      <c r="C373" s="261" t="str">
        <f t="shared" si="58"/>
        <v>0004-0031</v>
      </c>
      <c r="D373" s="261" t="str">
        <f t="shared" si="59"/>
        <v>0004-0031-0001</v>
      </c>
      <c r="E373" s="407" t="s">
        <v>726</v>
      </c>
      <c r="F373" s="261" t="str">
        <f>TEXT(VLOOKUP(J373,'[3]1'!$B$2:$D$37,2,0),"0000")</f>
        <v>0004</v>
      </c>
      <c r="G373" s="261" t="str">
        <f t="shared" si="60"/>
        <v>0031</v>
      </c>
      <c r="H373" s="408">
        <f t="shared" si="61"/>
        <v>1</v>
      </c>
      <c r="I373" s="407" t="s">
        <v>726</v>
      </c>
      <c r="J373" s="258" t="s">
        <v>646</v>
      </c>
      <c r="K373" s="258" t="s">
        <v>2740</v>
      </c>
      <c r="L373" s="258" t="s">
        <v>2431</v>
      </c>
      <c r="M373" s="409">
        <v>16450000</v>
      </c>
      <c r="N373" s="258">
        <v>1362</v>
      </c>
      <c r="O373" s="258" t="s">
        <v>77</v>
      </c>
      <c r="P373" s="258" t="s">
        <v>73</v>
      </c>
      <c r="Q373" s="258" t="s">
        <v>88</v>
      </c>
      <c r="R373" s="258">
        <v>2</v>
      </c>
      <c r="S373" s="410">
        <v>11</v>
      </c>
      <c r="T373" s="261">
        <v>6</v>
      </c>
      <c r="U373" s="261">
        <v>6</v>
      </c>
      <c r="V373" s="258" t="s">
        <v>71</v>
      </c>
      <c r="W373" s="261" t="str">
        <f t="shared" si="63"/>
        <v>한국지엠/쉐보레 코리아아베오1.4 Turbo LS A/T16450000</v>
      </c>
      <c r="X373" s="411">
        <f t="shared" si="64"/>
        <v>4147</v>
      </c>
      <c r="Y373" s="261">
        <v>6</v>
      </c>
      <c r="Z373" s="261">
        <v>6</v>
      </c>
      <c r="AA373" s="407" t="s">
        <v>726</v>
      </c>
      <c r="AB373" s="258" t="s">
        <v>73</v>
      </c>
      <c r="AC373" s="258"/>
      <c r="AD373" s="258" t="s">
        <v>2135</v>
      </c>
      <c r="AE373" s="258" t="s">
        <v>2129</v>
      </c>
      <c r="AF373" s="259"/>
      <c r="AG373" s="260"/>
      <c r="AH373" s="259"/>
      <c r="AI373" s="259"/>
      <c r="AJ373" s="260"/>
      <c r="AK373" s="259">
        <v>26</v>
      </c>
      <c r="AL373" s="259"/>
      <c r="AM373" s="259" t="s">
        <v>3232</v>
      </c>
      <c r="AN373" s="449"/>
      <c r="AO373" s="449"/>
      <c r="AP373" s="449"/>
      <c r="AQ373" s="392" t="str">
        <f>IFERROR(VLOOKUP(BG373,#REF!,1,0),"")</f>
        <v/>
      </c>
      <c r="AS373" s="259" t="s">
        <v>3232</v>
      </c>
      <c r="BD373" s="202" t="str">
        <f t="shared" si="56"/>
        <v>아베오1.4 Turbo LS A/T</v>
      </c>
      <c r="BE373" s="261" t="str">
        <f t="shared" si="62"/>
        <v>0031</v>
      </c>
      <c r="BF373" s="407" t="s">
        <v>726</v>
      </c>
      <c r="BG373" s="202" t="str">
        <f t="shared" si="57"/>
        <v>0031-0372</v>
      </c>
    </row>
    <row r="374" spans="1:59">
      <c r="A374" s="405">
        <v>4148</v>
      </c>
      <c r="B374" s="406">
        <v>4148</v>
      </c>
      <c r="C374" s="261" t="str">
        <f t="shared" si="58"/>
        <v>0004-0031</v>
      </c>
      <c r="D374" s="261" t="str">
        <f t="shared" si="59"/>
        <v>0004-0031-0002</v>
      </c>
      <c r="E374" s="407" t="s">
        <v>725</v>
      </c>
      <c r="F374" s="261" t="str">
        <f>TEXT(VLOOKUP(J374,'[3]1'!$B$2:$D$37,2,0),"0000")</f>
        <v>0004</v>
      </c>
      <c r="G374" s="261" t="str">
        <f t="shared" si="60"/>
        <v>0031</v>
      </c>
      <c r="H374" s="408">
        <f t="shared" si="61"/>
        <v>2</v>
      </c>
      <c r="I374" s="407" t="s">
        <v>725</v>
      </c>
      <c r="J374" s="258" t="s">
        <v>646</v>
      </c>
      <c r="K374" s="258" t="s">
        <v>2740</v>
      </c>
      <c r="L374" s="258" t="s">
        <v>2432</v>
      </c>
      <c r="M374" s="409">
        <v>18380000</v>
      </c>
      <c r="N374" s="258">
        <v>1362</v>
      </c>
      <c r="O374" s="258" t="s">
        <v>77</v>
      </c>
      <c r="P374" s="258" t="s">
        <v>73</v>
      </c>
      <c r="Q374" s="258" t="s">
        <v>72</v>
      </c>
      <c r="R374" s="258" t="e">
        <v>#N/A</v>
      </c>
      <c r="S374" s="410">
        <v>11</v>
      </c>
      <c r="T374" s="261">
        <v>6</v>
      </c>
      <c r="U374" s="261">
        <v>6</v>
      </c>
      <c r="V374" s="258" t="s">
        <v>3993</v>
      </c>
      <c r="W374" s="261" t="str">
        <f t="shared" si="63"/>
        <v>한국지엠/쉐보레 코리아아베오4도어세단 스페셜에디션 스타일 A/T18380000</v>
      </c>
      <c r="X374" s="411">
        <f t="shared" si="64"/>
        <v>4148</v>
      </c>
      <c r="Y374" s="261">
        <v>6</v>
      </c>
      <c r="Z374" s="261">
        <v>6</v>
      </c>
      <c r="AA374" s="407" t="s">
        <v>725</v>
      </c>
      <c r="AB374" s="258" t="e">
        <v>#N/A</v>
      </c>
      <c r="AC374" s="258"/>
      <c r="AD374" s="258" t="s">
        <v>2135</v>
      </c>
      <c r="AE374" s="258" t="s">
        <v>2129</v>
      </c>
      <c r="AF374" s="259"/>
      <c r="AG374" s="260"/>
      <c r="AH374" s="259"/>
      <c r="AI374" s="259"/>
      <c r="AJ374" s="260"/>
      <c r="AK374" s="259">
        <v>26</v>
      </c>
      <c r="AL374" s="259"/>
      <c r="AM374" s="259" t="s">
        <v>3232</v>
      </c>
      <c r="AN374" s="449"/>
      <c r="AO374" s="449"/>
      <c r="AP374" s="449"/>
      <c r="AQ374" s="392" t="str">
        <f>IFERROR(VLOOKUP(BG374,#REF!,1,0),"")</f>
        <v/>
      </c>
      <c r="AS374" s="259" t="s">
        <v>3232</v>
      </c>
      <c r="BD374" s="202" t="str">
        <f t="shared" si="56"/>
        <v>아베오4도어세단 스페셜에디션 스타일 A/T</v>
      </c>
      <c r="BE374" s="261" t="str">
        <f t="shared" si="62"/>
        <v>0031</v>
      </c>
      <c r="BF374" s="407" t="s">
        <v>725</v>
      </c>
      <c r="BG374" s="202" t="str">
        <f t="shared" si="57"/>
        <v>0031-0373</v>
      </c>
    </row>
    <row r="375" spans="1:59">
      <c r="A375" s="405">
        <v>4149</v>
      </c>
      <c r="B375" s="406">
        <v>4149</v>
      </c>
      <c r="C375" s="261" t="str">
        <f t="shared" si="58"/>
        <v>0004-0031</v>
      </c>
      <c r="D375" s="261" t="str">
        <f t="shared" si="59"/>
        <v>0004-0031-0003</v>
      </c>
      <c r="E375" s="407" t="s">
        <v>724</v>
      </c>
      <c r="F375" s="261" t="str">
        <f>TEXT(VLOOKUP(J375,'[3]1'!$B$2:$D$37,2,0),"0000")</f>
        <v>0004</v>
      </c>
      <c r="G375" s="261" t="str">
        <f t="shared" si="60"/>
        <v>0031</v>
      </c>
      <c r="H375" s="408">
        <f t="shared" si="61"/>
        <v>3</v>
      </c>
      <c r="I375" s="407" t="s">
        <v>724</v>
      </c>
      <c r="J375" s="258" t="s">
        <v>646</v>
      </c>
      <c r="K375" s="258" t="s">
        <v>2740</v>
      </c>
      <c r="L375" s="258" t="s">
        <v>2433</v>
      </c>
      <c r="M375" s="409">
        <v>13850000</v>
      </c>
      <c r="N375" s="258">
        <v>1362</v>
      </c>
      <c r="O375" s="258" t="s">
        <v>77</v>
      </c>
      <c r="P375" s="258" t="s">
        <v>73</v>
      </c>
      <c r="Q375" s="258" t="s">
        <v>88</v>
      </c>
      <c r="R375" s="258">
        <v>4</v>
      </c>
      <c r="S375" s="410">
        <v>11</v>
      </c>
      <c r="T375" s="261">
        <v>6</v>
      </c>
      <c r="U375" s="261">
        <v>6</v>
      </c>
      <c r="V375" s="258" t="s">
        <v>71</v>
      </c>
      <c r="W375" s="261" t="str">
        <f t="shared" si="63"/>
        <v>한국지엠/쉐보레 코리아아베오1.4 Turbo L M/T13850000</v>
      </c>
      <c r="X375" s="411">
        <f t="shared" si="64"/>
        <v>4149</v>
      </c>
      <c r="Y375" s="261">
        <v>6</v>
      </c>
      <c r="Z375" s="261">
        <v>6</v>
      </c>
      <c r="AA375" s="407" t="s">
        <v>724</v>
      </c>
      <c r="AB375" s="258" t="s">
        <v>73</v>
      </c>
      <c r="AC375" s="258"/>
      <c r="AD375" s="258" t="s">
        <v>2135</v>
      </c>
      <c r="AE375" s="258" t="s">
        <v>2129</v>
      </c>
      <c r="AF375" s="259"/>
      <c r="AG375" s="260"/>
      <c r="AH375" s="259"/>
      <c r="AI375" s="259"/>
      <c r="AJ375" s="260"/>
      <c r="AK375" s="259">
        <v>26</v>
      </c>
      <c r="AL375" s="259"/>
      <c r="AM375" s="259" t="s">
        <v>3232</v>
      </c>
      <c r="AN375" s="449"/>
      <c r="AO375" s="449"/>
      <c r="AP375" s="449"/>
      <c r="AQ375" s="392" t="str">
        <f>IFERROR(VLOOKUP(BG375,#REF!,1,0),"")</f>
        <v/>
      </c>
      <c r="AS375" s="259" t="s">
        <v>3232</v>
      </c>
      <c r="BD375" s="202" t="str">
        <f t="shared" si="56"/>
        <v>아베오1.4 Turbo L M/T</v>
      </c>
      <c r="BE375" s="261" t="str">
        <f t="shared" si="62"/>
        <v>0031</v>
      </c>
      <c r="BF375" s="407" t="s">
        <v>724</v>
      </c>
      <c r="BG375" s="202" t="str">
        <f t="shared" si="57"/>
        <v>0031-0374</v>
      </c>
    </row>
    <row r="376" spans="1:59">
      <c r="A376" s="405">
        <v>4150</v>
      </c>
      <c r="B376" s="406">
        <v>4150</v>
      </c>
      <c r="C376" s="261" t="str">
        <f t="shared" si="58"/>
        <v>0004-0031</v>
      </c>
      <c r="D376" s="261" t="str">
        <f t="shared" si="59"/>
        <v>0004-0031-0004</v>
      </c>
      <c r="E376" s="407" t="s">
        <v>723</v>
      </c>
      <c r="F376" s="261" t="str">
        <f>TEXT(VLOOKUP(J376,'[3]1'!$B$2:$D$37,2,0),"0000")</f>
        <v>0004</v>
      </c>
      <c r="G376" s="261" t="str">
        <f t="shared" si="60"/>
        <v>0031</v>
      </c>
      <c r="H376" s="408">
        <f t="shared" si="61"/>
        <v>4</v>
      </c>
      <c r="I376" s="407" t="s">
        <v>723</v>
      </c>
      <c r="J376" s="258" t="s">
        <v>646</v>
      </c>
      <c r="K376" s="258" t="s">
        <v>2740</v>
      </c>
      <c r="L376" s="258" t="s">
        <v>2434</v>
      </c>
      <c r="M376" s="409">
        <v>14920000</v>
      </c>
      <c r="N376" s="258">
        <v>1362</v>
      </c>
      <c r="O376" s="258" t="s">
        <v>77</v>
      </c>
      <c r="P376" s="258" t="s">
        <v>73</v>
      </c>
      <c r="Q376" s="258" t="s">
        <v>88</v>
      </c>
      <c r="R376" s="258" t="e">
        <v>#N/A</v>
      </c>
      <c r="S376" s="410">
        <v>11</v>
      </c>
      <c r="T376" s="261">
        <v>6</v>
      </c>
      <c r="U376" s="261">
        <v>6</v>
      </c>
      <c r="V376" s="258" t="s">
        <v>3993</v>
      </c>
      <c r="W376" s="261" t="str">
        <f t="shared" si="63"/>
        <v>한국지엠/쉐보레 코리아아베오1.4 Turbo LS 스탠다드 M/T (5도어 해치백)14920000</v>
      </c>
      <c r="X376" s="411">
        <f t="shared" si="64"/>
        <v>4150</v>
      </c>
      <c r="Y376" s="261">
        <v>6</v>
      </c>
      <c r="Z376" s="261">
        <v>6</v>
      </c>
      <c r="AA376" s="407" t="s">
        <v>723</v>
      </c>
      <c r="AB376" s="258" t="e">
        <v>#N/A</v>
      </c>
      <c r="AC376" s="258"/>
      <c r="AD376" s="258" t="s">
        <v>2135</v>
      </c>
      <c r="AE376" s="258" t="s">
        <v>2129</v>
      </c>
      <c r="AF376" s="259"/>
      <c r="AG376" s="260"/>
      <c r="AH376" s="259"/>
      <c r="AI376" s="259"/>
      <c r="AJ376" s="260"/>
      <c r="AK376" s="259">
        <v>26</v>
      </c>
      <c r="AL376" s="259"/>
      <c r="AM376" s="259" t="s">
        <v>3232</v>
      </c>
      <c r="AN376" s="449"/>
      <c r="AO376" s="449"/>
      <c r="AP376" s="449"/>
      <c r="AQ376" s="392" t="str">
        <f>IFERROR(VLOOKUP(BG376,#REF!,1,0),"")</f>
        <v/>
      </c>
      <c r="AS376" s="259" t="s">
        <v>3232</v>
      </c>
      <c r="BD376" s="202" t="str">
        <f t="shared" si="56"/>
        <v>아베오1.4 Turbo LS 스탠다드 M/T (5도어 해치백)</v>
      </c>
      <c r="BE376" s="261" t="str">
        <f t="shared" si="62"/>
        <v>0031</v>
      </c>
      <c r="BF376" s="407" t="s">
        <v>723</v>
      </c>
      <c r="BG376" s="202" t="str">
        <f t="shared" si="57"/>
        <v>0031-0375</v>
      </c>
    </row>
    <row r="377" spans="1:59">
      <c r="A377" s="405">
        <v>4151</v>
      </c>
      <c r="B377" s="406">
        <v>4151</v>
      </c>
      <c r="C377" s="261" t="str">
        <f t="shared" si="58"/>
        <v>0004-0031</v>
      </c>
      <c r="D377" s="261" t="str">
        <f t="shared" si="59"/>
        <v>0004-0031-0005</v>
      </c>
      <c r="E377" s="407" t="s">
        <v>722</v>
      </c>
      <c r="F377" s="261" t="str">
        <f>TEXT(VLOOKUP(J377,'[3]1'!$B$2:$D$37,2,0),"0000")</f>
        <v>0004</v>
      </c>
      <c r="G377" s="261" t="str">
        <f t="shared" si="60"/>
        <v>0031</v>
      </c>
      <c r="H377" s="408">
        <f t="shared" si="61"/>
        <v>5</v>
      </c>
      <c r="I377" s="407" t="s">
        <v>722</v>
      </c>
      <c r="J377" s="258" t="s">
        <v>646</v>
      </c>
      <c r="K377" s="258" t="s">
        <v>2740</v>
      </c>
      <c r="L377" s="258" t="s">
        <v>2435</v>
      </c>
      <c r="M377" s="409">
        <v>16400000</v>
      </c>
      <c r="N377" s="258">
        <v>1362</v>
      </c>
      <c r="O377" s="258" t="s">
        <v>77</v>
      </c>
      <c r="P377" s="258" t="s">
        <v>73</v>
      </c>
      <c r="Q377" s="258" t="s">
        <v>72</v>
      </c>
      <c r="R377" s="258" t="e">
        <v>#N/A</v>
      </c>
      <c r="S377" s="410">
        <v>11</v>
      </c>
      <c r="T377" s="261">
        <v>6</v>
      </c>
      <c r="U377" s="261">
        <v>6</v>
      </c>
      <c r="V377" s="258" t="s">
        <v>3993</v>
      </c>
      <c r="W377" s="261" t="str">
        <f t="shared" si="63"/>
        <v>한국지엠/쉐보레 코리아아베오1.4 Turbo LS 최고급형 A/T (5도어 해치백)16400000</v>
      </c>
      <c r="X377" s="411">
        <f t="shared" si="64"/>
        <v>4151</v>
      </c>
      <c r="Y377" s="261">
        <v>6</v>
      </c>
      <c r="Z377" s="261">
        <v>6</v>
      </c>
      <c r="AA377" s="407" t="s">
        <v>722</v>
      </c>
      <c r="AB377" s="258" t="e">
        <v>#N/A</v>
      </c>
      <c r="AC377" s="258"/>
      <c r="AD377" s="258" t="s">
        <v>2135</v>
      </c>
      <c r="AE377" s="258" t="s">
        <v>2129</v>
      </c>
      <c r="AF377" s="259"/>
      <c r="AG377" s="260"/>
      <c r="AH377" s="259"/>
      <c r="AI377" s="259"/>
      <c r="AJ377" s="260"/>
      <c r="AK377" s="259">
        <v>26</v>
      </c>
      <c r="AL377" s="259"/>
      <c r="AM377" s="259" t="s">
        <v>3232</v>
      </c>
      <c r="AN377" s="449"/>
      <c r="AO377" s="449"/>
      <c r="AP377" s="449"/>
      <c r="AQ377" s="392" t="str">
        <f>IFERROR(VLOOKUP(BG377,#REF!,1,0),"")</f>
        <v/>
      </c>
      <c r="AS377" s="259" t="s">
        <v>3232</v>
      </c>
      <c r="BD377" s="202" t="str">
        <f t="shared" si="56"/>
        <v>아베오1.4 Turbo LS 최고급형 A/T (5도어 해치백)</v>
      </c>
      <c r="BE377" s="261" t="str">
        <f t="shared" si="62"/>
        <v>0031</v>
      </c>
      <c r="BF377" s="407" t="s">
        <v>722</v>
      </c>
      <c r="BG377" s="202" t="str">
        <f t="shared" si="57"/>
        <v>0031-0376</v>
      </c>
    </row>
    <row r="378" spans="1:59">
      <c r="A378" s="405">
        <v>4152</v>
      </c>
      <c r="B378" s="406">
        <v>4152</v>
      </c>
      <c r="C378" s="261" t="str">
        <f t="shared" si="58"/>
        <v>0004-0031</v>
      </c>
      <c r="D378" s="261" t="str">
        <f t="shared" si="59"/>
        <v>0004-0031-0006</v>
      </c>
      <c r="E378" s="407" t="s">
        <v>721</v>
      </c>
      <c r="F378" s="261" t="str">
        <f>TEXT(VLOOKUP(J378,'[3]1'!$B$2:$D$37,2,0),"0000")</f>
        <v>0004</v>
      </c>
      <c r="G378" s="261" t="str">
        <f t="shared" si="60"/>
        <v>0031</v>
      </c>
      <c r="H378" s="408">
        <f t="shared" si="61"/>
        <v>6</v>
      </c>
      <c r="I378" s="407" t="s">
        <v>721</v>
      </c>
      <c r="J378" s="258" t="s">
        <v>646</v>
      </c>
      <c r="K378" s="258" t="s">
        <v>2740</v>
      </c>
      <c r="L378" s="258" t="s">
        <v>2436</v>
      </c>
      <c r="M378" s="409">
        <v>14970000</v>
      </c>
      <c r="N378" s="258">
        <v>1362</v>
      </c>
      <c r="O378" s="258" t="s">
        <v>77</v>
      </c>
      <c r="P378" s="258" t="s">
        <v>73</v>
      </c>
      <c r="Q378" s="258" t="s">
        <v>88</v>
      </c>
      <c r="R378" s="258">
        <v>5</v>
      </c>
      <c r="S378" s="410">
        <v>11</v>
      </c>
      <c r="T378" s="261">
        <v>6</v>
      </c>
      <c r="U378" s="261">
        <v>6</v>
      </c>
      <c r="V378" s="258" t="s">
        <v>71</v>
      </c>
      <c r="W378" s="261" t="str">
        <f t="shared" si="63"/>
        <v>한국지엠/쉐보레 코리아아베오1.4 Turbo LS M/T14970000</v>
      </c>
      <c r="X378" s="411">
        <f t="shared" si="64"/>
        <v>4152</v>
      </c>
      <c r="Y378" s="261">
        <v>6</v>
      </c>
      <c r="Z378" s="261">
        <v>6</v>
      </c>
      <c r="AA378" s="407" t="s">
        <v>721</v>
      </c>
      <c r="AB378" s="258" t="s">
        <v>73</v>
      </c>
      <c r="AC378" s="258"/>
      <c r="AD378" s="258" t="s">
        <v>2135</v>
      </c>
      <c r="AE378" s="258" t="s">
        <v>2129</v>
      </c>
      <c r="AF378" s="259"/>
      <c r="AG378" s="260"/>
      <c r="AH378" s="259"/>
      <c r="AI378" s="259"/>
      <c r="AJ378" s="260"/>
      <c r="AK378" s="259">
        <v>26</v>
      </c>
      <c r="AL378" s="259"/>
      <c r="AM378" s="259" t="s">
        <v>3232</v>
      </c>
      <c r="AN378" s="449"/>
      <c r="AO378" s="449"/>
      <c r="AP378" s="449"/>
      <c r="AQ378" s="392" t="str">
        <f>IFERROR(VLOOKUP(BG378,#REF!,1,0),"")</f>
        <v/>
      </c>
      <c r="AS378" s="259" t="s">
        <v>3232</v>
      </c>
      <c r="BD378" s="202" t="str">
        <f t="shared" si="56"/>
        <v>아베오1.4 Turbo LS M/T</v>
      </c>
      <c r="BE378" s="261" t="str">
        <f t="shared" si="62"/>
        <v>0031</v>
      </c>
      <c r="BF378" s="407" t="s">
        <v>721</v>
      </c>
      <c r="BG378" s="202" t="str">
        <f t="shared" si="57"/>
        <v>0031-0377</v>
      </c>
    </row>
    <row r="379" spans="1:59">
      <c r="A379" s="405">
        <v>4153</v>
      </c>
      <c r="B379" s="406">
        <v>4153</v>
      </c>
      <c r="C379" s="261" t="str">
        <f t="shared" si="58"/>
        <v>0004-0031</v>
      </c>
      <c r="D379" s="261" t="str">
        <f t="shared" si="59"/>
        <v>0004-0031-0007</v>
      </c>
      <c r="E379" s="407" t="s">
        <v>720</v>
      </c>
      <c r="F379" s="261" t="str">
        <f>TEXT(VLOOKUP(J379,'[3]1'!$B$2:$D$37,2,0),"0000")</f>
        <v>0004</v>
      </c>
      <c r="G379" s="261" t="str">
        <f t="shared" si="60"/>
        <v>0031</v>
      </c>
      <c r="H379" s="408">
        <f t="shared" si="61"/>
        <v>7</v>
      </c>
      <c r="I379" s="407" t="s">
        <v>720</v>
      </c>
      <c r="J379" s="258" t="s">
        <v>646</v>
      </c>
      <c r="K379" s="258" t="s">
        <v>2740</v>
      </c>
      <c r="L379" s="258" t="s">
        <v>2437</v>
      </c>
      <c r="M379" s="409">
        <v>15330000</v>
      </c>
      <c r="N379" s="258">
        <v>1362</v>
      </c>
      <c r="O379" s="258" t="s">
        <v>77</v>
      </c>
      <c r="P379" s="258" t="s">
        <v>73</v>
      </c>
      <c r="Q379" s="258" t="s">
        <v>72</v>
      </c>
      <c r="R379" s="258">
        <v>5</v>
      </c>
      <c r="S379" s="410">
        <v>11</v>
      </c>
      <c r="T379" s="261">
        <v>6</v>
      </c>
      <c r="U379" s="261">
        <v>6</v>
      </c>
      <c r="V379" s="258" t="s">
        <v>71</v>
      </c>
      <c r="W379" s="261" t="str">
        <f t="shared" si="63"/>
        <v>한국지엠/쉐보레 코리아아베오1.4 Turbo L A/T15330000</v>
      </c>
      <c r="X379" s="411">
        <f t="shared" si="64"/>
        <v>4153</v>
      </c>
      <c r="Y379" s="261">
        <v>6</v>
      </c>
      <c r="Z379" s="261">
        <v>6</v>
      </c>
      <c r="AA379" s="407" t="s">
        <v>720</v>
      </c>
      <c r="AB379" s="258" t="s">
        <v>73</v>
      </c>
      <c r="AC379" s="258"/>
      <c r="AD379" s="258" t="s">
        <v>2135</v>
      </c>
      <c r="AE379" s="258" t="s">
        <v>2129</v>
      </c>
      <c r="AF379" s="259"/>
      <c r="AG379" s="260"/>
      <c r="AH379" s="259"/>
      <c r="AI379" s="259"/>
      <c r="AJ379" s="260"/>
      <c r="AK379" s="259">
        <v>26</v>
      </c>
      <c r="AL379" s="259"/>
      <c r="AM379" s="259" t="s">
        <v>3232</v>
      </c>
      <c r="AN379" s="449"/>
      <c r="AO379" s="449"/>
      <c r="AP379" s="449"/>
      <c r="AQ379" s="392" t="str">
        <f>IFERROR(VLOOKUP(BG379,#REF!,1,0),"")</f>
        <v/>
      </c>
      <c r="AS379" s="259" t="s">
        <v>3232</v>
      </c>
      <c r="BD379" s="202" t="str">
        <f t="shared" si="56"/>
        <v>아베오1.4 Turbo L A/T</v>
      </c>
      <c r="BE379" s="261" t="str">
        <f t="shared" si="62"/>
        <v>0031</v>
      </c>
      <c r="BF379" s="407" t="s">
        <v>720</v>
      </c>
      <c r="BG379" s="202" t="str">
        <f t="shared" si="57"/>
        <v>0031-0378</v>
      </c>
    </row>
    <row r="380" spans="1:59">
      <c r="A380" s="405">
        <v>4154</v>
      </c>
      <c r="B380" s="406">
        <v>4154</v>
      </c>
      <c r="C380" s="261" t="str">
        <f t="shared" si="58"/>
        <v>0004-0031</v>
      </c>
      <c r="D380" s="261" t="str">
        <f t="shared" si="59"/>
        <v>0004-0031-0008</v>
      </c>
      <c r="E380" s="407" t="s">
        <v>719</v>
      </c>
      <c r="F380" s="261" t="str">
        <f>TEXT(VLOOKUP(J380,'[3]1'!$B$2:$D$37,2,0),"0000")</f>
        <v>0004</v>
      </c>
      <c r="G380" s="261" t="str">
        <f t="shared" si="60"/>
        <v>0031</v>
      </c>
      <c r="H380" s="408">
        <f t="shared" si="61"/>
        <v>8</v>
      </c>
      <c r="I380" s="407" t="s">
        <v>719</v>
      </c>
      <c r="J380" s="258" t="s">
        <v>646</v>
      </c>
      <c r="K380" s="258" t="s">
        <v>2740</v>
      </c>
      <c r="L380" s="258" t="s">
        <v>2438</v>
      </c>
      <c r="M380" s="409">
        <v>17790000</v>
      </c>
      <c r="N380" s="258">
        <v>1362</v>
      </c>
      <c r="O380" s="258" t="s">
        <v>77</v>
      </c>
      <c r="P380" s="258" t="s">
        <v>73</v>
      </c>
      <c r="Q380" s="258" t="s">
        <v>72</v>
      </c>
      <c r="R380" s="258" t="e">
        <v>#N/A</v>
      </c>
      <c r="S380" s="410">
        <v>11</v>
      </c>
      <c r="T380" s="261">
        <v>6</v>
      </c>
      <c r="U380" s="261">
        <v>6</v>
      </c>
      <c r="V380" s="258" t="s">
        <v>3993</v>
      </c>
      <c r="W380" s="261" t="str">
        <f t="shared" si="63"/>
        <v>한국지엠/쉐보레 코리아아베오1.4 Turbo LT 최고급형 A/T17790000</v>
      </c>
      <c r="X380" s="411">
        <f t="shared" si="64"/>
        <v>4154</v>
      </c>
      <c r="Y380" s="261">
        <v>6</v>
      </c>
      <c r="Z380" s="261">
        <v>6</v>
      </c>
      <c r="AA380" s="407" t="s">
        <v>719</v>
      </c>
      <c r="AB380" s="258" t="e">
        <v>#N/A</v>
      </c>
      <c r="AC380" s="258"/>
      <c r="AD380" s="258" t="s">
        <v>2135</v>
      </c>
      <c r="AE380" s="258" t="s">
        <v>2129</v>
      </c>
      <c r="AF380" s="259"/>
      <c r="AG380" s="260"/>
      <c r="AH380" s="259"/>
      <c r="AI380" s="259"/>
      <c r="AJ380" s="260"/>
      <c r="AK380" s="259">
        <v>26</v>
      </c>
      <c r="AL380" s="259"/>
      <c r="AM380" s="259" t="s">
        <v>3232</v>
      </c>
      <c r="AN380" s="449"/>
      <c r="AO380" s="449"/>
      <c r="AP380" s="449"/>
      <c r="AQ380" s="392" t="str">
        <f>IFERROR(VLOOKUP(BG380,#REF!,1,0),"")</f>
        <v/>
      </c>
      <c r="AS380" s="259" t="s">
        <v>3232</v>
      </c>
      <c r="BD380" s="202" t="str">
        <f t="shared" si="56"/>
        <v>아베오1.4 Turbo LT 최고급형 A/T</v>
      </c>
      <c r="BE380" s="261" t="str">
        <f t="shared" si="62"/>
        <v>0031</v>
      </c>
      <c r="BF380" s="407" t="s">
        <v>719</v>
      </c>
      <c r="BG380" s="202" t="str">
        <f t="shared" si="57"/>
        <v>0031-0379</v>
      </c>
    </row>
    <row r="381" spans="1:59">
      <c r="A381" s="405">
        <v>4155</v>
      </c>
      <c r="B381" s="406">
        <v>4155</v>
      </c>
      <c r="C381" s="261" t="str">
        <f t="shared" si="58"/>
        <v>0004-0031</v>
      </c>
      <c r="D381" s="261" t="str">
        <f t="shared" si="59"/>
        <v>0004-0031-0009</v>
      </c>
      <c r="E381" s="407" t="s">
        <v>718</v>
      </c>
      <c r="F381" s="261" t="str">
        <f>TEXT(VLOOKUP(J381,'[3]1'!$B$2:$D$37,2,0),"0000")</f>
        <v>0004</v>
      </c>
      <c r="G381" s="261" t="str">
        <f t="shared" si="60"/>
        <v>0031</v>
      </c>
      <c r="H381" s="408">
        <f t="shared" si="61"/>
        <v>9</v>
      </c>
      <c r="I381" s="407" t="s">
        <v>718</v>
      </c>
      <c r="J381" s="258" t="s">
        <v>646</v>
      </c>
      <c r="K381" s="258" t="s">
        <v>2740</v>
      </c>
      <c r="L381" s="258" t="s">
        <v>2439</v>
      </c>
      <c r="M381" s="409">
        <v>19980000</v>
      </c>
      <c r="N381" s="258">
        <v>1362</v>
      </c>
      <c r="O381" s="258" t="s">
        <v>77</v>
      </c>
      <c r="P381" s="258" t="s">
        <v>73</v>
      </c>
      <c r="Q381" s="258" t="s">
        <v>72</v>
      </c>
      <c r="R381" s="258" t="e">
        <v>#N/A</v>
      </c>
      <c r="S381" s="410">
        <v>11</v>
      </c>
      <c r="T381" s="261">
        <v>6</v>
      </c>
      <c r="U381" s="261">
        <v>6</v>
      </c>
      <c r="V381" s="258" t="s">
        <v>3993</v>
      </c>
      <c r="W381" s="261" t="str">
        <f t="shared" si="63"/>
        <v>한국지엠/쉐보레 코리아아베오1.4 Turbo RS A/T19980000</v>
      </c>
      <c r="X381" s="411">
        <f t="shared" si="64"/>
        <v>4155</v>
      </c>
      <c r="Y381" s="261">
        <v>6</v>
      </c>
      <c r="Z381" s="261">
        <v>6</v>
      </c>
      <c r="AA381" s="407" t="s">
        <v>718</v>
      </c>
      <c r="AB381" s="258" t="e">
        <v>#N/A</v>
      </c>
      <c r="AC381" s="258"/>
      <c r="AD381" s="258" t="s">
        <v>2135</v>
      </c>
      <c r="AE381" s="258" t="s">
        <v>2129</v>
      </c>
      <c r="AF381" s="259"/>
      <c r="AG381" s="260"/>
      <c r="AH381" s="259"/>
      <c r="AI381" s="259"/>
      <c r="AJ381" s="260"/>
      <c r="AK381" s="259">
        <v>26</v>
      </c>
      <c r="AL381" s="259"/>
      <c r="AM381" s="259" t="s">
        <v>3232</v>
      </c>
      <c r="AN381" s="449"/>
      <c r="AO381" s="449"/>
      <c r="AP381" s="449"/>
      <c r="AQ381" s="392" t="str">
        <f>IFERROR(VLOOKUP(BG381,#REF!,1,0),"")</f>
        <v/>
      </c>
      <c r="AS381" s="259" t="s">
        <v>3232</v>
      </c>
      <c r="BD381" s="202" t="str">
        <f t="shared" si="56"/>
        <v>아베오1.4 Turbo RS A/T</v>
      </c>
      <c r="BE381" s="261" t="str">
        <f t="shared" si="62"/>
        <v>0031</v>
      </c>
      <c r="BF381" s="407" t="s">
        <v>718</v>
      </c>
      <c r="BG381" s="202" t="str">
        <f t="shared" si="57"/>
        <v>0031-0380</v>
      </c>
    </row>
    <row r="382" spans="1:59">
      <c r="A382" s="405">
        <v>4156</v>
      </c>
      <c r="B382" s="406">
        <v>4156</v>
      </c>
      <c r="C382" s="261" t="str">
        <f t="shared" si="58"/>
        <v>0004-0032</v>
      </c>
      <c r="D382" s="261" t="str">
        <f t="shared" si="59"/>
        <v>0004-0032-0001</v>
      </c>
      <c r="E382" s="407" t="s">
        <v>717</v>
      </c>
      <c r="F382" s="261" t="str">
        <f>TEXT(VLOOKUP(J382,'[3]1'!$B$2:$D$37,2,0),"0000")</f>
        <v>0004</v>
      </c>
      <c r="G382" s="261" t="str">
        <f t="shared" si="60"/>
        <v>0032</v>
      </c>
      <c r="H382" s="408">
        <f t="shared" si="61"/>
        <v>1</v>
      </c>
      <c r="I382" s="407" t="s">
        <v>717</v>
      </c>
      <c r="J382" s="258" t="s">
        <v>646</v>
      </c>
      <c r="K382" s="258" t="s">
        <v>3144</v>
      </c>
      <c r="L382" s="258" t="s">
        <v>2440</v>
      </c>
      <c r="M382" s="409">
        <v>34270000</v>
      </c>
      <c r="N382" s="258">
        <v>2384</v>
      </c>
      <c r="O382" s="258" t="s">
        <v>77</v>
      </c>
      <c r="P382" s="258" t="s">
        <v>73</v>
      </c>
      <c r="Q382" s="258" t="s">
        <v>72</v>
      </c>
      <c r="R382" s="258" t="e">
        <v>#N/A</v>
      </c>
      <c r="S382" s="410">
        <v>13</v>
      </c>
      <c r="T382" s="261">
        <v>6</v>
      </c>
      <c r="U382" s="261">
        <v>6</v>
      </c>
      <c r="V382" s="258" t="s">
        <v>3993</v>
      </c>
      <c r="W382" s="261" t="str">
        <f t="shared" si="63"/>
        <v>한국지엠/쉐보레 코리아알페온EL240 프리미엄34270000</v>
      </c>
      <c r="X382" s="411">
        <f t="shared" si="64"/>
        <v>4156</v>
      </c>
      <c r="Y382" s="261">
        <v>6</v>
      </c>
      <c r="Z382" s="261">
        <v>6</v>
      </c>
      <c r="AA382" s="407" t="s">
        <v>717</v>
      </c>
      <c r="AB382" s="258" t="e">
        <v>#N/A</v>
      </c>
      <c r="AC382" s="258"/>
      <c r="AD382" s="258" t="s">
        <v>2132</v>
      </c>
      <c r="AE382" s="258" t="s">
        <v>2129</v>
      </c>
      <c r="AF382" s="259"/>
      <c r="AG382" s="260"/>
      <c r="AH382" s="259"/>
      <c r="AI382" s="259"/>
      <c r="AJ382" s="260"/>
      <c r="AK382" s="259">
        <v>26</v>
      </c>
      <c r="AL382" s="259"/>
      <c r="AM382" s="259" t="s">
        <v>3225</v>
      </c>
      <c r="AN382" s="449"/>
      <c r="AO382" s="449"/>
      <c r="AP382" s="449"/>
      <c r="AQ382" s="392" t="str">
        <f>IFERROR(VLOOKUP(BG382,#REF!,1,0),"")</f>
        <v/>
      </c>
      <c r="AS382" s="259" t="s">
        <v>3227</v>
      </c>
      <c r="BD382" s="202" t="str">
        <f t="shared" si="56"/>
        <v>알페온EL240 프리미엄</v>
      </c>
      <c r="BE382" s="261" t="str">
        <f t="shared" si="62"/>
        <v>0032</v>
      </c>
      <c r="BF382" s="407" t="s">
        <v>717</v>
      </c>
      <c r="BG382" s="202" t="str">
        <f t="shared" si="57"/>
        <v>0032-0381</v>
      </c>
    </row>
    <row r="383" spans="1:59">
      <c r="A383" s="405">
        <v>4157</v>
      </c>
      <c r="B383" s="406">
        <v>4157</v>
      </c>
      <c r="C383" s="261" t="str">
        <f t="shared" si="58"/>
        <v>0004-0032</v>
      </c>
      <c r="D383" s="261" t="str">
        <f t="shared" si="59"/>
        <v>0004-0032-0002</v>
      </c>
      <c r="E383" s="407" t="s">
        <v>716</v>
      </c>
      <c r="F383" s="261" t="str">
        <f>TEXT(VLOOKUP(J383,'[3]1'!$B$2:$D$37,2,0),"0000")</f>
        <v>0004</v>
      </c>
      <c r="G383" s="261" t="str">
        <f t="shared" si="60"/>
        <v>0032</v>
      </c>
      <c r="H383" s="408">
        <f t="shared" si="61"/>
        <v>2</v>
      </c>
      <c r="I383" s="407" t="s">
        <v>716</v>
      </c>
      <c r="J383" s="258" t="s">
        <v>646</v>
      </c>
      <c r="K383" s="258" t="s">
        <v>3144</v>
      </c>
      <c r="L383" s="258" t="s">
        <v>2440</v>
      </c>
      <c r="M383" s="409">
        <v>34270000</v>
      </c>
      <c r="N383" s="258">
        <v>2384</v>
      </c>
      <c r="O383" s="258" t="s">
        <v>77</v>
      </c>
      <c r="P383" s="258" t="s">
        <v>73</v>
      </c>
      <c r="Q383" s="258" t="s">
        <v>72</v>
      </c>
      <c r="R383" s="258" t="e">
        <v>#N/A</v>
      </c>
      <c r="S383" s="410">
        <v>13</v>
      </c>
      <c r="T383" s="261">
        <v>6</v>
      </c>
      <c r="U383" s="261">
        <v>6</v>
      </c>
      <c r="V383" s="258" t="s">
        <v>3993</v>
      </c>
      <c r="W383" s="261" t="str">
        <f t="shared" si="63"/>
        <v>한국지엠/쉐보레 코리아알페온EL240 프리미엄34270000</v>
      </c>
      <c r="X383" s="411">
        <f t="shared" si="64"/>
        <v>4157</v>
      </c>
      <c r="Y383" s="261">
        <v>6</v>
      </c>
      <c r="Z383" s="261">
        <v>6</v>
      </c>
      <c r="AA383" s="407" t="s">
        <v>716</v>
      </c>
      <c r="AB383" s="258" t="e">
        <v>#N/A</v>
      </c>
      <c r="AC383" s="258"/>
      <c r="AD383" s="258" t="s">
        <v>2132</v>
      </c>
      <c r="AE383" s="258" t="s">
        <v>2129</v>
      </c>
      <c r="AF383" s="259"/>
      <c r="AG383" s="260"/>
      <c r="AH383" s="259"/>
      <c r="AI383" s="259"/>
      <c r="AJ383" s="260"/>
      <c r="AK383" s="259">
        <v>26</v>
      </c>
      <c r="AL383" s="259"/>
      <c r="AM383" s="259" t="s">
        <v>3225</v>
      </c>
      <c r="AN383" s="449"/>
      <c r="AO383" s="449"/>
      <c r="AP383" s="449"/>
      <c r="AQ383" s="392" t="str">
        <f>IFERROR(VLOOKUP(BG383,#REF!,1,0),"")</f>
        <v/>
      </c>
      <c r="AS383" s="259" t="s">
        <v>3227</v>
      </c>
      <c r="BD383" s="202" t="str">
        <f t="shared" si="56"/>
        <v>알페온EL240 프리미엄</v>
      </c>
      <c r="BE383" s="261" t="str">
        <f t="shared" si="62"/>
        <v>0032</v>
      </c>
      <c r="BF383" s="407" t="s">
        <v>716</v>
      </c>
      <c r="BG383" s="202" t="str">
        <f t="shared" si="57"/>
        <v>0032-0382</v>
      </c>
    </row>
    <row r="384" spans="1:59">
      <c r="A384" s="405">
        <v>4158</v>
      </c>
      <c r="B384" s="406">
        <v>4158</v>
      </c>
      <c r="C384" s="261" t="str">
        <f t="shared" si="58"/>
        <v>0004-0033</v>
      </c>
      <c r="D384" s="261" t="str">
        <f t="shared" si="59"/>
        <v>0004-0033-0001</v>
      </c>
      <c r="E384" s="407" t="s">
        <v>715</v>
      </c>
      <c r="F384" s="261" t="str">
        <f>TEXT(VLOOKUP(J384,'[3]1'!$B$2:$D$37,2,0),"0000")</f>
        <v>0004</v>
      </c>
      <c r="G384" s="261" t="str">
        <f t="shared" si="60"/>
        <v>0033</v>
      </c>
      <c r="H384" s="408">
        <f t="shared" si="61"/>
        <v>1</v>
      </c>
      <c r="I384" s="407" t="s">
        <v>715</v>
      </c>
      <c r="J384" s="258" t="s">
        <v>646</v>
      </c>
      <c r="K384" s="258" t="s">
        <v>2741</v>
      </c>
      <c r="L384" s="258" t="s">
        <v>2441</v>
      </c>
      <c r="M384" s="409">
        <v>26680000</v>
      </c>
      <c r="N384" s="258">
        <v>1598</v>
      </c>
      <c r="O384" s="258" t="s">
        <v>78</v>
      </c>
      <c r="P384" s="258" t="s">
        <v>73</v>
      </c>
      <c r="Q384" s="258" t="s">
        <v>72</v>
      </c>
      <c r="R384" s="258" t="e">
        <v>#N/A</v>
      </c>
      <c r="S384" s="410">
        <v>11</v>
      </c>
      <c r="T384" s="261">
        <v>6</v>
      </c>
      <c r="U384" s="261">
        <v>6</v>
      </c>
      <c r="V384" s="258" t="s">
        <v>3993</v>
      </c>
      <c r="W384" s="261" t="str">
        <f t="shared" si="63"/>
        <v>한국지엠/쉐보레 코리아올란도LT 컨비니언스26680000</v>
      </c>
      <c r="X384" s="411">
        <f t="shared" si="64"/>
        <v>4158</v>
      </c>
      <c r="Y384" s="261">
        <v>6</v>
      </c>
      <c r="Z384" s="261">
        <v>6</v>
      </c>
      <c r="AA384" s="407" t="s">
        <v>715</v>
      </c>
      <c r="AB384" s="258" t="e">
        <v>#N/A</v>
      </c>
      <c r="AC384" s="258"/>
      <c r="AD384" s="258" t="s">
        <v>2131</v>
      </c>
      <c r="AE384" s="258" t="s">
        <v>2129</v>
      </c>
      <c r="AF384" s="259"/>
      <c r="AG384" s="260"/>
      <c r="AH384" s="259"/>
      <c r="AI384" s="259"/>
      <c r="AJ384" s="260"/>
      <c r="AK384" s="259">
        <v>26</v>
      </c>
      <c r="AL384" s="259"/>
      <c r="AM384" s="259" t="s">
        <v>3228</v>
      </c>
      <c r="AN384" s="449"/>
      <c r="AO384" s="449"/>
      <c r="AP384" s="449"/>
      <c r="AQ384" s="392" t="str">
        <f>IFERROR(VLOOKUP(BG384,#REF!,1,0),"")</f>
        <v/>
      </c>
      <c r="AS384" s="259" t="s">
        <v>3232</v>
      </c>
      <c r="BD384" s="202" t="str">
        <f t="shared" si="56"/>
        <v>올란도LT 컨비니언스</v>
      </c>
      <c r="BE384" s="261" t="str">
        <f t="shared" si="62"/>
        <v>0033</v>
      </c>
      <c r="BF384" s="407" t="s">
        <v>715</v>
      </c>
      <c r="BG384" s="202" t="str">
        <f t="shared" si="57"/>
        <v>0033-0383</v>
      </c>
    </row>
    <row r="385" spans="1:59">
      <c r="A385" s="405">
        <v>4159</v>
      </c>
      <c r="B385" s="406">
        <v>4159</v>
      </c>
      <c r="C385" s="261" t="str">
        <f t="shared" si="58"/>
        <v>0004-0033</v>
      </c>
      <c r="D385" s="261" t="str">
        <f t="shared" si="59"/>
        <v>0004-0033-0002</v>
      </c>
      <c r="E385" s="407" t="s">
        <v>714</v>
      </c>
      <c r="F385" s="261" t="str">
        <f>TEXT(VLOOKUP(J385,'[3]1'!$B$2:$D$37,2,0),"0000")</f>
        <v>0004</v>
      </c>
      <c r="G385" s="261" t="str">
        <f t="shared" si="60"/>
        <v>0033</v>
      </c>
      <c r="H385" s="408">
        <f t="shared" si="61"/>
        <v>2</v>
      </c>
      <c r="I385" s="407" t="s">
        <v>714</v>
      </c>
      <c r="J385" s="258" t="s">
        <v>646</v>
      </c>
      <c r="K385" s="258" t="s">
        <v>2741</v>
      </c>
      <c r="L385" s="258" t="s">
        <v>2442</v>
      </c>
      <c r="M385" s="409">
        <v>28080000</v>
      </c>
      <c r="N385" s="258">
        <v>1598</v>
      </c>
      <c r="O385" s="258" t="s">
        <v>78</v>
      </c>
      <c r="P385" s="258" t="s">
        <v>73</v>
      </c>
      <c r="Q385" s="258" t="s">
        <v>72</v>
      </c>
      <c r="R385" s="258" t="e">
        <v>#N/A</v>
      </c>
      <c r="S385" s="410">
        <v>11</v>
      </c>
      <c r="T385" s="261">
        <v>6</v>
      </c>
      <c r="U385" s="261">
        <v>6</v>
      </c>
      <c r="V385" s="258" t="s">
        <v>3993</v>
      </c>
      <c r="W385" s="261" t="str">
        <f t="shared" si="63"/>
        <v>한국지엠/쉐보레 코리아올란도LT 세이프티28080000</v>
      </c>
      <c r="X385" s="411">
        <f t="shared" si="64"/>
        <v>4159</v>
      </c>
      <c r="Y385" s="261">
        <v>6</v>
      </c>
      <c r="Z385" s="261">
        <v>6</v>
      </c>
      <c r="AA385" s="407" t="s">
        <v>714</v>
      </c>
      <c r="AB385" s="258" t="e">
        <v>#N/A</v>
      </c>
      <c r="AC385" s="258"/>
      <c r="AD385" s="258" t="s">
        <v>2131</v>
      </c>
      <c r="AE385" s="258" t="s">
        <v>2129</v>
      </c>
      <c r="AF385" s="259"/>
      <c r="AG385" s="260"/>
      <c r="AH385" s="259"/>
      <c r="AI385" s="259"/>
      <c r="AJ385" s="260"/>
      <c r="AK385" s="259">
        <v>26</v>
      </c>
      <c r="AL385" s="259"/>
      <c r="AM385" s="259" t="s">
        <v>3228</v>
      </c>
      <c r="AN385" s="449"/>
      <c r="AO385" s="449"/>
      <c r="AP385" s="449"/>
      <c r="AQ385" s="392" t="str">
        <f>IFERROR(VLOOKUP(BG385,#REF!,1,0),"")</f>
        <v/>
      </c>
      <c r="AS385" s="259" t="s">
        <v>3232</v>
      </c>
      <c r="BD385" s="202" t="str">
        <f t="shared" si="56"/>
        <v>올란도LT 세이프티</v>
      </c>
      <c r="BE385" s="261" t="str">
        <f t="shared" si="62"/>
        <v>0033</v>
      </c>
      <c r="BF385" s="407" t="s">
        <v>714</v>
      </c>
      <c r="BG385" s="202" t="str">
        <f t="shared" si="57"/>
        <v>0033-0384</v>
      </c>
    </row>
    <row r="386" spans="1:59">
      <c r="A386" s="405">
        <v>4160</v>
      </c>
      <c r="B386" s="406">
        <v>4160</v>
      </c>
      <c r="C386" s="261" t="str">
        <f t="shared" si="58"/>
        <v>0004-0033</v>
      </c>
      <c r="D386" s="261" t="str">
        <f t="shared" si="59"/>
        <v>0004-0033-0003</v>
      </c>
      <c r="E386" s="407" t="s">
        <v>713</v>
      </c>
      <c r="F386" s="261" t="str">
        <f>TEXT(VLOOKUP(J386,'[3]1'!$B$2:$D$37,2,0),"0000")</f>
        <v>0004</v>
      </c>
      <c r="G386" s="261" t="str">
        <f t="shared" si="60"/>
        <v>0033</v>
      </c>
      <c r="H386" s="408">
        <f t="shared" si="61"/>
        <v>3</v>
      </c>
      <c r="I386" s="407" t="s">
        <v>713</v>
      </c>
      <c r="J386" s="258" t="s">
        <v>646</v>
      </c>
      <c r="K386" s="258" t="s">
        <v>2741</v>
      </c>
      <c r="L386" s="258" t="s">
        <v>2443</v>
      </c>
      <c r="M386" s="409">
        <v>27550000</v>
      </c>
      <c r="N386" s="258">
        <v>1598</v>
      </c>
      <c r="O386" s="258" t="s">
        <v>78</v>
      </c>
      <c r="P386" s="258" t="s">
        <v>73</v>
      </c>
      <c r="Q386" s="258" t="s">
        <v>72</v>
      </c>
      <c r="R386" s="258" t="e">
        <v>#N/A</v>
      </c>
      <c r="S386" s="410">
        <v>11</v>
      </c>
      <c r="T386" s="261">
        <v>6</v>
      </c>
      <c r="U386" s="261">
        <v>6</v>
      </c>
      <c r="V386" s="258" t="s">
        <v>3993</v>
      </c>
      <c r="W386" s="261" t="str">
        <f t="shared" si="63"/>
        <v>한국지엠/쉐보레 코리아올란도1.6 스페셜 에디션 다이나믹27550000</v>
      </c>
      <c r="X386" s="411">
        <f t="shared" si="64"/>
        <v>4160</v>
      </c>
      <c r="Y386" s="261">
        <v>6</v>
      </c>
      <c r="Z386" s="261">
        <v>6</v>
      </c>
      <c r="AA386" s="407" t="s">
        <v>713</v>
      </c>
      <c r="AB386" s="258" t="e">
        <v>#N/A</v>
      </c>
      <c r="AC386" s="258"/>
      <c r="AD386" s="258" t="s">
        <v>2131</v>
      </c>
      <c r="AE386" s="258" t="s">
        <v>2129</v>
      </c>
      <c r="AF386" s="259"/>
      <c r="AG386" s="260"/>
      <c r="AH386" s="259"/>
      <c r="AI386" s="259"/>
      <c r="AJ386" s="260"/>
      <c r="AK386" s="259">
        <v>26</v>
      </c>
      <c r="AL386" s="259"/>
      <c r="AM386" s="259" t="s">
        <v>3228</v>
      </c>
      <c r="AN386" s="449"/>
      <c r="AO386" s="449"/>
      <c r="AP386" s="449"/>
      <c r="AQ386" s="392" t="str">
        <f>IFERROR(VLOOKUP(BG386,#REF!,1,0),"")</f>
        <v/>
      </c>
      <c r="AS386" s="259" t="s">
        <v>3232</v>
      </c>
      <c r="BD386" s="202" t="str">
        <f t="shared" si="56"/>
        <v>올란도1.6 스페셜 에디션 다이나믹</v>
      </c>
      <c r="BE386" s="261" t="str">
        <f t="shared" si="62"/>
        <v>0033</v>
      </c>
      <c r="BF386" s="407" t="s">
        <v>713</v>
      </c>
      <c r="BG386" s="202" t="str">
        <f t="shared" si="57"/>
        <v>0033-0385</v>
      </c>
    </row>
    <row r="387" spans="1:59">
      <c r="A387" s="405">
        <v>4161</v>
      </c>
      <c r="B387" s="406">
        <v>4161</v>
      </c>
      <c r="C387" s="261" t="str">
        <f t="shared" si="58"/>
        <v>0004-0033</v>
      </c>
      <c r="D387" s="261" t="str">
        <f t="shared" si="59"/>
        <v>0004-0033-0004</v>
      </c>
      <c r="E387" s="407" t="s">
        <v>712</v>
      </c>
      <c r="F387" s="261" t="str">
        <f>TEXT(VLOOKUP(J387,'[3]1'!$B$2:$D$37,2,0),"0000")</f>
        <v>0004</v>
      </c>
      <c r="G387" s="261" t="str">
        <f t="shared" si="60"/>
        <v>0033</v>
      </c>
      <c r="H387" s="408">
        <f t="shared" si="61"/>
        <v>4</v>
      </c>
      <c r="I387" s="407" t="s">
        <v>712</v>
      </c>
      <c r="J387" s="258" t="s">
        <v>646</v>
      </c>
      <c r="K387" s="258" t="s">
        <v>2741</v>
      </c>
      <c r="L387" s="258" t="s">
        <v>2444</v>
      </c>
      <c r="M387" s="409">
        <v>23610000</v>
      </c>
      <c r="N387" s="258">
        <v>1598</v>
      </c>
      <c r="O387" s="258" t="s">
        <v>78</v>
      </c>
      <c r="P387" s="258" t="s">
        <v>73</v>
      </c>
      <c r="Q387" s="258" t="s">
        <v>72</v>
      </c>
      <c r="R387" s="258" t="e">
        <v>#N/A</v>
      </c>
      <c r="S387" s="410">
        <v>11</v>
      </c>
      <c r="T387" s="261">
        <v>6</v>
      </c>
      <c r="U387" s="261">
        <v>6</v>
      </c>
      <c r="V387" s="258" t="s">
        <v>3993</v>
      </c>
      <c r="W387" s="261" t="str">
        <f t="shared" si="63"/>
        <v>한국지엠/쉐보레 코리아올란도LS 고급형23610000</v>
      </c>
      <c r="X387" s="411">
        <f t="shared" si="64"/>
        <v>4161</v>
      </c>
      <c r="Y387" s="261">
        <v>6</v>
      </c>
      <c r="Z387" s="261">
        <v>6</v>
      </c>
      <c r="AA387" s="407" t="s">
        <v>712</v>
      </c>
      <c r="AB387" s="258" t="e">
        <v>#N/A</v>
      </c>
      <c r="AC387" s="258"/>
      <c r="AD387" s="258" t="s">
        <v>2131</v>
      </c>
      <c r="AE387" s="258" t="s">
        <v>2129</v>
      </c>
      <c r="AF387" s="259"/>
      <c r="AG387" s="260"/>
      <c r="AH387" s="259"/>
      <c r="AI387" s="259"/>
      <c r="AJ387" s="260"/>
      <c r="AK387" s="259">
        <v>26</v>
      </c>
      <c r="AL387" s="259"/>
      <c r="AM387" s="259" t="s">
        <v>3228</v>
      </c>
      <c r="AN387" s="449"/>
      <c r="AO387" s="449"/>
      <c r="AP387" s="449"/>
      <c r="AQ387" s="392" t="str">
        <f>IFERROR(VLOOKUP(BG387,#REF!,1,0),"")</f>
        <v/>
      </c>
      <c r="AS387" s="259" t="s">
        <v>3232</v>
      </c>
      <c r="BD387" s="202" t="str">
        <f t="shared" si="56"/>
        <v>올란도LS 고급형</v>
      </c>
      <c r="BE387" s="261" t="str">
        <f t="shared" si="62"/>
        <v>0033</v>
      </c>
      <c r="BF387" s="407" t="s">
        <v>712</v>
      </c>
      <c r="BG387" s="202" t="str">
        <f t="shared" si="57"/>
        <v>0033-0386</v>
      </c>
    </row>
    <row r="388" spans="1:59">
      <c r="A388" s="405">
        <v>4162</v>
      </c>
      <c r="B388" s="406">
        <v>4162</v>
      </c>
      <c r="C388" s="261" t="str">
        <f t="shared" si="58"/>
        <v>0004-0033</v>
      </c>
      <c r="D388" s="261" t="str">
        <f t="shared" si="59"/>
        <v>0004-0033-0005</v>
      </c>
      <c r="E388" s="407" t="s">
        <v>711</v>
      </c>
      <c r="F388" s="261" t="str">
        <f>TEXT(VLOOKUP(J388,'[3]1'!$B$2:$D$37,2,0),"0000")</f>
        <v>0004</v>
      </c>
      <c r="G388" s="261" t="str">
        <f t="shared" si="60"/>
        <v>0033</v>
      </c>
      <c r="H388" s="408">
        <f t="shared" si="61"/>
        <v>5</v>
      </c>
      <c r="I388" s="407" t="s">
        <v>711</v>
      </c>
      <c r="J388" s="258" t="s">
        <v>646</v>
      </c>
      <c r="K388" s="258" t="s">
        <v>2741</v>
      </c>
      <c r="L388" s="258" t="s">
        <v>2445</v>
      </c>
      <c r="M388" s="409">
        <v>29160000</v>
      </c>
      <c r="N388" s="258">
        <v>1598</v>
      </c>
      <c r="O388" s="258" t="s">
        <v>78</v>
      </c>
      <c r="P388" s="258" t="s">
        <v>73</v>
      </c>
      <c r="Q388" s="258" t="s">
        <v>72</v>
      </c>
      <c r="R388" s="258">
        <v>4</v>
      </c>
      <c r="S388" s="410">
        <v>11</v>
      </c>
      <c r="T388" s="261">
        <v>6</v>
      </c>
      <c r="U388" s="261">
        <v>6</v>
      </c>
      <c r="V388" s="258" t="s">
        <v>71</v>
      </c>
      <c r="W388" s="261" t="str">
        <f t="shared" si="63"/>
        <v>한국지엠/쉐보레 코리아올란도LTZ 세이프티29160000</v>
      </c>
      <c r="X388" s="411">
        <f t="shared" si="64"/>
        <v>4162</v>
      </c>
      <c r="Y388" s="261">
        <v>6</v>
      </c>
      <c r="Z388" s="261">
        <v>6</v>
      </c>
      <c r="AA388" s="407" t="s">
        <v>711</v>
      </c>
      <c r="AB388" s="258" t="s">
        <v>73</v>
      </c>
      <c r="AC388" s="258"/>
      <c r="AD388" s="258" t="s">
        <v>2131</v>
      </c>
      <c r="AE388" s="258" t="s">
        <v>2129</v>
      </c>
      <c r="AF388" s="259"/>
      <c r="AG388" s="260"/>
      <c r="AH388" s="259"/>
      <c r="AI388" s="259"/>
      <c r="AJ388" s="260"/>
      <c r="AK388" s="259">
        <v>26</v>
      </c>
      <c r="AL388" s="259"/>
      <c r="AM388" s="259" t="s">
        <v>3228</v>
      </c>
      <c r="AN388" s="449"/>
      <c r="AO388" s="449"/>
      <c r="AP388" s="449"/>
      <c r="AQ388" s="392" t="str">
        <f>IFERROR(VLOOKUP(BG388,#REF!,1,0),"")</f>
        <v/>
      </c>
      <c r="AS388" s="259" t="s">
        <v>3232</v>
      </c>
      <c r="BD388" s="202" t="str">
        <f t="shared" si="56"/>
        <v>올란도LTZ 세이프티</v>
      </c>
      <c r="BE388" s="261" t="str">
        <f t="shared" si="62"/>
        <v>0033</v>
      </c>
      <c r="BF388" s="407" t="s">
        <v>711</v>
      </c>
      <c r="BG388" s="202" t="str">
        <f t="shared" si="57"/>
        <v>0033-0387</v>
      </c>
    </row>
    <row r="389" spans="1:59">
      <c r="A389" s="405">
        <v>4163</v>
      </c>
      <c r="B389" s="406">
        <v>4163</v>
      </c>
      <c r="C389" s="261" t="str">
        <f t="shared" si="58"/>
        <v>0004-0033</v>
      </c>
      <c r="D389" s="261" t="str">
        <f t="shared" si="59"/>
        <v>0004-0033-0006</v>
      </c>
      <c r="E389" s="407" t="s">
        <v>710</v>
      </c>
      <c r="F389" s="261" t="str">
        <f>TEXT(VLOOKUP(J389,'[3]1'!$B$2:$D$37,2,0),"0000")</f>
        <v>0004</v>
      </c>
      <c r="G389" s="261" t="str">
        <f t="shared" si="60"/>
        <v>0033</v>
      </c>
      <c r="H389" s="408">
        <f t="shared" si="61"/>
        <v>6</v>
      </c>
      <c r="I389" s="407" t="s">
        <v>710</v>
      </c>
      <c r="J389" s="258" t="s">
        <v>646</v>
      </c>
      <c r="K389" s="258" t="s">
        <v>2741</v>
      </c>
      <c r="L389" s="258" t="s">
        <v>2446</v>
      </c>
      <c r="M389" s="409">
        <v>25530000</v>
      </c>
      <c r="N389" s="258">
        <v>1598</v>
      </c>
      <c r="O389" s="258" t="s">
        <v>78</v>
      </c>
      <c r="P389" s="258" t="s">
        <v>73</v>
      </c>
      <c r="Q389" s="258" t="s">
        <v>72</v>
      </c>
      <c r="R389" s="258" t="e">
        <v>#N/A</v>
      </c>
      <c r="S389" s="410">
        <v>11</v>
      </c>
      <c r="T389" s="261">
        <v>6</v>
      </c>
      <c r="U389" s="261">
        <v>6</v>
      </c>
      <c r="V389" s="258" t="s">
        <v>3993</v>
      </c>
      <c r="W389" s="261" t="str">
        <f t="shared" si="63"/>
        <v>한국지엠/쉐보레 코리아올란도LT 프리미엄25530000</v>
      </c>
      <c r="X389" s="411">
        <f t="shared" si="64"/>
        <v>4163</v>
      </c>
      <c r="Y389" s="261">
        <v>6</v>
      </c>
      <c r="Z389" s="261">
        <v>6</v>
      </c>
      <c r="AA389" s="407" t="s">
        <v>710</v>
      </c>
      <c r="AB389" s="258" t="e">
        <v>#N/A</v>
      </c>
      <c r="AC389" s="258"/>
      <c r="AD389" s="258" t="s">
        <v>2131</v>
      </c>
      <c r="AE389" s="258" t="s">
        <v>2129</v>
      </c>
      <c r="AF389" s="259"/>
      <c r="AG389" s="260"/>
      <c r="AH389" s="259"/>
      <c r="AI389" s="259"/>
      <c r="AJ389" s="260"/>
      <c r="AK389" s="259">
        <v>26</v>
      </c>
      <c r="AL389" s="259"/>
      <c r="AM389" s="259" t="s">
        <v>3228</v>
      </c>
      <c r="AN389" s="449"/>
      <c r="AO389" s="449"/>
      <c r="AP389" s="449"/>
      <c r="AQ389" s="392" t="str">
        <f>IFERROR(VLOOKUP(BG389,#REF!,1,0),"")</f>
        <v/>
      </c>
      <c r="AS389" s="259" t="s">
        <v>3232</v>
      </c>
      <c r="BD389" s="202" t="str">
        <f t="shared" ref="BD389:BD452" si="65">K389&amp;L389</f>
        <v>올란도LT 프리미엄</v>
      </c>
      <c r="BE389" s="261" t="str">
        <f t="shared" si="62"/>
        <v>0033</v>
      </c>
      <c r="BF389" s="407" t="s">
        <v>710</v>
      </c>
      <c r="BG389" s="202" t="str">
        <f t="shared" ref="BG389:BG452" si="66">BE389&amp;"-"&amp;BF389</f>
        <v>0033-0388</v>
      </c>
    </row>
    <row r="390" spans="1:59">
      <c r="A390" s="405">
        <v>4164</v>
      </c>
      <c r="B390" s="406">
        <v>4164</v>
      </c>
      <c r="C390" s="261" t="str">
        <f t="shared" ref="C390:C453" si="67">TEXT(F390,"0000")&amp;"-"&amp;TEXT(G390,"0000")</f>
        <v>0004-0033</v>
      </c>
      <c r="D390" s="261" t="str">
        <f t="shared" ref="D390:D453" si="68">TEXT(F390,"0000")&amp;"-"&amp;TEXT(G390,"0000")&amp;"-"&amp;TEXT(H390,"0000")</f>
        <v>0004-0033-0007</v>
      </c>
      <c r="E390" s="407" t="s">
        <v>709</v>
      </c>
      <c r="F390" s="261" t="str">
        <f>TEXT(VLOOKUP(J390,'[3]1'!$B$2:$D$37,2,0),"0000")</f>
        <v>0004</v>
      </c>
      <c r="G390" s="261" t="str">
        <f t="shared" ref="G390:G453" si="69">IF(K390=K389,TEXT(G389,"0000"),TEXT(G389+1,"0000"))</f>
        <v>0033</v>
      </c>
      <c r="H390" s="408">
        <f t="shared" ref="H390:H453" si="70">IF(F390&amp;G390=F389&amp;G389,H389+1,1)</f>
        <v>7</v>
      </c>
      <c r="I390" s="407" t="s">
        <v>709</v>
      </c>
      <c r="J390" s="258" t="s">
        <v>646</v>
      </c>
      <c r="K390" s="258" t="s">
        <v>2741</v>
      </c>
      <c r="L390" s="258" t="s">
        <v>2447</v>
      </c>
      <c r="M390" s="409">
        <v>28810000</v>
      </c>
      <c r="N390" s="258">
        <v>1598</v>
      </c>
      <c r="O390" s="258" t="s">
        <v>78</v>
      </c>
      <c r="P390" s="258" t="s">
        <v>73</v>
      </c>
      <c r="Q390" s="258" t="s">
        <v>72</v>
      </c>
      <c r="R390" s="258" t="e">
        <v>#N/A</v>
      </c>
      <c r="S390" s="410">
        <v>11</v>
      </c>
      <c r="T390" s="261">
        <v>6</v>
      </c>
      <c r="U390" s="261">
        <v>6</v>
      </c>
      <c r="V390" s="258" t="s">
        <v>3993</v>
      </c>
      <c r="W390" s="261" t="str">
        <f t="shared" si="63"/>
        <v>한국지엠/쉐보레 코리아올란도LTZ 프리미엄28810000</v>
      </c>
      <c r="X390" s="411">
        <f t="shared" si="64"/>
        <v>4164</v>
      </c>
      <c r="Y390" s="261">
        <v>6</v>
      </c>
      <c r="Z390" s="261">
        <v>6</v>
      </c>
      <c r="AA390" s="407" t="s">
        <v>709</v>
      </c>
      <c r="AB390" s="258" t="e">
        <v>#N/A</v>
      </c>
      <c r="AC390" s="258"/>
      <c r="AD390" s="258" t="s">
        <v>2131</v>
      </c>
      <c r="AE390" s="258" t="s">
        <v>2129</v>
      </c>
      <c r="AF390" s="259"/>
      <c r="AG390" s="260"/>
      <c r="AH390" s="259"/>
      <c r="AI390" s="259"/>
      <c r="AJ390" s="260"/>
      <c r="AK390" s="259">
        <v>26</v>
      </c>
      <c r="AL390" s="259"/>
      <c r="AM390" s="259" t="s">
        <v>3228</v>
      </c>
      <c r="AN390" s="449"/>
      <c r="AO390" s="449"/>
      <c r="AP390" s="449"/>
      <c r="AQ390" s="392" t="str">
        <f>IFERROR(VLOOKUP(BG390,#REF!,1,0),"")</f>
        <v/>
      </c>
      <c r="AS390" s="259" t="s">
        <v>3232</v>
      </c>
      <c r="BD390" s="202" t="str">
        <f t="shared" si="65"/>
        <v>올란도LTZ 프리미엄</v>
      </c>
      <c r="BE390" s="261" t="str">
        <f t="shared" ref="BE390:BE453" si="71">IF(K389=K390,TEXT(G389,"0000"),TEXT(G389+1,"0000"))</f>
        <v>0033</v>
      </c>
      <c r="BF390" s="407" t="s">
        <v>709</v>
      </c>
      <c r="BG390" s="202" t="str">
        <f t="shared" si="66"/>
        <v>0033-0389</v>
      </c>
    </row>
    <row r="391" spans="1:59">
      <c r="A391" s="405">
        <v>4165</v>
      </c>
      <c r="B391" s="406">
        <v>4165</v>
      </c>
      <c r="C391" s="261" t="str">
        <f t="shared" si="67"/>
        <v>0004-0034</v>
      </c>
      <c r="D391" s="261" t="str">
        <f t="shared" si="68"/>
        <v>0004-0034-0001</v>
      </c>
      <c r="E391" s="407" t="s">
        <v>708</v>
      </c>
      <c r="F391" s="261" t="str">
        <f>TEXT(VLOOKUP(J391,'[3]1'!$B$2:$D$37,2,0),"0000")</f>
        <v>0004</v>
      </c>
      <c r="G391" s="261" t="str">
        <f t="shared" si="69"/>
        <v>0034</v>
      </c>
      <c r="H391" s="408">
        <f t="shared" si="70"/>
        <v>1</v>
      </c>
      <c r="I391" s="407" t="s">
        <v>708</v>
      </c>
      <c r="J391" s="258" t="s">
        <v>646</v>
      </c>
      <c r="K391" s="258" t="s">
        <v>2742</v>
      </c>
      <c r="L391" s="258" t="s">
        <v>2448</v>
      </c>
      <c r="M391" s="409">
        <v>32920000</v>
      </c>
      <c r="N391" s="258">
        <v>1598</v>
      </c>
      <c r="O391" s="258" t="s">
        <v>78</v>
      </c>
      <c r="P391" s="258" t="s">
        <v>73</v>
      </c>
      <c r="Q391" s="258" t="s">
        <v>72</v>
      </c>
      <c r="R391" s="258" t="e">
        <v>#N/A</v>
      </c>
      <c r="S391" s="410">
        <v>12</v>
      </c>
      <c r="T391" s="261">
        <v>6</v>
      </c>
      <c r="U391" s="261">
        <v>6</v>
      </c>
      <c r="V391" s="258" t="s">
        <v>3993</v>
      </c>
      <c r="W391" s="261" t="str">
        <f t="shared" ref="W391:W454" si="72">J391&amp;K391&amp;L391&amp;M391</f>
        <v>한국지엠/쉐보레 코리아이쿼녹스1.6 디젤 LT Plus32920000</v>
      </c>
      <c r="X391" s="411">
        <f t="shared" ref="X391:X454" si="73">B391</f>
        <v>4165</v>
      </c>
      <c r="Y391" s="261">
        <v>6</v>
      </c>
      <c r="Z391" s="261">
        <v>6</v>
      </c>
      <c r="AA391" s="407" t="s">
        <v>708</v>
      </c>
      <c r="AB391" s="258" t="e">
        <v>#N/A</v>
      </c>
      <c r="AC391" s="258"/>
      <c r="AD391" s="258" t="s">
        <v>2132</v>
      </c>
      <c r="AE391" s="258" t="s">
        <v>2129</v>
      </c>
      <c r="AF391" s="259"/>
      <c r="AG391" s="260"/>
      <c r="AH391" s="259"/>
      <c r="AI391" s="259"/>
      <c r="AJ391" s="260"/>
      <c r="AK391" s="259">
        <v>26</v>
      </c>
      <c r="AL391" s="259"/>
      <c r="AM391" s="259" t="s">
        <v>3228</v>
      </c>
      <c r="AN391" s="449"/>
      <c r="AO391" s="449"/>
      <c r="AP391" s="449"/>
      <c r="AQ391" s="392" t="str">
        <f>IFERROR(VLOOKUP(BG391,#REF!,1,0),"")</f>
        <v/>
      </c>
      <c r="AS391" s="259" t="s">
        <v>3228</v>
      </c>
      <c r="BD391" s="202" t="str">
        <f t="shared" si="65"/>
        <v>이쿼녹스1.6 디젤 LT Plus</v>
      </c>
      <c r="BE391" s="261" t="str">
        <f t="shared" si="71"/>
        <v>0034</v>
      </c>
      <c r="BF391" s="407" t="s">
        <v>708</v>
      </c>
      <c r="BG391" s="202" t="str">
        <f t="shared" si="66"/>
        <v>0034-0390</v>
      </c>
    </row>
    <row r="392" spans="1:59">
      <c r="A392" s="405">
        <v>4166</v>
      </c>
      <c r="B392" s="406">
        <v>4166</v>
      </c>
      <c r="C392" s="261" t="str">
        <f t="shared" si="67"/>
        <v>0004-0034</v>
      </c>
      <c r="D392" s="261" t="str">
        <f t="shared" si="68"/>
        <v>0004-0034-0002</v>
      </c>
      <c r="E392" s="407" t="s">
        <v>707</v>
      </c>
      <c r="F392" s="261" t="str">
        <f>TEXT(VLOOKUP(J392,'[3]1'!$B$2:$D$37,2,0),"0000")</f>
        <v>0004</v>
      </c>
      <c r="G392" s="261" t="str">
        <f t="shared" si="69"/>
        <v>0034</v>
      </c>
      <c r="H392" s="408">
        <f t="shared" si="70"/>
        <v>2</v>
      </c>
      <c r="I392" s="407" t="s">
        <v>707</v>
      </c>
      <c r="J392" s="258" t="s">
        <v>646</v>
      </c>
      <c r="K392" s="258" t="s">
        <v>2742</v>
      </c>
      <c r="L392" s="258" t="s">
        <v>2410</v>
      </c>
      <c r="M392" s="409">
        <v>32130000</v>
      </c>
      <c r="N392" s="258">
        <v>1598</v>
      </c>
      <c r="O392" s="258" t="s">
        <v>78</v>
      </c>
      <c r="P392" s="258" t="s">
        <v>73</v>
      </c>
      <c r="Q392" s="258" t="s">
        <v>72</v>
      </c>
      <c r="R392" s="258">
        <v>5</v>
      </c>
      <c r="S392" s="410">
        <v>12</v>
      </c>
      <c r="T392" s="261">
        <v>6</v>
      </c>
      <c r="U392" s="261">
        <v>6</v>
      </c>
      <c r="V392" s="258" t="s">
        <v>71</v>
      </c>
      <c r="W392" s="261" t="str">
        <f t="shared" si="72"/>
        <v>한국지엠/쉐보레 코리아이쿼녹스1.6 디젤 LT32130000</v>
      </c>
      <c r="X392" s="411">
        <f t="shared" si="73"/>
        <v>4166</v>
      </c>
      <c r="Y392" s="261">
        <v>6</v>
      </c>
      <c r="Z392" s="261">
        <v>6</v>
      </c>
      <c r="AA392" s="407" t="s">
        <v>707</v>
      </c>
      <c r="AB392" s="258" t="s">
        <v>73</v>
      </c>
      <c r="AC392" s="258"/>
      <c r="AD392" s="258" t="s">
        <v>2132</v>
      </c>
      <c r="AE392" s="258" t="s">
        <v>2129</v>
      </c>
      <c r="AF392" s="259"/>
      <c r="AG392" s="260"/>
      <c r="AH392" s="259"/>
      <c r="AI392" s="259"/>
      <c r="AJ392" s="260"/>
      <c r="AK392" s="259">
        <v>26</v>
      </c>
      <c r="AL392" s="259"/>
      <c r="AM392" s="259" t="s">
        <v>3228</v>
      </c>
      <c r="AN392" s="449"/>
      <c r="AO392" s="449"/>
      <c r="AP392" s="449"/>
      <c r="AQ392" s="392" t="str">
        <f>IFERROR(VLOOKUP(BG392,#REF!,1,0),"")</f>
        <v/>
      </c>
      <c r="AS392" s="259" t="s">
        <v>3228</v>
      </c>
      <c r="BD392" s="202" t="str">
        <f t="shared" si="65"/>
        <v>이쿼녹스1.6 디젤 LT</v>
      </c>
      <c r="BE392" s="261" t="str">
        <f t="shared" si="71"/>
        <v>0034</v>
      </c>
      <c r="BF392" s="407" t="s">
        <v>707</v>
      </c>
      <c r="BG392" s="202" t="str">
        <f t="shared" si="66"/>
        <v>0034-0391</v>
      </c>
    </row>
    <row r="393" spans="1:59">
      <c r="A393" s="405">
        <v>4167</v>
      </c>
      <c r="B393" s="406">
        <v>4167</v>
      </c>
      <c r="C393" s="261" t="str">
        <f t="shared" si="67"/>
        <v>0004-0034</v>
      </c>
      <c r="D393" s="261" t="str">
        <f t="shared" si="68"/>
        <v>0004-0034-0003</v>
      </c>
      <c r="E393" s="407" t="s">
        <v>706</v>
      </c>
      <c r="F393" s="261" t="str">
        <f>TEXT(VLOOKUP(J393,'[3]1'!$B$2:$D$37,2,0),"0000")</f>
        <v>0004</v>
      </c>
      <c r="G393" s="261" t="str">
        <f t="shared" si="69"/>
        <v>0034</v>
      </c>
      <c r="H393" s="408">
        <f t="shared" si="70"/>
        <v>3</v>
      </c>
      <c r="I393" s="407" t="s">
        <v>706</v>
      </c>
      <c r="J393" s="258" t="s">
        <v>646</v>
      </c>
      <c r="K393" s="258" t="s">
        <v>2742</v>
      </c>
      <c r="L393" s="258" t="s">
        <v>2449</v>
      </c>
      <c r="M393" s="409">
        <v>33590000</v>
      </c>
      <c r="N393" s="258">
        <v>1598</v>
      </c>
      <c r="O393" s="258" t="s">
        <v>78</v>
      </c>
      <c r="P393" s="258" t="s">
        <v>73</v>
      </c>
      <c r="Q393" s="258" t="s">
        <v>72</v>
      </c>
      <c r="R393" s="258" t="e">
        <v>#N/A</v>
      </c>
      <c r="S393" s="410">
        <v>12</v>
      </c>
      <c r="T393" s="261">
        <v>6</v>
      </c>
      <c r="U393" s="261">
        <v>6</v>
      </c>
      <c r="V393" s="258" t="s">
        <v>3993</v>
      </c>
      <c r="W393" s="261" t="str">
        <f t="shared" si="72"/>
        <v>한국지엠/쉐보레 코리아이쿼녹스1.6 디젤 LT Exclusive33590000</v>
      </c>
      <c r="X393" s="411">
        <f t="shared" si="73"/>
        <v>4167</v>
      </c>
      <c r="Y393" s="261">
        <v>6</v>
      </c>
      <c r="Z393" s="261">
        <v>6</v>
      </c>
      <c r="AA393" s="407" t="s">
        <v>706</v>
      </c>
      <c r="AB393" s="258" t="e">
        <v>#N/A</v>
      </c>
      <c r="AC393" s="258"/>
      <c r="AD393" s="258" t="s">
        <v>2132</v>
      </c>
      <c r="AE393" s="258" t="s">
        <v>2129</v>
      </c>
      <c r="AF393" s="259"/>
      <c r="AG393" s="260"/>
      <c r="AH393" s="259"/>
      <c r="AI393" s="259"/>
      <c r="AJ393" s="260"/>
      <c r="AK393" s="259">
        <v>26</v>
      </c>
      <c r="AL393" s="259"/>
      <c r="AM393" s="259" t="s">
        <v>3228</v>
      </c>
      <c r="AN393" s="449"/>
      <c r="AO393" s="449"/>
      <c r="AP393" s="449"/>
      <c r="AQ393" s="392" t="str">
        <f>IFERROR(VLOOKUP(BG393,#REF!,1,0),"")</f>
        <v/>
      </c>
      <c r="AS393" s="259" t="s">
        <v>3228</v>
      </c>
      <c r="BD393" s="202" t="str">
        <f t="shared" si="65"/>
        <v>이쿼녹스1.6 디젤 LT Exclusive</v>
      </c>
      <c r="BE393" s="261" t="str">
        <f t="shared" si="71"/>
        <v>0034</v>
      </c>
      <c r="BF393" s="407" t="s">
        <v>706</v>
      </c>
      <c r="BG393" s="202" t="str">
        <f t="shared" si="66"/>
        <v>0034-0392</v>
      </c>
    </row>
    <row r="394" spans="1:59">
      <c r="A394" s="405">
        <v>4168</v>
      </c>
      <c r="B394" s="406">
        <v>4168</v>
      </c>
      <c r="C394" s="261" t="str">
        <f t="shared" si="67"/>
        <v>0004-0034</v>
      </c>
      <c r="D394" s="261" t="str">
        <f t="shared" si="68"/>
        <v>0004-0034-0004</v>
      </c>
      <c r="E394" s="407" t="s">
        <v>705</v>
      </c>
      <c r="F394" s="261" t="str">
        <f>TEXT(VLOOKUP(J394,'[3]1'!$B$2:$D$37,2,0),"0000")</f>
        <v>0004</v>
      </c>
      <c r="G394" s="261" t="str">
        <f t="shared" si="69"/>
        <v>0034</v>
      </c>
      <c r="H394" s="408">
        <f t="shared" si="70"/>
        <v>4</v>
      </c>
      <c r="I394" s="407" t="s">
        <v>705</v>
      </c>
      <c r="J394" s="258" t="s">
        <v>646</v>
      </c>
      <c r="K394" s="258" t="s">
        <v>2742</v>
      </c>
      <c r="L394" s="258" t="s">
        <v>2450</v>
      </c>
      <c r="M394" s="409">
        <v>33590000</v>
      </c>
      <c r="N394" s="258">
        <v>1598</v>
      </c>
      <c r="O394" s="258" t="s">
        <v>78</v>
      </c>
      <c r="P394" s="258" t="s">
        <v>73</v>
      </c>
      <c r="Q394" s="258" t="s">
        <v>72</v>
      </c>
      <c r="R394" s="258" t="e">
        <v>#N/A</v>
      </c>
      <c r="S394" s="410">
        <v>12</v>
      </c>
      <c r="T394" s="261">
        <v>6</v>
      </c>
      <c r="U394" s="261">
        <v>6</v>
      </c>
      <c r="V394" s="258" t="s">
        <v>3993</v>
      </c>
      <c r="W394" s="261" t="str">
        <f t="shared" si="72"/>
        <v>한국지엠/쉐보레 코리아이쿼녹스1.6 디젤 LT Plus Exclusive33590000</v>
      </c>
      <c r="X394" s="411">
        <f t="shared" si="73"/>
        <v>4168</v>
      </c>
      <c r="Y394" s="261">
        <v>6</v>
      </c>
      <c r="Z394" s="261">
        <v>6</v>
      </c>
      <c r="AA394" s="407" t="s">
        <v>705</v>
      </c>
      <c r="AB394" s="258" t="e">
        <v>#N/A</v>
      </c>
      <c r="AC394" s="258"/>
      <c r="AD394" s="258" t="s">
        <v>2132</v>
      </c>
      <c r="AE394" s="258" t="s">
        <v>2129</v>
      </c>
      <c r="AF394" s="259"/>
      <c r="AG394" s="260"/>
      <c r="AH394" s="259"/>
      <c r="AI394" s="259"/>
      <c r="AJ394" s="260"/>
      <c r="AK394" s="259">
        <v>26</v>
      </c>
      <c r="AL394" s="259"/>
      <c r="AM394" s="259" t="s">
        <v>3228</v>
      </c>
      <c r="AN394" s="449"/>
      <c r="AO394" s="449"/>
      <c r="AP394" s="449"/>
      <c r="AQ394" s="392" t="str">
        <f>IFERROR(VLOOKUP(BG394,#REF!,1,0),"")</f>
        <v/>
      </c>
      <c r="AS394" s="259" t="s">
        <v>3228</v>
      </c>
      <c r="BD394" s="202" t="str">
        <f t="shared" si="65"/>
        <v>이쿼녹스1.6 디젤 LT Plus Exclusive</v>
      </c>
      <c r="BE394" s="261" t="str">
        <f t="shared" si="71"/>
        <v>0034</v>
      </c>
      <c r="BF394" s="407" t="s">
        <v>705</v>
      </c>
      <c r="BG394" s="202" t="str">
        <f t="shared" si="66"/>
        <v>0034-0393</v>
      </c>
    </row>
    <row r="395" spans="1:59">
      <c r="A395" s="405">
        <v>4169</v>
      </c>
      <c r="B395" s="406">
        <v>4169</v>
      </c>
      <c r="C395" s="261" t="str">
        <f t="shared" si="67"/>
        <v>0004-0034</v>
      </c>
      <c r="D395" s="261" t="str">
        <f t="shared" si="68"/>
        <v>0004-0034-0005</v>
      </c>
      <c r="E395" s="407" t="s">
        <v>704</v>
      </c>
      <c r="F395" s="261" t="str">
        <f>TEXT(VLOOKUP(J395,'[3]1'!$B$2:$D$37,2,0),"0000")</f>
        <v>0004</v>
      </c>
      <c r="G395" s="261" t="str">
        <f t="shared" si="69"/>
        <v>0034</v>
      </c>
      <c r="H395" s="408">
        <f t="shared" si="70"/>
        <v>5</v>
      </c>
      <c r="I395" s="407" t="s">
        <v>704</v>
      </c>
      <c r="J395" s="258" t="s">
        <v>646</v>
      </c>
      <c r="K395" s="258" t="s">
        <v>2742</v>
      </c>
      <c r="L395" s="258" t="s">
        <v>2451</v>
      </c>
      <c r="M395" s="409">
        <v>36850000</v>
      </c>
      <c r="N395" s="258">
        <v>1598</v>
      </c>
      <c r="O395" s="258" t="s">
        <v>78</v>
      </c>
      <c r="P395" s="258" t="s">
        <v>73</v>
      </c>
      <c r="Q395" s="258" t="s">
        <v>72</v>
      </c>
      <c r="R395" s="258" t="e">
        <v>#N/A</v>
      </c>
      <c r="S395" s="410">
        <v>12</v>
      </c>
      <c r="T395" s="261">
        <v>6</v>
      </c>
      <c r="U395" s="261">
        <v>6</v>
      </c>
      <c r="V395" s="258" t="s">
        <v>3993</v>
      </c>
      <c r="W395" s="261" t="str">
        <f t="shared" si="72"/>
        <v>한국지엠/쉐보레 코리아이쿼녹스1.6 디젤 Premier Exclusive36850000</v>
      </c>
      <c r="X395" s="411">
        <f t="shared" si="73"/>
        <v>4169</v>
      </c>
      <c r="Y395" s="261">
        <v>6</v>
      </c>
      <c r="Z395" s="261">
        <v>6</v>
      </c>
      <c r="AA395" s="407" t="s">
        <v>704</v>
      </c>
      <c r="AB395" s="258" t="e">
        <v>#N/A</v>
      </c>
      <c r="AC395" s="258"/>
      <c r="AD395" s="258" t="s">
        <v>2132</v>
      </c>
      <c r="AE395" s="258" t="s">
        <v>2129</v>
      </c>
      <c r="AF395" s="259"/>
      <c r="AG395" s="260"/>
      <c r="AH395" s="259"/>
      <c r="AI395" s="259"/>
      <c r="AJ395" s="260"/>
      <c r="AK395" s="259">
        <v>26</v>
      </c>
      <c r="AL395" s="259"/>
      <c r="AM395" s="259" t="s">
        <v>3228</v>
      </c>
      <c r="AN395" s="449"/>
      <c r="AO395" s="449"/>
      <c r="AP395" s="449"/>
      <c r="AQ395" s="392" t="str">
        <f>IFERROR(VLOOKUP(BG395,#REF!,1,0),"")</f>
        <v/>
      </c>
      <c r="AS395" s="259" t="s">
        <v>3228</v>
      </c>
      <c r="BD395" s="202" t="str">
        <f t="shared" si="65"/>
        <v>이쿼녹스1.6 디젤 Premier Exclusive</v>
      </c>
      <c r="BE395" s="261" t="str">
        <f t="shared" si="71"/>
        <v>0034</v>
      </c>
      <c r="BF395" s="407" t="s">
        <v>704</v>
      </c>
      <c r="BG395" s="202" t="str">
        <f t="shared" si="66"/>
        <v>0034-0394</v>
      </c>
    </row>
    <row r="396" spans="1:59">
      <c r="A396" s="405">
        <v>4170</v>
      </c>
      <c r="B396" s="406">
        <v>4170</v>
      </c>
      <c r="C396" s="261" t="str">
        <f t="shared" si="67"/>
        <v>0004-0034</v>
      </c>
      <c r="D396" s="261" t="str">
        <f t="shared" si="68"/>
        <v>0004-0034-0006</v>
      </c>
      <c r="E396" s="407" t="s">
        <v>703</v>
      </c>
      <c r="F396" s="261" t="str">
        <f>TEXT(VLOOKUP(J396,'[3]1'!$B$2:$D$37,2,0),"0000")</f>
        <v>0004</v>
      </c>
      <c r="G396" s="261" t="str">
        <f t="shared" si="69"/>
        <v>0034</v>
      </c>
      <c r="H396" s="408">
        <f t="shared" si="70"/>
        <v>6</v>
      </c>
      <c r="I396" s="407" t="s">
        <v>703</v>
      </c>
      <c r="J396" s="258" t="s">
        <v>646</v>
      </c>
      <c r="K396" s="258" t="s">
        <v>2742</v>
      </c>
      <c r="L396" s="258" t="s">
        <v>2452</v>
      </c>
      <c r="M396" s="409">
        <v>35390000</v>
      </c>
      <c r="N396" s="258">
        <v>1598</v>
      </c>
      <c r="O396" s="258" t="s">
        <v>78</v>
      </c>
      <c r="P396" s="258" t="s">
        <v>73</v>
      </c>
      <c r="Q396" s="258" t="s">
        <v>72</v>
      </c>
      <c r="R396" s="258" t="e">
        <v>#N/A</v>
      </c>
      <c r="S396" s="410">
        <v>12</v>
      </c>
      <c r="T396" s="261">
        <v>6</v>
      </c>
      <c r="U396" s="261">
        <v>6</v>
      </c>
      <c r="V396" s="258" t="s">
        <v>3993</v>
      </c>
      <c r="W396" s="261" t="str">
        <f t="shared" si="72"/>
        <v>한국지엠/쉐보레 코리아이쿼녹스1.6 디젤 Premier35390000</v>
      </c>
      <c r="X396" s="411">
        <f t="shared" si="73"/>
        <v>4170</v>
      </c>
      <c r="Y396" s="261">
        <v>6</v>
      </c>
      <c r="Z396" s="261">
        <v>6</v>
      </c>
      <c r="AA396" s="407" t="s">
        <v>703</v>
      </c>
      <c r="AB396" s="258" t="e">
        <v>#N/A</v>
      </c>
      <c r="AC396" s="258"/>
      <c r="AD396" s="258" t="s">
        <v>2132</v>
      </c>
      <c r="AE396" s="258" t="s">
        <v>2129</v>
      </c>
      <c r="AF396" s="259"/>
      <c r="AG396" s="260"/>
      <c r="AH396" s="259"/>
      <c r="AI396" s="259"/>
      <c r="AJ396" s="260"/>
      <c r="AK396" s="259">
        <v>26</v>
      </c>
      <c r="AL396" s="259"/>
      <c r="AM396" s="259" t="s">
        <v>3228</v>
      </c>
      <c r="AN396" s="449"/>
      <c r="AO396" s="449"/>
      <c r="AP396" s="449"/>
      <c r="AQ396" s="392" t="str">
        <f>IFERROR(VLOOKUP(BG396,#REF!,1,0),"")</f>
        <v/>
      </c>
      <c r="AS396" s="259" t="s">
        <v>3228</v>
      </c>
      <c r="BD396" s="202" t="str">
        <f t="shared" si="65"/>
        <v>이쿼녹스1.6 디젤 Premier</v>
      </c>
      <c r="BE396" s="261" t="str">
        <f t="shared" si="71"/>
        <v>0034</v>
      </c>
      <c r="BF396" s="407" t="s">
        <v>703</v>
      </c>
      <c r="BG396" s="202" t="str">
        <f t="shared" si="66"/>
        <v>0034-0395</v>
      </c>
    </row>
    <row r="397" spans="1:59">
      <c r="A397" s="405">
        <v>4171</v>
      </c>
      <c r="B397" s="406">
        <v>4171</v>
      </c>
      <c r="C397" s="261" t="str">
        <f t="shared" si="67"/>
        <v>0004-0034</v>
      </c>
      <c r="D397" s="261" t="str">
        <f t="shared" si="68"/>
        <v>0004-0034-0007</v>
      </c>
      <c r="E397" s="407" t="s">
        <v>702</v>
      </c>
      <c r="F397" s="261" t="str">
        <f>TEXT(VLOOKUP(J397,'[3]1'!$B$2:$D$37,2,0),"0000")</f>
        <v>0004</v>
      </c>
      <c r="G397" s="261" t="str">
        <f t="shared" si="69"/>
        <v>0034</v>
      </c>
      <c r="H397" s="408">
        <f t="shared" si="70"/>
        <v>7</v>
      </c>
      <c r="I397" s="407" t="s">
        <v>702</v>
      </c>
      <c r="J397" s="258" t="s">
        <v>646</v>
      </c>
      <c r="K397" s="258" t="s">
        <v>2742</v>
      </c>
      <c r="L397" s="258" t="s">
        <v>2453</v>
      </c>
      <c r="M397" s="409">
        <v>29450000</v>
      </c>
      <c r="N397" s="258">
        <v>1598</v>
      </c>
      <c r="O397" s="258" t="s">
        <v>78</v>
      </c>
      <c r="P397" s="258" t="s">
        <v>73</v>
      </c>
      <c r="Q397" s="258" t="s">
        <v>72</v>
      </c>
      <c r="R397" s="258" t="e">
        <v>#N/A</v>
      </c>
      <c r="S397" s="410">
        <v>12</v>
      </c>
      <c r="T397" s="261">
        <v>6</v>
      </c>
      <c r="U397" s="261">
        <v>6</v>
      </c>
      <c r="V397" s="258" t="s">
        <v>3993</v>
      </c>
      <c r="W397" s="261" t="str">
        <f t="shared" si="72"/>
        <v>한국지엠/쉐보레 코리아이쿼녹스1.6 디젤 LS29450000</v>
      </c>
      <c r="X397" s="411">
        <f t="shared" si="73"/>
        <v>4171</v>
      </c>
      <c r="Y397" s="261">
        <v>6</v>
      </c>
      <c r="Z397" s="261">
        <v>6</v>
      </c>
      <c r="AA397" s="407" t="s">
        <v>702</v>
      </c>
      <c r="AB397" s="258" t="e">
        <v>#N/A</v>
      </c>
      <c r="AC397" s="258"/>
      <c r="AD397" s="258" t="s">
        <v>2132</v>
      </c>
      <c r="AE397" s="258" t="s">
        <v>2129</v>
      </c>
      <c r="AF397" s="259"/>
      <c r="AG397" s="260"/>
      <c r="AH397" s="259"/>
      <c r="AI397" s="259"/>
      <c r="AJ397" s="260"/>
      <c r="AK397" s="259">
        <v>26</v>
      </c>
      <c r="AL397" s="259"/>
      <c r="AM397" s="259" t="s">
        <v>3228</v>
      </c>
      <c r="AN397" s="449"/>
      <c r="AO397" s="449"/>
      <c r="AP397" s="449"/>
      <c r="AQ397" s="392" t="str">
        <f>IFERROR(VLOOKUP(BG397,#REF!,1,0),"")</f>
        <v/>
      </c>
      <c r="AS397" s="259" t="s">
        <v>3228</v>
      </c>
      <c r="BD397" s="202" t="str">
        <f t="shared" si="65"/>
        <v>이쿼녹스1.6 디젤 LS</v>
      </c>
      <c r="BE397" s="261" t="str">
        <f t="shared" si="71"/>
        <v>0034</v>
      </c>
      <c r="BF397" s="407" t="s">
        <v>702</v>
      </c>
      <c r="BG397" s="202" t="str">
        <f t="shared" si="66"/>
        <v>0034-0396</v>
      </c>
    </row>
    <row r="398" spans="1:59">
      <c r="A398" s="405">
        <v>4172</v>
      </c>
      <c r="B398" s="406">
        <v>4172</v>
      </c>
      <c r="C398" s="261" t="str">
        <f t="shared" si="67"/>
        <v>0004-0035</v>
      </c>
      <c r="D398" s="261" t="str">
        <f t="shared" si="68"/>
        <v>0004-0035-0001</v>
      </c>
      <c r="E398" s="407" t="s">
        <v>701</v>
      </c>
      <c r="F398" s="261" t="str">
        <f>TEXT(VLOOKUP(J398,'[3]1'!$B$2:$D$37,2,0),"0000")</f>
        <v>0004</v>
      </c>
      <c r="G398" s="261" t="str">
        <f t="shared" si="69"/>
        <v>0035</v>
      </c>
      <c r="H398" s="408">
        <f t="shared" si="70"/>
        <v>1</v>
      </c>
      <c r="I398" s="407" t="s">
        <v>701</v>
      </c>
      <c r="J398" s="258" t="s">
        <v>646</v>
      </c>
      <c r="K398" s="258" t="s">
        <v>2743</v>
      </c>
      <c r="L398" s="258" t="s">
        <v>2454</v>
      </c>
      <c r="M398" s="409">
        <v>39990000</v>
      </c>
      <c r="N398" s="258">
        <v>2457</v>
      </c>
      <c r="O398" s="258" t="s">
        <v>77</v>
      </c>
      <c r="P398" s="258" t="s">
        <v>73</v>
      </c>
      <c r="Q398" s="258" t="s">
        <v>72</v>
      </c>
      <c r="R398" s="258" t="e">
        <v>#N/A</v>
      </c>
      <c r="S398" s="410">
        <v>12</v>
      </c>
      <c r="T398" s="261">
        <v>6</v>
      </c>
      <c r="U398" s="261">
        <v>6</v>
      </c>
      <c r="V398" s="258" t="s">
        <v>3993</v>
      </c>
      <c r="W398" s="261" t="str">
        <f t="shared" si="72"/>
        <v>한국지엠/쉐보레 코리아임팔라2.5L 가솔린 LTZ A/T39990000</v>
      </c>
      <c r="X398" s="411">
        <f t="shared" si="73"/>
        <v>4172</v>
      </c>
      <c r="Y398" s="261">
        <v>6</v>
      </c>
      <c r="Z398" s="261">
        <v>6</v>
      </c>
      <c r="AA398" s="407" t="s">
        <v>701</v>
      </c>
      <c r="AB398" s="258" t="e">
        <v>#N/A</v>
      </c>
      <c r="AC398" s="258"/>
      <c r="AD398" s="258" t="s">
        <v>2132</v>
      </c>
      <c r="AE398" s="258" t="s">
        <v>2129</v>
      </c>
      <c r="AF398" s="259"/>
      <c r="AG398" s="260"/>
      <c r="AH398" s="259"/>
      <c r="AI398" s="259"/>
      <c r="AJ398" s="260"/>
      <c r="AK398" s="259">
        <v>26</v>
      </c>
      <c r="AL398" s="259"/>
      <c r="AM398" s="259" t="s">
        <v>3228</v>
      </c>
      <c r="AN398" s="449"/>
      <c r="AO398" s="449"/>
      <c r="AP398" s="449"/>
      <c r="AQ398" s="392" t="str">
        <f>IFERROR(VLOOKUP(BG398,#REF!,1,0),"")</f>
        <v/>
      </c>
      <c r="AS398" s="259" t="s">
        <v>3228</v>
      </c>
      <c r="BD398" s="202" t="str">
        <f t="shared" si="65"/>
        <v>임팔라2.5L 가솔린 LTZ A/T</v>
      </c>
      <c r="BE398" s="261" t="str">
        <f t="shared" si="71"/>
        <v>0035</v>
      </c>
      <c r="BF398" s="407" t="s">
        <v>701</v>
      </c>
      <c r="BG398" s="202" t="str">
        <f t="shared" si="66"/>
        <v>0035-0397</v>
      </c>
    </row>
    <row r="399" spans="1:59">
      <c r="A399" s="405">
        <v>4173</v>
      </c>
      <c r="B399" s="406">
        <v>4173</v>
      </c>
      <c r="C399" s="261" t="str">
        <f t="shared" si="67"/>
        <v>0004-0035</v>
      </c>
      <c r="D399" s="261" t="str">
        <f t="shared" si="68"/>
        <v>0004-0035-0002</v>
      </c>
      <c r="E399" s="407" t="s">
        <v>700</v>
      </c>
      <c r="F399" s="261" t="str">
        <f>TEXT(VLOOKUP(J399,'[3]1'!$B$2:$D$37,2,0),"0000")</f>
        <v>0004</v>
      </c>
      <c r="G399" s="261" t="str">
        <f t="shared" si="69"/>
        <v>0035</v>
      </c>
      <c r="H399" s="408">
        <f t="shared" si="70"/>
        <v>2</v>
      </c>
      <c r="I399" s="407" t="s">
        <v>700</v>
      </c>
      <c r="J399" s="258" t="s">
        <v>646</v>
      </c>
      <c r="K399" s="258" t="s">
        <v>2743</v>
      </c>
      <c r="L399" s="258" t="s">
        <v>2455</v>
      </c>
      <c r="M399" s="409">
        <v>35500000</v>
      </c>
      <c r="N399" s="258">
        <v>2457</v>
      </c>
      <c r="O399" s="258" t="s">
        <v>77</v>
      </c>
      <c r="P399" s="258" t="s">
        <v>73</v>
      </c>
      <c r="Q399" s="258" t="s">
        <v>72</v>
      </c>
      <c r="R399" s="258" t="e">
        <v>#N/A</v>
      </c>
      <c r="S399" s="410">
        <v>12</v>
      </c>
      <c r="T399" s="261">
        <v>6</v>
      </c>
      <c r="U399" s="261">
        <v>6</v>
      </c>
      <c r="V399" s="258" t="s">
        <v>3993</v>
      </c>
      <c r="W399" s="261" t="str">
        <f t="shared" si="72"/>
        <v>한국지엠/쉐보레 코리아임팔라2.5L 가솔린 LT A/T35500000</v>
      </c>
      <c r="X399" s="411">
        <f t="shared" si="73"/>
        <v>4173</v>
      </c>
      <c r="Y399" s="261">
        <v>6</v>
      </c>
      <c r="Z399" s="261">
        <v>6</v>
      </c>
      <c r="AA399" s="407" t="s">
        <v>700</v>
      </c>
      <c r="AB399" s="258" t="e">
        <v>#N/A</v>
      </c>
      <c r="AC399" s="258"/>
      <c r="AD399" s="258" t="s">
        <v>2132</v>
      </c>
      <c r="AE399" s="258" t="s">
        <v>2129</v>
      </c>
      <c r="AF399" s="259"/>
      <c r="AG399" s="260"/>
      <c r="AH399" s="259"/>
      <c r="AI399" s="259"/>
      <c r="AJ399" s="260"/>
      <c r="AK399" s="259">
        <v>26</v>
      </c>
      <c r="AL399" s="259"/>
      <c r="AM399" s="259" t="s">
        <v>3228</v>
      </c>
      <c r="AN399" s="449"/>
      <c r="AO399" s="449"/>
      <c r="AP399" s="449"/>
      <c r="AQ399" s="392" t="str">
        <f>IFERROR(VLOOKUP(BG399,#REF!,1,0),"")</f>
        <v/>
      </c>
      <c r="AS399" s="259" t="s">
        <v>3228</v>
      </c>
      <c r="BD399" s="202" t="str">
        <f t="shared" si="65"/>
        <v>임팔라2.5L 가솔린 LT A/T</v>
      </c>
      <c r="BE399" s="261" t="str">
        <f t="shared" si="71"/>
        <v>0035</v>
      </c>
      <c r="BF399" s="407" t="s">
        <v>700</v>
      </c>
      <c r="BG399" s="202" t="str">
        <f t="shared" si="66"/>
        <v>0035-0398</v>
      </c>
    </row>
    <row r="400" spans="1:59">
      <c r="A400" s="405">
        <v>4174</v>
      </c>
      <c r="B400" s="406">
        <v>4174</v>
      </c>
      <c r="C400" s="261" t="str">
        <f t="shared" si="67"/>
        <v>0004-0035</v>
      </c>
      <c r="D400" s="261" t="str">
        <f t="shared" si="68"/>
        <v>0004-0035-0003</v>
      </c>
      <c r="E400" s="407" t="s">
        <v>699</v>
      </c>
      <c r="F400" s="261" t="str">
        <f>TEXT(VLOOKUP(J400,'[3]1'!$B$2:$D$37,2,0),"0000")</f>
        <v>0004</v>
      </c>
      <c r="G400" s="261" t="str">
        <f t="shared" si="69"/>
        <v>0035</v>
      </c>
      <c r="H400" s="408">
        <f t="shared" si="70"/>
        <v>3</v>
      </c>
      <c r="I400" s="407" t="s">
        <v>699</v>
      </c>
      <c r="J400" s="258" t="s">
        <v>646</v>
      </c>
      <c r="K400" s="258" t="s">
        <v>2743</v>
      </c>
      <c r="L400" s="258" t="s">
        <v>2456</v>
      </c>
      <c r="M400" s="409">
        <v>45360000</v>
      </c>
      <c r="N400" s="258">
        <v>3564</v>
      </c>
      <c r="O400" s="258" t="s">
        <v>77</v>
      </c>
      <c r="P400" s="258" t="s">
        <v>73</v>
      </c>
      <c r="Q400" s="258" t="s">
        <v>72</v>
      </c>
      <c r="R400" s="258" t="e">
        <v>#N/A</v>
      </c>
      <c r="S400" s="410">
        <v>12</v>
      </c>
      <c r="T400" s="261">
        <v>6</v>
      </c>
      <c r="U400" s="261">
        <v>6</v>
      </c>
      <c r="V400" s="258" t="s">
        <v>3993</v>
      </c>
      <c r="W400" s="261" t="str">
        <f t="shared" si="72"/>
        <v>한국지엠/쉐보레 코리아임팔라3.6L 가솔린 LTZ A/T45360000</v>
      </c>
      <c r="X400" s="411">
        <f t="shared" si="73"/>
        <v>4174</v>
      </c>
      <c r="Y400" s="261">
        <v>6</v>
      </c>
      <c r="Z400" s="261">
        <v>6</v>
      </c>
      <c r="AA400" s="407" t="s">
        <v>699</v>
      </c>
      <c r="AB400" s="258" t="e">
        <v>#N/A</v>
      </c>
      <c r="AC400" s="258"/>
      <c r="AD400" s="258" t="s">
        <v>2133</v>
      </c>
      <c r="AE400" s="258" t="s">
        <v>2129</v>
      </c>
      <c r="AF400" s="259"/>
      <c r="AG400" s="260"/>
      <c r="AH400" s="259"/>
      <c r="AI400" s="259"/>
      <c r="AJ400" s="260"/>
      <c r="AK400" s="259">
        <v>26</v>
      </c>
      <c r="AL400" s="259"/>
      <c r="AM400" s="259" t="s">
        <v>3228</v>
      </c>
      <c r="AN400" s="449"/>
      <c r="AO400" s="449"/>
      <c r="AP400" s="449"/>
      <c r="AQ400" s="392" t="str">
        <f>IFERROR(VLOOKUP(BG400,#REF!,1,0),"")</f>
        <v/>
      </c>
      <c r="AS400" s="259" t="s">
        <v>3228</v>
      </c>
      <c r="BD400" s="202" t="str">
        <f t="shared" si="65"/>
        <v>임팔라3.6L 가솔린 LTZ A/T</v>
      </c>
      <c r="BE400" s="261" t="str">
        <f t="shared" si="71"/>
        <v>0035</v>
      </c>
      <c r="BF400" s="407" t="s">
        <v>699</v>
      </c>
      <c r="BG400" s="202" t="str">
        <f t="shared" si="66"/>
        <v>0035-0399</v>
      </c>
    </row>
    <row r="401" spans="1:59">
      <c r="A401" s="405">
        <v>4175</v>
      </c>
      <c r="B401" s="406">
        <v>4175</v>
      </c>
      <c r="C401" s="261" t="str">
        <f t="shared" si="67"/>
        <v>0004-0036</v>
      </c>
      <c r="D401" s="261" t="str">
        <f t="shared" si="68"/>
        <v>0004-0036-0001</v>
      </c>
      <c r="E401" s="407" t="s">
        <v>698</v>
      </c>
      <c r="F401" s="261" t="str">
        <f>TEXT(VLOOKUP(J401,'[3]1'!$B$2:$D$37,2,0),"0000")</f>
        <v>0004</v>
      </c>
      <c r="G401" s="261" t="str">
        <f t="shared" si="69"/>
        <v>0036</v>
      </c>
      <c r="H401" s="408">
        <f t="shared" si="70"/>
        <v>1</v>
      </c>
      <c r="I401" s="407" t="s">
        <v>698</v>
      </c>
      <c r="J401" s="258" t="s">
        <v>646</v>
      </c>
      <c r="K401" s="258" t="s">
        <v>3145</v>
      </c>
      <c r="L401" s="258" t="s">
        <v>2457</v>
      </c>
      <c r="M401" s="409">
        <v>50270000</v>
      </c>
      <c r="N401" s="258">
        <v>6162</v>
      </c>
      <c r="O401" s="258" t="s">
        <v>77</v>
      </c>
      <c r="P401" s="258" t="s">
        <v>73</v>
      </c>
      <c r="Q401" s="258" t="s">
        <v>72</v>
      </c>
      <c r="R401" s="258">
        <v>5</v>
      </c>
      <c r="S401" s="410">
        <v>19</v>
      </c>
      <c r="T401" s="261">
        <v>6</v>
      </c>
      <c r="U401" s="261">
        <v>6</v>
      </c>
      <c r="V401" s="258" t="s">
        <v>71</v>
      </c>
      <c r="W401" s="261" t="str">
        <f t="shared" si="72"/>
        <v>한국지엠/쉐보레 코리아카마로6.2 V8 가솔린 A/T50270000</v>
      </c>
      <c r="X401" s="411">
        <f t="shared" si="73"/>
        <v>4175</v>
      </c>
      <c r="Y401" s="261">
        <v>6</v>
      </c>
      <c r="Z401" s="261">
        <v>6</v>
      </c>
      <c r="AA401" s="407" t="s">
        <v>698</v>
      </c>
      <c r="AB401" s="258" t="s">
        <v>73</v>
      </c>
      <c r="AC401" s="258"/>
      <c r="AD401" s="258" t="s">
        <v>2134</v>
      </c>
      <c r="AE401" s="258" t="s">
        <v>2129</v>
      </c>
      <c r="AF401" s="259"/>
      <c r="AG401" s="260"/>
      <c r="AH401" s="259"/>
      <c r="AI401" s="259"/>
      <c r="AJ401" s="260"/>
      <c r="AK401" s="259">
        <v>26</v>
      </c>
      <c r="AL401" s="259"/>
      <c r="AM401" s="259" t="s">
        <v>91</v>
      </c>
      <c r="AN401" s="449"/>
      <c r="AO401" s="449"/>
      <c r="AP401" s="449"/>
      <c r="AQ401" s="392" t="str">
        <f>IFERROR(VLOOKUP(BG401,#REF!,1,0),"")</f>
        <v/>
      </c>
      <c r="AS401" s="259" t="s">
        <v>91</v>
      </c>
      <c r="BD401" s="202" t="str">
        <f t="shared" si="65"/>
        <v>카마로6.2 V8 가솔린 A/T</v>
      </c>
      <c r="BE401" s="261" t="str">
        <f t="shared" si="71"/>
        <v>0036</v>
      </c>
      <c r="BF401" s="407" t="s">
        <v>698</v>
      </c>
      <c r="BG401" s="202" t="str">
        <f t="shared" si="66"/>
        <v>0036-0400</v>
      </c>
    </row>
    <row r="402" spans="1:59">
      <c r="A402" s="405">
        <v>4176</v>
      </c>
      <c r="B402" s="406">
        <v>4176</v>
      </c>
      <c r="C402" s="261" t="str">
        <f t="shared" si="67"/>
        <v>0004-0036</v>
      </c>
      <c r="D402" s="261" t="str">
        <f t="shared" si="68"/>
        <v>0004-0036-0002</v>
      </c>
      <c r="E402" s="407" t="s">
        <v>697</v>
      </c>
      <c r="F402" s="261" t="str">
        <f>TEXT(VLOOKUP(J402,'[3]1'!$B$2:$D$37,2,0),"0000")</f>
        <v>0004</v>
      </c>
      <c r="G402" s="261" t="str">
        <f t="shared" si="69"/>
        <v>0036</v>
      </c>
      <c r="H402" s="408">
        <f t="shared" si="70"/>
        <v>2</v>
      </c>
      <c r="I402" s="407" t="s">
        <v>697</v>
      </c>
      <c r="J402" s="258" t="s">
        <v>646</v>
      </c>
      <c r="K402" s="258" t="s">
        <v>3145</v>
      </c>
      <c r="L402" s="258" t="s">
        <v>2457</v>
      </c>
      <c r="M402" s="409">
        <v>50270000</v>
      </c>
      <c r="N402" s="258">
        <v>6162</v>
      </c>
      <c r="O402" s="258" t="s">
        <v>77</v>
      </c>
      <c r="P402" s="258" t="s">
        <v>73</v>
      </c>
      <c r="Q402" s="258" t="s">
        <v>72</v>
      </c>
      <c r="R402" s="258">
        <v>11</v>
      </c>
      <c r="S402" s="410">
        <v>19</v>
      </c>
      <c r="T402" s="261">
        <v>6</v>
      </c>
      <c r="U402" s="261">
        <v>6</v>
      </c>
      <c r="V402" s="258" t="s">
        <v>71</v>
      </c>
      <c r="W402" s="261" t="str">
        <f t="shared" si="72"/>
        <v>한국지엠/쉐보레 코리아카마로6.2 V8 가솔린 A/T50270000</v>
      </c>
      <c r="X402" s="411">
        <f t="shared" si="73"/>
        <v>4176</v>
      </c>
      <c r="Y402" s="261">
        <v>6</v>
      </c>
      <c r="Z402" s="261">
        <v>6</v>
      </c>
      <c r="AA402" s="407" t="s">
        <v>697</v>
      </c>
      <c r="AB402" s="258" t="s">
        <v>2890</v>
      </c>
      <c r="AC402" s="258"/>
      <c r="AD402" s="258" t="s">
        <v>2134</v>
      </c>
      <c r="AE402" s="258" t="s">
        <v>2129</v>
      </c>
      <c r="AF402" s="259"/>
      <c r="AG402" s="260"/>
      <c r="AH402" s="259"/>
      <c r="AI402" s="259"/>
      <c r="AJ402" s="260"/>
      <c r="AK402" s="259">
        <v>26</v>
      </c>
      <c r="AL402" s="259"/>
      <c r="AM402" s="259" t="s">
        <v>91</v>
      </c>
      <c r="AN402" s="449"/>
      <c r="AO402" s="449"/>
      <c r="AP402" s="449"/>
      <c r="AQ402" s="392" t="str">
        <f>IFERROR(VLOOKUP(BG402,#REF!,1,0),"")</f>
        <v/>
      </c>
      <c r="AS402" s="259" t="s">
        <v>91</v>
      </c>
      <c r="BD402" s="202" t="str">
        <f t="shared" si="65"/>
        <v>카마로6.2 V8 가솔린 A/T</v>
      </c>
      <c r="BE402" s="261" t="str">
        <f t="shared" si="71"/>
        <v>0036</v>
      </c>
      <c r="BF402" s="407" t="s">
        <v>697</v>
      </c>
      <c r="BG402" s="202" t="str">
        <f t="shared" si="66"/>
        <v>0036-0401</v>
      </c>
    </row>
    <row r="403" spans="1:59">
      <c r="A403" s="405">
        <v>4177</v>
      </c>
      <c r="B403" s="406">
        <v>4177</v>
      </c>
      <c r="C403" s="261" t="str">
        <f t="shared" si="67"/>
        <v>0004-0037</v>
      </c>
      <c r="D403" s="261" t="str">
        <f t="shared" si="68"/>
        <v>0004-0037-0001</v>
      </c>
      <c r="E403" s="407" t="s">
        <v>696</v>
      </c>
      <c r="F403" s="261" t="str">
        <f>TEXT(VLOOKUP(J403,'[3]1'!$B$2:$D$37,2,0),"0000")</f>
        <v>0004</v>
      </c>
      <c r="G403" s="261" t="str">
        <f t="shared" si="69"/>
        <v>0037</v>
      </c>
      <c r="H403" s="408">
        <f t="shared" si="70"/>
        <v>1</v>
      </c>
      <c r="I403" s="407" t="s">
        <v>696</v>
      </c>
      <c r="J403" s="258" t="s">
        <v>646</v>
      </c>
      <c r="K403" s="258" t="s">
        <v>2744</v>
      </c>
      <c r="L403" s="258" t="s">
        <v>2458</v>
      </c>
      <c r="M403" s="409">
        <v>42650000</v>
      </c>
      <c r="N403" s="258">
        <v>3649</v>
      </c>
      <c r="O403" s="258" t="s">
        <v>77</v>
      </c>
      <c r="P403" s="258" t="s">
        <v>2806</v>
      </c>
      <c r="Q403" s="258" t="s">
        <v>72</v>
      </c>
      <c r="R403" s="258">
        <v>5</v>
      </c>
      <c r="S403" s="410">
        <v>9</v>
      </c>
      <c r="T403" s="261">
        <v>6</v>
      </c>
      <c r="U403" s="261">
        <v>6</v>
      </c>
      <c r="V403" s="258" t="s">
        <v>1969</v>
      </c>
      <c r="W403" s="261" t="str">
        <f t="shared" si="72"/>
        <v>한국지엠/쉐보레 코리아콜로라도3.6 가솔린 4WD 익스트림 X42650000</v>
      </c>
      <c r="X403" s="411">
        <f t="shared" si="73"/>
        <v>4177</v>
      </c>
      <c r="Y403" s="261">
        <v>6</v>
      </c>
      <c r="Z403" s="261">
        <v>6</v>
      </c>
      <c r="AA403" s="407" t="s">
        <v>696</v>
      </c>
      <c r="AB403" s="258" t="s">
        <v>2806</v>
      </c>
      <c r="AC403" s="258"/>
      <c r="AD403" s="258">
        <v>5</v>
      </c>
      <c r="AE403" s="258" t="s">
        <v>2129</v>
      </c>
      <c r="AF403" s="259"/>
      <c r="AG403" s="260"/>
      <c r="AH403" s="259"/>
      <c r="AI403" s="259"/>
      <c r="AJ403" s="260"/>
      <c r="AK403" s="259">
        <v>26</v>
      </c>
      <c r="AL403" s="259"/>
      <c r="AM403" s="259" t="s">
        <v>3222</v>
      </c>
      <c r="AN403" s="449"/>
      <c r="AO403" s="449"/>
      <c r="AP403" s="449"/>
      <c r="AQ403" s="392" t="str">
        <f>IFERROR(VLOOKUP(BG403,#REF!,1,0),"")</f>
        <v/>
      </c>
      <c r="AS403" s="259" t="s">
        <v>3222</v>
      </c>
      <c r="BD403" s="202" t="str">
        <f t="shared" si="65"/>
        <v>콜로라도3.6 가솔린 4WD 익스트림 X</v>
      </c>
      <c r="BE403" s="261" t="str">
        <f t="shared" si="71"/>
        <v>0037</v>
      </c>
      <c r="BF403" s="407" t="s">
        <v>696</v>
      </c>
      <c r="BG403" s="202" t="str">
        <f t="shared" si="66"/>
        <v>0037-0402</v>
      </c>
    </row>
    <row r="404" spans="1:59">
      <c r="A404" s="405">
        <v>4178</v>
      </c>
      <c r="B404" s="406">
        <v>4178</v>
      </c>
      <c r="C404" s="261" t="str">
        <f t="shared" si="67"/>
        <v>0004-0037</v>
      </c>
      <c r="D404" s="261" t="str">
        <f t="shared" si="68"/>
        <v>0004-0037-0002</v>
      </c>
      <c r="E404" s="407" t="s">
        <v>695</v>
      </c>
      <c r="F404" s="261" t="str">
        <f>TEXT(VLOOKUP(J404,'[3]1'!$B$2:$D$37,2,0),"0000")</f>
        <v>0004</v>
      </c>
      <c r="G404" s="261" t="str">
        <f t="shared" si="69"/>
        <v>0037</v>
      </c>
      <c r="H404" s="408">
        <f t="shared" si="70"/>
        <v>2</v>
      </c>
      <c r="I404" s="407" t="s">
        <v>695</v>
      </c>
      <c r="J404" s="258" t="s">
        <v>646</v>
      </c>
      <c r="K404" s="258" t="s">
        <v>2744</v>
      </c>
      <c r="L404" s="417" t="s">
        <v>2846</v>
      </c>
      <c r="M404" s="418">
        <v>44990000</v>
      </c>
      <c r="N404" s="419">
        <v>3649</v>
      </c>
      <c r="O404" s="258" t="s">
        <v>77</v>
      </c>
      <c r="P404" s="258" t="s">
        <v>2806</v>
      </c>
      <c r="Q404" s="417" t="s">
        <v>72</v>
      </c>
      <c r="R404" s="419">
        <v>5</v>
      </c>
      <c r="S404" s="410">
        <v>9</v>
      </c>
      <c r="T404" s="261">
        <v>6</v>
      </c>
      <c r="U404" s="261">
        <v>6</v>
      </c>
      <c r="V404" s="258" t="s">
        <v>1969</v>
      </c>
      <c r="W404" s="261" t="str">
        <f t="shared" si="72"/>
        <v>한국지엠/쉐보레 코리아콜로라도Z71-X44990000</v>
      </c>
      <c r="X404" s="411">
        <f t="shared" si="73"/>
        <v>4178</v>
      </c>
      <c r="Y404" s="261">
        <v>6</v>
      </c>
      <c r="Z404" s="261">
        <v>6</v>
      </c>
      <c r="AA404" s="407" t="s">
        <v>695</v>
      </c>
      <c r="AB404" s="258" t="s">
        <v>2806</v>
      </c>
      <c r="AC404" s="258"/>
      <c r="AD404" s="258">
        <v>5</v>
      </c>
      <c r="AE404" s="258">
        <v>0</v>
      </c>
      <c r="AF404" s="259"/>
      <c r="AG404" s="260"/>
      <c r="AH404" s="259"/>
      <c r="AI404" s="259"/>
      <c r="AJ404" s="260"/>
      <c r="AK404" s="259">
        <v>26</v>
      </c>
      <c r="AL404" s="259"/>
      <c r="AM404" s="259" t="s">
        <v>3222</v>
      </c>
      <c r="AN404" s="449"/>
      <c r="AO404" s="449"/>
      <c r="AP404" s="449"/>
      <c r="AQ404" s="392" t="str">
        <f>IFERROR(VLOOKUP(BG404,#REF!,1,0),"")</f>
        <v/>
      </c>
      <c r="AS404" s="259" t="s">
        <v>3222</v>
      </c>
      <c r="BD404" s="202" t="str">
        <f t="shared" si="65"/>
        <v>콜로라도Z71-X</v>
      </c>
      <c r="BE404" s="261" t="str">
        <f t="shared" si="71"/>
        <v>0037</v>
      </c>
      <c r="BF404" s="407" t="s">
        <v>695</v>
      </c>
      <c r="BG404" s="202" t="str">
        <f t="shared" si="66"/>
        <v>0037-0403</v>
      </c>
    </row>
    <row r="405" spans="1:59">
      <c r="A405" s="405">
        <v>4179</v>
      </c>
      <c r="B405" s="406">
        <v>4179</v>
      </c>
      <c r="C405" s="261" t="str">
        <f t="shared" si="67"/>
        <v>0004-0037</v>
      </c>
      <c r="D405" s="261" t="str">
        <f t="shared" si="68"/>
        <v>0004-0037-0003</v>
      </c>
      <c r="E405" s="407" t="s">
        <v>694</v>
      </c>
      <c r="F405" s="261" t="str">
        <f>TEXT(VLOOKUP(J405,'[3]1'!$B$2:$D$37,2,0),"0000")</f>
        <v>0004</v>
      </c>
      <c r="G405" s="261" t="str">
        <f t="shared" si="69"/>
        <v>0037</v>
      </c>
      <c r="H405" s="408">
        <f t="shared" si="70"/>
        <v>3</v>
      </c>
      <c r="I405" s="407" t="s">
        <v>694</v>
      </c>
      <c r="J405" s="258" t="s">
        <v>646</v>
      </c>
      <c r="K405" s="258" t="s">
        <v>2744</v>
      </c>
      <c r="L405" s="417" t="s">
        <v>2847</v>
      </c>
      <c r="M405" s="418">
        <v>46490000</v>
      </c>
      <c r="N405" s="419">
        <v>3649</v>
      </c>
      <c r="O405" s="258" t="s">
        <v>77</v>
      </c>
      <c r="P405" s="258" t="s">
        <v>2806</v>
      </c>
      <c r="Q405" s="417" t="s">
        <v>72</v>
      </c>
      <c r="R405" s="419">
        <v>5</v>
      </c>
      <c r="S405" s="410">
        <v>9</v>
      </c>
      <c r="T405" s="261">
        <v>6</v>
      </c>
      <c r="U405" s="261">
        <v>6</v>
      </c>
      <c r="V405" s="258" t="s">
        <v>1969</v>
      </c>
      <c r="W405" s="261" t="str">
        <f t="shared" si="72"/>
        <v>한국지엠/쉐보레 코리아콜로라도Z71-X 미드나잇46490000</v>
      </c>
      <c r="X405" s="411">
        <f t="shared" si="73"/>
        <v>4179</v>
      </c>
      <c r="Y405" s="261">
        <v>6</v>
      </c>
      <c r="Z405" s="261">
        <v>6</v>
      </c>
      <c r="AA405" s="407" t="s">
        <v>694</v>
      </c>
      <c r="AB405" s="258" t="s">
        <v>2806</v>
      </c>
      <c r="AC405" s="258"/>
      <c r="AD405" s="258">
        <v>5</v>
      </c>
      <c r="AE405" s="258">
        <v>0</v>
      </c>
      <c r="AF405" s="259"/>
      <c r="AG405" s="260"/>
      <c r="AH405" s="259"/>
      <c r="AI405" s="259"/>
      <c r="AJ405" s="260"/>
      <c r="AK405" s="259">
        <v>26</v>
      </c>
      <c r="AL405" s="259"/>
      <c r="AM405" s="259" t="s">
        <v>3222</v>
      </c>
      <c r="AN405" s="449"/>
      <c r="AO405" s="449"/>
      <c r="AP405" s="449"/>
      <c r="AQ405" s="392" t="str">
        <f>IFERROR(VLOOKUP(BG405,#REF!,1,0),"")</f>
        <v/>
      </c>
      <c r="AS405" s="259" t="s">
        <v>3222</v>
      </c>
      <c r="BD405" s="202" t="str">
        <f t="shared" si="65"/>
        <v>콜로라도Z71-X 미드나잇</v>
      </c>
      <c r="BE405" s="261" t="str">
        <f t="shared" si="71"/>
        <v>0037</v>
      </c>
      <c r="BF405" s="407" t="s">
        <v>694</v>
      </c>
      <c r="BG405" s="202" t="str">
        <f t="shared" si="66"/>
        <v>0037-0404</v>
      </c>
    </row>
    <row r="406" spans="1:59">
      <c r="A406" s="405">
        <v>4180</v>
      </c>
      <c r="B406" s="406">
        <v>4180</v>
      </c>
      <c r="C406" s="261" t="str">
        <f t="shared" si="67"/>
        <v>0004-0037</v>
      </c>
      <c r="D406" s="261" t="str">
        <f t="shared" si="68"/>
        <v>0004-0037-0004</v>
      </c>
      <c r="E406" s="407" t="s">
        <v>693</v>
      </c>
      <c r="F406" s="261" t="str">
        <f>TEXT(VLOOKUP(J406,'[3]1'!$B$2:$D$37,2,0),"0000")</f>
        <v>0004</v>
      </c>
      <c r="G406" s="261" t="str">
        <f t="shared" si="69"/>
        <v>0037</v>
      </c>
      <c r="H406" s="408">
        <f t="shared" si="70"/>
        <v>4</v>
      </c>
      <c r="I406" s="407" t="s">
        <v>693</v>
      </c>
      <c r="J406" s="258" t="s">
        <v>646</v>
      </c>
      <c r="K406" s="258" t="s">
        <v>2744</v>
      </c>
      <c r="L406" s="417" t="s">
        <v>2848</v>
      </c>
      <c r="M406" s="418">
        <v>38300000</v>
      </c>
      <c r="N406" s="419">
        <v>3649</v>
      </c>
      <c r="O406" s="258" t="s">
        <v>77</v>
      </c>
      <c r="P406" s="258" t="s">
        <v>2806</v>
      </c>
      <c r="Q406" s="417" t="s">
        <v>72</v>
      </c>
      <c r="R406" s="419">
        <v>5</v>
      </c>
      <c r="S406" s="410">
        <v>9</v>
      </c>
      <c r="T406" s="261">
        <v>6</v>
      </c>
      <c r="U406" s="261">
        <v>6</v>
      </c>
      <c r="V406" s="258" t="s">
        <v>1969</v>
      </c>
      <c r="W406" s="261" t="str">
        <f t="shared" si="72"/>
        <v>한국지엠/쉐보레 코리아콜로라도익스트림38300000</v>
      </c>
      <c r="X406" s="411">
        <f t="shared" si="73"/>
        <v>4180</v>
      </c>
      <c r="Y406" s="261">
        <v>6</v>
      </c>
      <c r="Z406" s="261">
        <v>6</v>
      </c>
      <c r="AA406" s="407" t="s">
        <v>693</v>
      </c>
      <c r="AB406" s="258" t="s">
        <v>2806</v>
      </c>
      <c r="AC406" s="258"/>
      <c r="AD406" s="258">
        <v>5</v>
      </c>
      <c r="AE406" s="258">
        <v>0</v>
      </c>
      <c r="AF406" s="259"/>
      <c r="AG406" s="260"/>
      <c r="AH406" s="259"/>
      <c r="AI406" s="259"/>
      <c r="AJ406" s="260"/>
      <c r="AK406" s="259">
        <v>26</v>
      </c>
      <c r="AL406" s="259"/>
      <c r="AM406" s="259" t="s">
        <v>3222</v>
      </c>
      <c r="AN406" s="449"/>
      <c r="AO406" s="449"/>
      <c r="AP406" s="449"/>
      <c r="AQ406" s="392" t="str">
        <f>IFERROR(VLOOKUP(BG406,#REF!,1,0),"")</f>
        <v/>
      </c>
      <c r="AS406" s="259" t="s">
        <v>3222</v>
      </c>
      <c r="BD406" s="202" t="str">
        <f t="shared" si="65"/>
        <v>콜로라도익스트림</v>
      </c>
      <c r="BE406" s="261" t="str">
        <f t="shared" si="71"/>
        <v>0037</v>
      </c>
      <c r="BF406" s="407" t="s">
        <v>693</v>
      </c>
      <c r="BG406" s="202" t="str">
        <f t="shared" si="66"/>
        <v>0037-0405</v>
      </c>
    </row>
    <row r="407" spans="1:59">
      <c r="A407" s="405">
        <v>4181</v>
      </c>
      <c r="B407" s="406">
        <v>4181</v>
      </c>
      <c r="C407" s="261" t="str">
        <f t="shared" si="67"/>
        <v>0004-0037</v>
      </c>
      <c r="D407" s="261" t="str">
        <f t="shared" si="68"/>
        <v>0004-0037-0005</v>
      </c>
      <c r="E407" s="407" t="s">
        <v>692</v>
      </c>
      <c r="F407" s="261" t="str">
        <f>TEXT(VLOOKUP(J407,'[3]1'!$B$2:$D$37,2,0),"0000")</f>
        <v>0004</v>
      </c>
      <c r="G407" s="261" t="str">
        <f t="shared" si="69"/>
        <v>0037</v>
      </c>
      <c r="H407" s="408">
        <f t="shared" si="70"/>
        <v>5</v>
      </c>
      <c r="I407" s="407" t="s">
        <v>692</v>
      </c>
      <c r="J407" s="258" t="s">
        <v>646</v>
      </c>
      <c r="K407" s="258" t="s">
        <v>2744</v>
      </c>
      <c r="L407" s="417" t="s">
        <v>2849</v>
      </c>
      <c r="M407" s="418">
        <v>41600000</v>
      </c>
      <c r="N407" s="419">
        <v>3649</v>
      </c>
      <c r="O407" s="258" t="s">
        <v>77</v>
      </c>
      <c r="P407" s="258" t="s">
        <v>2806</v>
      </c>
      <c r="Q407" s="417" t="s">
        <v>72</v>
      </c>
      <c r="R407" s="419">
        <v>5</v>
      </c>
      <c r="S407" s="410">
        <v>9</v>
      </c>
      <c r="T407" s="261">
        <v>6</v>
      </c>
      <c r="U407" s="261">
        <v>6</v>
      </c>
      <c r="V407" s="258" t="s">
        <v>1969</v>
      </c>
      <c r="W407" s="261" t="str">
        <f t="shared" si="72"/>
        <v>한국지엠/쉐보레 코리아콜로라도익스트림 4WD41600000</v>
      </c>
      <c r="X407" s="411">
        <f t="shared" si="73"/>
        <v>4181</v>
      </c>
      <c r="Y407" s="261">
        <v>6</v>
      </c>
      <c r="Z407" s="261">
        <v>6</v>
      </c>
      <c r="AA407" s="407" t="s">
        <v>692</v>
      </c>
      <c r="AB407" s="258" t="s">
        <v>2806</v>
      </c>
      <c r="AC407" s="258"/>
      <c r="AD407" s="258">
        <v>5</v>
      </c>
      <c r="AE407" s="258">
        <v>0</v>
      </c>
      <c r="AF407" s="259"/>
      <c r="AG407" s="260"/>
      <c r="AH407" s="259"/>
      <c r="AI407" s="259"/>
      <c r="AJ407" s="260"/>
      <c r="AK407" s="259">
        <v>26</v>
      </c>
      <c r="AL407" s="259"/>
      <c r="AM407" s="259" t="s">
        <v>3222</v>
      </c>
      <c r="AN407" s="449"/>
      <c r="AO407" s="449"/>
      <c r="AP407" s="449"/>
      <c r="AQ407" s="392" t="str">
        <f>IFERROR(VLOOKUP(BG407,#REF!,1,0),"")</f>
        <v/>
      </c>
      <c r="AS407" s="259" t="s">
        <v>3222</v>
      </c>
      <c r="BD407" s="202" t="str">
        <f t="shared" si="65"/>
        <v>콜로라도익스트림 4WD</v>
      </c>
      <c r="BE407" s="261" t="str">
        <f t="shared" si="71"/>
        <v>0037</v>
      </c>
      <c r="BF407" s="407" t="s">
        <v>692</v>
      </c>
      <c r="BG407" s="202" t="str">
        <f t="shared" si="66"/>
        <v>0037-0406</v>
      </c>
    </row>
    <row r="408" spans="1:59">
      <c r="A408" s="405">
        <v>4182</v>
      </c>
      <c r="B408" s="406">
        <v>4182</v>
      </c>
      <c r="C408" s="261" t="str">
        <f t="shared" si="67"/>
        <v>0004-0038</v>
      </c>
      <c r="D408" s="261" t="str">
        <f t="shared" si="68"/>
        <v>0004-0038-0001</v>
      </c>
      <c r="E408" s="407" t="s">
        <v>691</v>
      </c>
      <c r="F408" s="261" t="str">
        <f>TEXT(VLOOKUP(J408,'[3]1'!$B$2:$D$37,2,0),"0000")</f>
        <v>0004</v>
      </c>
      <c r="G408" s="261" t="str">
        <f t="shared" si="69"/>
        <v>0038</v>
      </c>
      <c r="H408" s="408">
        <f t="shared" si="70"/>
        <v>1</v>
      </c>
      <c r="I408" s="407" t="s">
        <v>691</v>
      </c>
      <c r="J408" s="258" t="s">
        <v>646</v>
      </c>
      <c r="K408" s="258" t="s">
        <v>2745</v>
      </c>
      <c r="L408" s="258" t="s">
        <v>2459</v>
      </c>
      <c r="M408" s="409">
        <v>19630000</v>
      </c>
      <c r="N408" s="258">
        <v>1399</v>
      </c>
      <c r="O408" s="258" t="s">
        <v>77</v>
      </c>
      <c r="P408" s="258" t="s">
        <v>73</v>
      </c>
      <c r="Q408" s="258" t="s">
        <v>72</v>
      </c>
      <c r="R408" s="258">
        <v>5</v>
      </c>
      <c r="S408" s="410">
        <v>11</v>
      </c>
      <c r="T408" s="261">
        <v>6</v>
      </c>
      <c r="U408" s="261">
        <v>6</v>
      </c>
      <c r="V408" s="258" t="s">
        <v>71</v>
      </c>
      <c r="W408" s="261" t="str">
        <f t="shared" si="72"/>
        <v>한국지엠/쉐보레 코리아크루즈LT19630000</v>
      </c>
      <c r="X408" s="411">
        <f t="shared" si="73"/>
        <v>4182</v>
      </c>
      <c r="Y408" s="261">
        <v>6</v>
      </c>
      <c r="Z408" s="261">
        <v>6</v>
      </c>
      <c r="AA408" s="407" t="s">
        <v>691</v>
      </c>
      <c r="AB408" s="258" t="s">
        <v>73</v>
      </c>
      <c r="AC408" s="258"/>
      <c r="AD408" s="258" t="s">
        <v>2131</v>
      </c>
      <c r="AE408" s="258" t="s">
        <v>2129</v>
      </c>
      <c r="AF408" s="259"/>
      <c r="AG408" s="260"/>
      <c r="AH408" s="259"/>
      <c r="AI408" s="259"/>
      <c r="AJ408" s="260"/>
      <c r="AK408" s="259">
        <v>26</v>
      </c>
      <c r="AL408" s="259"/>
      <c r="AM408" s="259" t="s">
        <v>3232</v>
      </c>
      <c r="AN408" s="449"/>
      <c r="AO408" s="449"/>
      <c r="AP408" s="449"/>
      <c r="AQ408" s="392" t="str">
        <f>IFERROR(VLOOKUP(BG408,#REF!,1,0),"")</f>
        <v/>
      </c>
      <c r="AS408" s="259" t="s">
        <v>3232</v>
      </c>
      <c r="BD408" s="202" t="str">
        <f t="shared" si="65"/>
        <v>크루즈LT</v>
      </c>
      <c r="BE408" s="261" t="str">
        <f t="shared" si="71"/>
        <v>0038</v>
      </c>
      <c r="BF408" s="407" t="s">
        <v>691</v>
      </c>
      <c r="BG408" s="202" t="str">
        <f t="shared" si="66"/>
        <v>0038-0407</v>
      </c>
    </row>
    <row r="409" spans="1:59">
      <c r="A409" s="405">
        <v>4183</v>
      </c>
      <c r="B409" s="406">
        <v>4183</v>
      </c>
      <c r="C409" s="261" t="str">
        <f t="shared" si="67"/>
        <v>0004-0038</v>
      </c>
      <c r="D409" s="261" t="str">
        <f t="shared" si="68"/>
        <v>0004-0038-0002</v>
      </c>
      <c r="E409" s="407" t="s">
        <v>690</v>
      </c>
      <c r="F409" s="261" t="str">
        <f>TEXT(VLOOKUP(J409,'[3]1'!$B$2:$D$37,2,0),"0000")</f>
        <v>0004</v>
      </c>
      <c r="G409" s="261" t="str">
        <f t="shared" si="69"/>
        <v>0038</v>
      </c>
      <c r="H409" s="408">
        <f t="shared" si="70"/>
        <v>2</v>
      </c>
      <c r="I409" s="407" t="s">
        <v>690</v>
      </c>
      <c r="J409" s="258" t="s">
        <v>646</v>
      </c>
      <c r="K409" s="258" t="s">
        <v>2745</v>
      </c>
      <c r="L409" s="258" t="s">
        <v>149</v>
      </c>
      <c r="M409" s="409">
        <v>16600000</v>
      </c>
      <c r="N409" s="258">
        <v>1399</v>
      </c>
      <c r="O409" s="258" t="s">
        <v>77</v>
      </c>
      <c r="P409" s="258" t="s">
        <v>73</v>
      </c>
      <c r="Q409" s="258" t="s">
        <v>72</v>
      </c>
      <c r="R409" s="258" t="e">
        <v>#N/A</v>
      </c>
      <c r="S409" s="410">
        <v>11</v>
      </c>
      <c r="T409" s="261">
        <v>6</v>
      </c>
      <c r="U409" s="261">
        <v>6</v>
      </c>
      <c r="V409" s="258" t="s">
        <v>3993</v>
      </c>
      <c r="W409" s="261" t="str">
        <f t="shared" si="72"/>
        <v>한국지엠/쉐보레 코리아크루즈LS16600000</v>
      </c>
      <c r="X409" s="411">
        <f t="shared" si="73"/>
        <v>4183</v>
      </c>
      <c r="Y409" s="261">
        <v>6</v>
      </c>
      <c r="Z409" s="261">
        <v>6</v>
      </c>
      <c r="AA409" s="407" t="s">
        <v>690</v>
      </c>
      <c r="AB409" s="258" t="e">
        <v>#N/A</v>
      </c>
      <c r="AC409" s="258"/>
      <c r="AD409" s="258" t="s">
        <v>2131</v>
      </c>
      <c r="AE409" s="258" t="s">
        <v>2129</v>
      </c>
      <c r="AF409" s="259"/>
      <c r="AG409" s="260"/>
      <c r="AH409" s="259"/>
      <c r="AI409" s="259"/>
      <c r="AJ409" s="260"/>
      <c r="AK409" s="259">
        <v>26</v>
      </c>
      <c r="AL409" s="259"/>
      <c r="AM409" s="259" t="s">
        <v>3232</v>
      </c>
      <c r="AN409" s="449"/>
      <c r="AO409" s="449"/>
      <c r="AP409" s="449"/>
      <c r="AQ409" s="392" t="str">
        <f>IFERROR(VLOOKUP(BG409,#REF!,1,0),"")</f>
        <v/>
      </c>
      <c r="AS409" s="259" t="s">
        <v>3232</v>
      </c>
      <c r="BD409" s="202" t="str">
        <f t="shared" si="65"/>
        <v>크루즈LS</v>
      </c>
      <c r="BE409" s="261" t="str">
        <f t="shared" si="71"/>
        <v>0038</v>
      </c>
      <c r="BF409" s="407" t="s">
        <v>690</v>
      </c>
      <c r="BG409" s="202" t="str">
        <f t="shared" si="66"/>
        <v>0038-0408</v>
      </c>
    </row>
    <row r="410" spans="1:59">
      <c r="A410" s="405">
        <v>4184</v>
      </c>
      <c r="B410" s="406">
        <v>4184</v>
      </c>
      <c r="C410" s="261" t="str">
        <f t="shared" si="67"/>
        <v>0004-0038</v>
      </c>
      <c r="D410" s="261" t="str">
        <f t="shared" si="68"/>
        <v>0004-0038-0003</v>
      </c>
      <c r="E410" s="407" t="s">
        <v>689</v>
      </c>
      <c r="F410" s="261" t="str">
        <f>TEXT(VLOOKUP(J410,'[3]1'!$B$2:$D$37,2,0),"0000")</f>
        <v>0004</v>
      </c>
      <c r="G410" s="261" t="str">
        <f t="shared" si="69"/>
        <v>0038</v>
      </c>
      <c r="H410" s="408">
        <f t="shared" si="70"/>
        <v>3</v>
      </c>
      <c r="I410" s="407" t="s">
        <v>689</v>
      </c>
      <c r="J410" s="258" t="s">
        <v>646</v>
      </c>
      <c r="K410" s="258" t="s">
        <v>2745</v>
      </c>
      <c r="L410" s="258" t="s">
        <v>2460</v>
      </c>
      <c r="M410" s="409">
        <v>21510000</v>
      </c>
      <c r="N410" s="258">
        <v>1399</v>
      </c>
      <c r="O410" s="258" t="s">
        <v>77</v>
      </c>
      <c r="P410" s="258" t="s">
        <v>73</v>
      </c>
      <c r="Q410" s="258" t="s">
        <v>72</v>
      </c>
      <c r="R410" s="258" t="e">
        <v>#N/A</v>
      </c>
      <c r="S410" s="410">
        <v>11</v>
      </c>
      <c r="T410" s="261">
        <v>6</v>
      </c>
      <c r="U410" s="261">
        <v>6</v>
      </c>
      <c r="V410" s="258" t="s">
        <v>3993</v>
      </c>
      <c r="W410" s="261" t="str">
        <f t="shared" si="72"/>
        <v>한국지엠/쉐보레 코리아크루즈1.4 터보 4도어 LT디럭스(A/T)21510000</v>
      </c>
      <c r="X410" s="411">
        <f t="shared" si="73"/>
        <v>4184</v>
      </c>
      <c r="Y410" s="261">
        <v>6</v>
      </c>
      <c r="Z410" s="261">
        <v>6</v>
      </c>
      <c r="AA410" s="407" t="s">
        <v>689</v>
      </c>
      <c r="AB410" s="258" t="e">
        <v>#N/A</v>
      </c>
      <c r="AC410" s="258"/>
      <c r="AD410" s="258" t="s">
        <v>2131</v>
      </c>
      <c r="AE410" s="258" t="s">
        <v>2129</v>
      </c>
      <c r="AF410" s="259"/>
      <c r="AG410" s="260"/>
      <c r="AH410" s="259"/>
      <c r="AI410" s="259"/>
      <c r="AJ410" s="260"/>
      <c r="AK410" s="259">
        <v>26</v>
      </c>
      <c r="AL410" s="259"/>
      <c r="AM410" s="259" t="s">
        <v>3232</v>
      </c>
      <c r="AN410" s="449"/>
      <c r="AO410" s="449"/>
      <c r="AP410" s="449"/>
      <c r="AQ410" s="392" t="str">
        <f>IFERROR(VLOOKUP(BG410,#REF!,1,0),"")</f>
        <v/>
      </c>
      <c r="AS410" s="259" t="s">
        <v>3232</v>
      </c>
      <c r="BD410" s="202" t="str">
        <f t="shared" si="65"/>
        <v>크루즈1.4 터보 4도어 LT디럭스(A/T)</v>
      </c>
      <c r="BE410" s="261" t="str">
        <f t="shared" si="71"/>
        <v>0038</v>
      </c>
      <c r="BF410" s="407" t="s">
        <v>689</v>
      </c>
      <c r="BG410" s="202" t="str">
        <f t="shared" si="66"/>
        <v>0038-0409</v>
      </c>
    </row>
    <row r="411" spans="1:59">
      <c r="A411" s="405">
        <v>4185</v>
      </c>
      <c r="B411" s="406">
        <v>4185</v>
      </c>
      <c r="C411" s="261" t="str">
        <f t="shared" si="67"/>
        <v>0004-0038</v>
      </c>
      <c r="D411" s="261" t="str">
        <f t="shared" si="68"/>
        <v>0004-0038-0004</v>
      </c>
      <c r="E411" s="407" t="s">
        <v>688</v>
      </c>
      <c r="F411" s="261" t="str">
        <f>TEXT(VLOOKUP(J411,'[3]1'!$B$2:$D$37,2,0),"0000")</f>
        <v>0004</v>
      </c>
      <c r="G411" s="261" t="str">
        <f t="shared" si="69"/>
        <v>0038</v>
      </c>
      <c r="H411" s="408">
        <f t="shared" si="70"/>
        <v>4</v>
      </c>
      <c r="I411" s="407" t="s">
        <v>688</v>
      </c>
      <c r="J411" s="258" t="s">
        <v>646</v>
      </c>
      <c r="K411" s="258" t="s">
        <v>2745</v>
      </c>
      <c r="L411" s="258" t="s">
        <v>2461</v>
      </c>
      <c r="M411" s="409">
        <v>21130000</v>
      </c>
      <c r="N411" s="258">
        <v>1399</v>
      </c>
      <c r="O411" s="258" t="s">
        <v>77</v>
      </c>
      <c r="P411" s="258" t="s">
        <v>73</v>
      </c>
      <c r="Q411" s="258" t="s">
        <v>72</v>
      </c>
      <c r="R411" s="258" t="e">
        <v>#N/A</v>
      </c>
      <c r="S411" s="410">
        <v>11</v>
      </c>
      <c r="T411" s="261">
        <v>6</v>
      </c>
      <c r="U411" s="261">
        <v>6</v>
      </c>
      <c r="V411" s="258" t="s">
        <v>3993</v>
      </c>
      <c r="W411" s="261" t="str">
        <f t="shared" si="72"/>
        <v>한국지엠/쉐보레 코리아크루즈LT 디럭스21130000</v>
      </c>
      <c r="X411" s="411">
        <f t="shared" si="73"/>
        <v>4185</v>
      </c>
      <c r="Y411" s="261">
        <v>6</v>
      </c>
      <c r="Z411" s="261">
        <v>6</v>
      </c>
      <c r="AA411" s="407" t="s">
        <v>688</v>
      </c>
      <c r="AB411" s="258" t="e">
        <v>#N/A</v>
      </c>
      <c r="AC411" s="258"/>
      <c r="AD411" s="258" t="s">
        <v>2131</v>
      </c>
      <c r="AE411" s="258" t="s">
        <v>2129</v>
      </c>
      <c r="AF411" s="259"/>
      <c r="AG411" s="260"/>
      <c r="AH411" s="259"/>
      <c r="AI411" s="259"/>
      <c r="AJ411" s="260"/>
      <c r="AK411" s="259">
        <v>26</v>
      </c>
      <c r="AL411" s="259"/>
      <c r="AM411" s="259" t="s">
        <v>3232</v>
      </c>
      <c r="AN411" s="449"/>
      <c r="AO411" s="449"/>
      <c r="AP411" s="449"/>
      <c r="AQ411" s="392" t="str">
        <f>IFERROR(VLOOKUP(BG411,#REF!,1,0),"")</f>
        <v/>
      </c>
      <c r="AS411" s="259" t="s">
        <v>3232</v>
      </c>
      <c r="BD411" s="202" t="str">
        <f t="shared" si="65"/>
        <v>크루즈LT 디럭스</v>
      </c>
      <c r="BE411" s="261" t="str">
        <f t="shared" si="71"/>
        <v>0038</v>
      </c>
      <c r="BF411" s="407" t="s">
        <v>688</v>
      </c>
      <c r="BG411" s="202" t="str">
        <f t="shared" si="66"/>
        <v>0038-0410</v>
      </c>
    </row>
    <row r="412" spans="1:59">
      <c r="A412" s="405">
        <v>4186</v>
      </c>
      <c r="B412" s="406">
        <v>4186</v>
      </c>
      <c r="C412" s="261" t="str">
        <f t="shared" si="67"/>
        <v>0004-0038</v>
      </c>
      <c r="D412" s="261" t="str">
        <f t="shared" si="68"/>
        <v>0004-0038-0005</v>
      </c>
      <c r="E412" s="407" t="s">
        <v>687</v>
      </c>
      <c r="F412" s="261" t="str">
        <f>TEXT(VLOOKUP(J412,'[3]1'!$B$2:$D$37,2,0),"0000")</f>
        <v>0004</v>
      </c>
      <c r="G412" s="261" t="str">
        <f t="shared" si="69"/>
        <v>0038</v>
      </c>
      <c r="H412" s="408">
        <f t="shared" si="70"/>
        <v>5</v>
      </c>
      <c r="I412" s="407" t="s">
        <v>687</v>
      </c>
      <c r="J412" s="258" t="s">
        <v>646</v>
      </c>
      <c r="K412" s="258" t="s">
        <v>2745</v>
      </c>
      <c r="L412" s="258" t="s">
        <v>2462</v>
      </c>
      <c r="M412" s="409">
        <v>23070000</v>
      </c>
      <c r="N412" s="258">
        <v>1399</v>
      </c>
      <c r="O412" s="258" t="s">
        <v>77</v>
      </c>
      <c r="P412" s="258" t="s">
        <v>73</v>
      </c>
      <c r="Q412" s="258" t="s">
        <v>72</v>
      </c>
      <c r="R412" s="258" t="e">
        <v>#N/A</v>
      </c>
      <c r="S412" s="410">
        <v>11</v>
      </c>
      <c r="T412" s="261">
        <v>6</v>
      </c>
      <c r="U412" s="261">
        <v>6</v>
      </c>
      <c r="V412" s="258" t="s">
        <v>3993</v>
      </c>
      <c r="W412" s="261" t="str">
        <f t="shared" si="72"/>
        <v>한국지엠/쉐보레 코리아크루즈LTZ 디럭스23070000</v>
      </c>
      <c r="X412" s="411">
        <f t="shared" si="73"/>
        <v>4186</v>
      </c>
      <c r="Y412" s="261">
        <v>6</v>
      </c>
      <c r="Z412" s="261">
        <v>6</v>
      </c>
      <c r="AA412" s="407" t="s">
        <v>687</v>
      </c>
      <c r="AB412" s="258" t="e">
        <v>#N/A</v>
      </c>
      <c r="AC412" s="258"/>
      <c r="AD412" s="258" t="s">
        <v>2131</v>
      </c>
      <c r="AE412" s="258" t="s">
        <v>2129</v>
      </c>
      <c r="AF412" s="259"/>
      <c r="AG412" s="260"/>
      <c r="AH412" s="259"/>
      <c r="AI412" s="259"/>
      <c r="AJ412" s="260"/>
      <c r="AK412" s="259">
        <v>26</v>
      </c>
      <c r="AL412" s="259"/>
      <c r="AM412" s="259" t="s">
        <v>3232</v>
      </c>
      <c r="AN412" s="449"/>
      <c r="AO412" s="449"/>
      <c r="AP412" s="449"/>
      <c r="AQ412" s="392" t="str">
        <f>IFERROR(VLOOKUP(BG412,#REF!,1,0),"")</f>
        <v/>
      </c>
      <c r="AS412" s="259" t="s">
        <v>3232</v>
      </c>
      <c r="BD412" s="202" t="str">
        <f t="shared" si="65"/>
        <v>크루즈LTZ 디럭스</v>
      </c>
      <c r="BE412" s="261" t="str">
        <f t="shared" si="71"/>
        <v>0038</v>
      </c>
      <c r="BF412" s="407" t="s">
        <v>687</v>
      </c>
      <c r="BG412" s="202" t="str">
        <f t="shared" si="66"/>
        <v>0038-0411</v>
      </c>
    </row>
    <row r="413" spans="1:59">
      <c r="A413" s="405">
        <v>4187</v>
      </c>
      <c r="B413" s="406">
        <v>4187</v>
      </c>
      <c r="C413" s="261" t="str">
        <f t="shared" si="67"/>
        <v>0004-0038</v>
      </c>
      <c r="D413" s="261" t="str">
        <f t="shared" si="68"/>
        <v>0004-0038-0006</v>
      </c>
      <c r="E413" s="407" t="s">
        <v>686</v>
      </c>
      <c r="F413" s="261" t="str">
        <f>TEXT(VLOOKUP(J413,'[3]1'!$B$2:$D$37,2,0),"0000")</f>
        <v>0004</v>
      </c>
      <c r="G413" s="261" t="str">
        <f t="shared" si="69"/>
        <v>0038</v>
      </c>
      <c r="H413" s="408">
        <f t="shared" si="70"/>
        <v>6</v>
      </c>
      <c r="I413" s="407" t="s">
        <v>686</v>
      </c>
      <c r="J413" s="258" t="s">
        <v>646</v>
      </c>
      <c r="K413" s="258" t="s">
        <v>2745</v>
      </c>
      <c r="L413" s="258" t="s">
        <v>2463</v>
      </c>
      <c r="M413" s="409">
        <v>22660000</v>
      </c>
      <c r="N413" s="258">
        <v>1399</v>
      </c>
      <c r="O413" s="258" t="s">
        <v>77</v>
      </c>
      <c r="P413" s="258" t="s">
        <v>73</v>
      </c>
      <c r="Q413" s="258" t="s">
        <v>72</v>
      </c>
      <c r="R413" s="258" t="e">
        <v>#N/A</v>
      </c>
      <c r="S413" s="410">
        <v>11</v>
      </c>
      <c r="T413" s="261">
        <v>6</v>
      </c>
      <c r="U413" s="261">
        <v>6</v>
      </c>
      <c r="V413" s="258" t="s">
        <v>3993</v>
      </c>
      <c r="W413" s="261" t="str">
        <f t="shared" si="72"/>
        <v>한국지엠/쉐보레 코리아크루즈LTZ22660000</v>
      </c>
      <c r="X413" s="411">
        <f t="shared" si="73"/>
        <v>4187</v>
      </c>
      <c r="Y413" s="261">
        <v>6</v>
      </c>
      <c r="Z413" s="261">
        <v>6</v>
      </c>
      <c r="AA413" s="407" t="s">
        <v>686</v>
      </c>
      <c r="AB413" s="258" t="e">
        <v>#N/A</v>
      </c>
      <c r="AC413" s="258"/>
      <c r="AD413" s="258" t="s">
        <v>2131</v>
      </c>
      <c r="AE413" s="258" t="s">
        <v>2129</v>
      </c>
      <c r="AF413" s="259"/>
      <c r="AG413" s="260"/>
      <c r="AH413" s="259"/>
      <c r="AI413" s="259"/>
      <c r="AJ413" s="260"/>
      <c r="AK413" s="259">
        <v>26</v>
      </c>
      <c r="AL413" s="259"/>
      <c r="AM413" s="259" t="s">
        <v>3232</v>
      </c>
      <c r="AN413" s="449"/>
      <c r="AO413" s="449"/>
      <c r="AP413" s="449"/>
      <c r="AQ413" s="392" t="str">
        <f>IFERROR(VLOOKUP(BG413,#REF!,1,0),"")</f>
        <v/>
      </c>
      <c r="AS413" s="259" t="s">
        <v>3232</v>
      </c>
      <c r="BD413" s="202" t="str">
        <f t="shared" si="65"/>
        <v>크루즈LTZ</v>
      </c>
      <c r="BE413" s="261" t="str">
        <f t="shared" si="71"/>
        <v>0038</v>
      </c>
      <c r="BF413" s="407" t="s">
        <v>686</v>
      </c>
      <c r="BG413" s="202" t="str">
        <f t="shared" si="66"/>
        <v>0038-0412</v>
      </c>
    </row>
    <row r="414" spans="1:59">
      <c r="A414" s="405">
        <v>4188</v>
      </c>
      <c r="B414" s="406">
        <v>4188</v>
      </c>
      <c r="C414" s="261" t="str">
        <f t="shared" si="67"/>
        <v>0004-0039</v>
      </c>
      <c r="D414" s="261" t="str">
        <f t="shared" si="68"/>
        <v>0004-0039-0001</v>
      </c>
      <c r="E414" s="407" t="s">
        <v>685</v>
      </c>
      <c r="F414" s="261" t="str">
        <f>TEXT(VLOOKUP(J414,'[3]1'!$B$2:$D$37,2,0),"0000")</f>
        <v>0004</v>
      </c>
      <c r="G414" s="261" t="str">
        <f t="shared" si="69"/>
        <v>0039</v>
      </c>
      <c r="H414" s="408">
        <f t="shared" si="70"/>
        <v>1</v>
      </c>
      <c r="I414" s="407" t="s">
        <v>685</v>
      </c>
      <c r="J414" s="258" t="s">
        <v>646</v>
      </c>
      <c r="K414" s="258" t="s">
        <v>2746</v>
      </c>
      <c r="L414" s="258" t="s">
        <v>2464</v>
      </c>
      <c r="M414" s="409">
        <v>45200000</v>
      </c>
      <c r="N414" s="258">
        <v>3564</v>
      </c>
      <c r="O414" s="258" t="s">
        <v>77</v>
      </c>
      <c r="P414" s="258" t="s">
        <v>1965</v>
      </c>
      <c r="Q414" s="258" t="s">
        <v>72</v>
      </c>
      <c r="R414" s="258">
        <v>5</v>
      </c>
      <c r="S414" s="410">
        <v>13</v>
      </c>
      <c r="T414" s="261">
        <v>6</v>
      </c>
      <c r="U414" s="261">
        <v>6</v>
      </c>
      <c r="V414" s="258" t="s">
        <v>71</v>
      </c>
      <c r="W414" s="261" t="str">
        <f t="shared" si="72"/>
        <v>한국지엠/쉐보레 코리아트래버스LT 래더45200000</v>
      </c>
      <c r="X414" s="411">
        <f t="shared" si="73"/>
        <v>4188</v>
      </c>
      <c r="Y414" s="261">
        <v>6</v>
      </c>
      <c r="Z414" s="261">
        <v>6</v>
      </c>
      <c r="AA414" s="407" t="s">
        <v>685</v>
      </c>
      <c r="AB414" s="258" t="s">
        <v>1965</v>
      </c>
      <c r="AC414" s="258"/>
      <c r="AD414" s="258" t="s">
        <v>2135</v>
      </c>
      <c r="AE414" s="258" t="s">
        <v>2129</v>
      </c>
      <c r="AF414" s="259"/>
      <c r="AG414" s="260"/>
      <c r="AH414" s="259"/>
      <c r="AI414" s="259"/>
      <c r="AJ414" s="260"/>
      <c r="AK414" s="259">
        <v>26</v>
      </c>
      <c r="AL414" s="259"/>
      <c r="AM414" s="259" t="s">
        <v>3227</v>
      </c>
      <c r="AN414" s="449"/>
      <c r="AO414" s="449"/>
      <c r="AP414" s="449"/>
      <c r="AQ414" s="392" t="str">
        <f>IFERROR(VLOOKUP(BG414,#REF!,1,0),"")</f>
        <v/>
      </c>
      <c r="AS414" s="259" t="s">
        <v>3227</v>
      </c>
      <c r="BD414" s="202" t="str">
        <f t="shared" si="65"/>
        <v>트래버스LT 래더</v>
      </c>
      <c r="BE414" s="261" t="str">
        <f t="shared" si="71"/>
        <v>0039</v>
      </c>
      <c r="BF414" s="407" t="s">
        <v>685</v>
      </c>
      <c r="BG414" s="202" t="str">
        <f t="shared" si="66"/>
        <v>0039-0413</v>
      </c>
    </row>
    <row r="415" spans="1:59">
      <c r="A415" s="405">
        <v>4189</v>
      </c>
      <c r="B415" s="406">
        <v>4189</v>
      </c>
      <c r="C415" s="261" t="str">
        <f t="shared" si="67"/>
        <v>0004-0039</v>
      </c>
      <c r="D415" s="261" t="str">
        <f t="shared" si="68"/>
        <v>0004-0039-0002</v>
      </c>
      <c r="E415" s="407" t="s">
        <v>684</v>
      </c>
      <c r="F415" s="261" t="str">
        <f>TEXT(VLOOKUP(J415,'[3]1'!$B$2:$D$37,2,0),"0000")</f>
        <v>0004</v>
      </c>
      <c r="G415" s="261" t="str">
        <f t="shared" si="69"/>
        <v>0039</v>
      </c>
      <c r="H415" s="408">
        <f t="shared" si="70"/>
        <v>2</v>
      </c>
      <c r="I415" s="407" t="s">
        <v>684</v>
      </c>
      <c r="J415" s="258" t="s">
        <v>646</v>
      </c>
      <c r="K415" s="258" t="s">
        <v>2746</v>
      </c>
      <c r="L415" s="258" t="s">
        <v>2465</v>
      </c>
      <c r="M415" s="409">
        <v>50980000</v>
      </c>
      <c r="N415" s="258">
        <v>3564</v>
      </c>
      <c r="O415" s="258" t="s">
        <v>77</v>
      </c>
      <c r="P415" s="258" t="s">
        <v>1965</v>
      </c>
      <c r="Q415" s="258" t="s">
        <v>72</v>
      </c>
      <c r="R415" s="258">
        <v>5</v>
      </c>
      <c r="S415" s="410">
        <v>13</v>
      </c>
      <c r="T415" s="261">
        <v>6</v>
      </c>
      <c r="U415" s="261">
        <v>6</v>
      </c>
      <c r="V415" s="258" t="s">
        <v>71</v>
      </c>
      <c r="W415" s="261" t="str">
        <f t="shared" si="72"/>
        <v>한국지엠/쉐보레 코리아트래버스RS50980000</v>
      </c>
      <c r="X415" s="411">
        <f t="shared" si="73"/>
        <v>4189</v>
      </c>
      <c r="Y415" s="261">
        <v>6</v>
      </c>
      <c r="Z415" s="261">
        <v>6</v>
      </c>
      <c r="AA415" s="407" t="s">
        <v>684</v>
      </c>
      <c r="AB415" s="258" t="s">
        <v>1965</v>
      </c>
      <c r="AC415" s="258"/>
      <c r="AD415" s="258" t="s">
        <v>2135</v>
      </c>
      <c r="AE415" s="258" t="s">
        <v>2129</v>
      </c>
      <c r="AF415" s="259"/>
      <c r="AG415" s="260"/>
      <c r="AH415" s="259"/>
      <c r="AI415" s="259"/>
      <c r="AJ415" s="260"/>
      <c r="AK415" s="259">
        <v>26</v>
      </c>
      <c r="AL415" s="259"/>
      <c r="AM415" s="259" t="s">
        <v>3227</v>
      </c>
      <c r="AN415" s="449"/>
      <c r="AO415" s="449"/>
      <c r="AP415" s="449"/>
      <c r="AQ415" s="392" t="str">
        <f>IFERROR(VLOOKUP(BG415,#REF!,1,0),"")</f>
        <v/>
      </c>
      <c r="AS415" s="259" t="s">
        <v>3227</v>
      </c>
      <c r="BD415" s="202" t="str">
        <f t="shared" si="65"/>
        <v>트래버스RS</v>
      </c>
      <c r="BE415" s="261" t="str">
        <f t="shared" si="71"/>
        <v>0039</v>
      </c>
      <c r="BF415" s="407" t="s">
        <v>684</v>
      </c>
      <c r="BG415" s="202" t="str">
        <f t="shared" si="66"/>
        <v>0039-0414</v>
      </c>
    </row>
    <row r="416" spans="1:59">
      <c r="A416" s="405">
        <v>4190</v>
      </c>
      <c r="B416" s="406">
        <v>4190</v>
      </c>
      <c r="C416" s="261" t="str">
        <f t="shared" si="67"/>
        <v>0004-0039</v>
      </c>
      <c r="D416" s="261" t="str">
        <f t="shared" si="68"/>
        <v>0004-0039-0003</v>
      </c>
      <c r="E416" s="407" t="s">
        <v>683</v>
      </c>
      <c r="F416" s="261" t="str">
        <f>TEXT(VLOOKUP(J416,'[3]1'!$B$2:$D$37,2,0),"0000")</f>
        <v>0004</v>
      </c>
      <c r="G416" s="261" t="str">
        <f t="shared" si="69"/>
        <v>0039</v>
      </c>
      <c r="H416" s="408">
        <f t="shared" si="70"/>
        <v>3</v>
      </c>
      <c r="I416" s="407" t="s">
        <v>683</v>
      </c>
      <c r="J416" s="258" t="s">
        <v>646</v>
      </c>
      <c r="K416" s="258" t="s">
        <v>2746</v>
      </c>
      <c r="L416" s="258" t="s">
        <v>2466</v>
      </c>
      <c r="M416" s="409">
        <v>52570000</v>
      </c>
      <c r="N416" s="258">
        <v>3564</v>
      </c>
      <c r="O416" s="258" t="s">
        <v>77</v>
      </c>
      <c r="P416" s="258" t="s">
        <v>1965</v>
      </c>
      <c r="Q416" s="258" t="s">
        <v>72</v>
      </c>
      <c r="R416" s="258" t="e">
        <v>#N/A</v>
      </c>
      <c r="S416" s="410">
        <v>13</v>
      </c>
      <c r="T416" s="261">
        <v>6</v>
      </c>
      <c r="U416" s="261">
        <v>6</v>
      </c>
      <c r="V416" s="258" t="s">
        <v>3993</v>
      </c>
      <c r="W416" s="261" t="str">
        <f t="shared" si="72"/>
        <v>한국지엠/쉐보레 코리아트래버스3.6 프리미어52570000</v>
      </c>
      <c r="X416" s="411">
        <f t="shared" si="73"/>
        <v>4190</v>
      </c>
      <c r="Y416" s="261">
        <v>6</v>
      </c>
      <c r="Z416" s="261">
        <v>6</v>
      </c>
      <c r="AA416" s="407" t="s">
        <v>683</v>
      </c>
      <c r="AB416" s="258" t="s">
        <v>1965</v>
      </c>
      <c r="AC416" s="258"/>
      <c r="AD416" s="258" t="s">
        <v>2135</v>
      </c>
      <c r="AE416" s="258" t="s">
        <v>2129</v>
      </c>
      <c r="AF416" s="259"/>
      <c r="AG416" s="260"/>
      <c r="AH416" s="259"/>
      <c r="AI416" s="259"/>
      <c r="AJ416" s="260"/>
      <c r="AK416" s="259">
        <v>26</v>
      </c>
      <c r="AL416" s="259"/>
      <c r="AM416" s="259" t="s">
        <v>3227</v>
      </c>
      <c r="AN416" s="449"/>
      <c r="AO416" s="449"/>
      <c r="AP416" s="449"/>
      <c r="AQ416" s="392" t="str">
        <f>IFERROR(VLOOKUP(BG416,#REF!,1,0),"")</f>
        <v/>
      </c>
      <c r="AS416" s="259" t="s">
        <v>3227</v>
      </c>
      <c r="BD416" s="202" t="str">
        <f t="shared" si="65"/>
        <v>트래버스3.6 프리미어</v>
      </c>
      <c r="BE416" s="261" t="str">
        <f t="shared" si="71"/>
        <v>0039</v>
      </c>
      <c r="BF416" s="407" t="s">
        <v>683</v>
      </c>
      <c r="BG416" s="202" t="str">
        <f t="shared" si="66"/>
        <v>0039-0415</v>
      </c>
    </row>
    <row r="417" spans="1:59">
      <c r="A417" s="405">
        <v>4191</v>
      </c>
      <c r="B417" s="406">
        <v>4191</v>
      </c>
      <c r="C417" s="261" t="str">
        <f t="shared" si="67"/>
        <v>0004-0039</v>
      </c>
      <c r="D417" s="261" t="str">
        <f t="shared" si="68"/>
        <v>0004-0039-0004</v>
      </c>
      <c r="E417" s="407" t="s">
        <v>682</v>
      </c>
      <c r="F417" s="261" t="str">
        <f>TEXT(VLOOKUP(J417,'[3]1'!$B$2:$D$37,2,0),"0000")</f>
        <v>0004</v>
      </c>
      <c r="G417" s="261" t="str">
        <f t="shared" si="69"/>
        <v>0039</v>
      </c>
      <c r="H417" s="408">
        <f t="shared" si="70"/>
        <v>4</v>
      </c>
      <c r="I417" s="407" t="s">
        <v>682</v>
      </c>
      <c r="J417" s="258" t="s">
        <v>646</v>
      </c>
      <c r="K417" s="258" t="s">
        <v>2746</v>
      </c>
      <c r="L417" s="258" t="s">
        <v>2467</v>
      </c>
      <c r="M417" s="409">
        <v>56000000</v>
      </c>
      <c r="N417" s="258">
        <v>3564</v>
      </c>
      <c r="O417" s="258" t="s">
        <v>77</v>
      </c>
      <c r="P417" s="258" t="s">
        <v>1965</v>
      </c>
      <c r="Q417" s="258" t="s">
        <v>72</v>
      </c>
      <c r="R417" s="258">
        <v>9</v>
      </c>
      <c r="S417" s="410">
        <v>13</v>
      </c>
      <c r="T417" s="261">
        <v>6</v>
      </c>
      <c r="U417" s="261">
        <v>6</v>
      </c>
      <c r="V417" s="258" t="s">
        <v>71</v>
      </c>
      <c r="W417" s="261" t="str">
        <f t="shared" si="72"/>
        <v>한국지엠/쉐보레 코리아트래버스Redline56000000</v>
      </c>
      <c r="X417" s="411">
        <f t="shared" si="73"/>
        <v>4191</v>
      </c>
      <c r="Y417" s="261">
        <v>6</v>
      </c>
      <c r="Z417" s="261">
        <v>6</v>
      </c>
      <c r="AA417" s="407" t="s">
        <v>682</v>
      </c>
      <c r="AB417" s="258" t="s">
        <v>1965</v>
      </c>
      <c r="AC417" s="258"/>
      <c r="AD417" s="258" t="s">
        <v>2135</v>
      </c>
      <c r="AE417" s="258" t="s">
        <v>2129</v>
      </c>
      <c r="AF417" s="259"/>
      <c r="AG417" s="260"/>
      <c r="AH417" s="259"/>
      <c r="AI417" s="259"/>
      <c r="AJ417" s="260"/>
      <c r="AK417" s="259">
        <v>26</v>
      </c>
      <c r="AL417" s="259"/>
      <c r="AM417" s="259" t="s">
        <v>3227</v>
      </c>
      <c r="AN417" s="449"/>
      <c r="AO417" s="449"/>
      <c r="AP417" s="449"/>
      <c r="AQ417" s="392" t="str">
        <f>IFERROR(VLOOKUP(BG417,#REF!,1,0),"")</f>
        <v/>
      </c>
      <c r="AS417" s="259" t="s">
        <v>3227</v>
      </c>
      <c r="BD417" s="202" t="str">
        <f t="shared" si="65"/>
        <v>트래버스Redline</v>
      </c>
      <c r="BE417" s="261" t="str">
        <f t="shared" si="71"/>
        <v>0039</v>
      </c>
      <c r="BF417" s="407" t="s">
        <v>682</v>
      </c>
      <c r="BG417" s="202" t="str">
        <f t="shared" si="66"/>
        <v>0039-0416</v>
      </c>
    </row>
    <row r="418" spans="1:59">
      <c r="A418" s="405">
        <v>4192</v>
      </c>
      <c r="B418" s="406">
        <v>4192</v>
      </c>
      <c r="C418" s="261" t="str">
        <f t="shared" si="67"/>
        <v>0004-0040</v>
      </c>
      <c r="D418" s="261" t="str">
        <f t="shared" si="68"/>
        <v>0004-0040-0001</v>
      </c>
      <c r="E418" s="407" t="s">
        <v>681</v>
      </c>
      <c r="F418" s="261" t="str">
        <f>TEXT(VLOOKUP(J418,'[3]1'!$B$2:$D$37,2,0),"0000")</f>
        <v>0004</v>
      </c>
      <c r="G418" s="261" t="str">
        <f t="shared" si="69"/>
        <v>0040</v>
      </c>
      <c r="H418" s="408">
        <f t="shared" si="70"/>
        <v>1</v>
      </c>
      <c r="I418" s="407" t="s">
        <v>681</v>
      </c>
      <c r="J418" s="258" t="s">
        <v>646</v>
      </c>
      <c r="K418" s="258" t="s">
        <v>2747</v>
      </c>
      <c r="L418" s="258" t="s">
        <v>2468</v>
      </c>
      <c r="M418" s="409">
        <v>25800000</v>
      </c>
      <c r="N418" s="258">
        <v>1598</v>
      </c>
      <c r="O418" s="258" t="s">
        <v>78</v>
      </c>
      <c r="P418" s="258" t="s">
        <v>73</v>
      </c>
      <c r="Q418" s="258" t="s">
        <v>72</v>
      </c>
      <c r="R418" s="258">
        <v>5</v>
      </c>
      <c r="S418" s="410">
        <v>20</v>
      </c>
      <c r="T418" s="261">
        <v>6</v>
      </c>
      <c r="U418" s="261">
        <v>6</v>
      </c>
      <c r="V418" s="258" t="s">
        <v>3329</v>
      </c>
      <c r="W418" s="261" t="str">
        <f t="shared" si="72"/>
        <v>한국지엠/쉐보레 코리아트랙스1.6 디젤 LTZ A/T25800000</v>
      </c>
      <c r="X418" s="411">
        <f t="shared" si="73"/>
        <v>4192</v>
      </c>
      <c r="Y418" s="261">
        <v>6</v>
      </c>
      <c r="Z418" s="261">
        <v>6</v>
      </c>
      <c r="AA418" s="407" t="s">
        <v>681</v>
      </c>
      <c r="AB418" s="258" t="s">
        <v>73</v>
      </c>
      <c r="AC418" s="258"/>
      <c r="AD418" s="258" t="s">
        <v>2130</v>
      </c>
      <c r="AE418" s="258" t="s">
        <v>2129</v>
      </c>
      <c r="AF418" s="259"/>
      <c r="AG418" s="260"/>
      <c r="AH418" s="259"/>
      <c r="AI418" s="259"/>
      <c r="AJ418" s="260"/>
      <c r="AK418" s="259">
        <v>26</v>
      </c>
      <c r="AL418" s="259"/>
      <c r="AM418" s="259" t="s">
        <v>3227</v>
      </c>
      <c r="AN418" s="449"/>
      <c r="AO418" s="449"/>
      <c r="AP418" s="449"/>
      <c r="AQ418" s="392" t="str">
        <f>IFERROR(VLOOKUP(BG418,#REF!,1,0),"")</f>
        <v/>
      </c>
      <c r="AS418" s="259" t="s">
        <v>3349</v>
      </c>
      <c r="BD418" s="202" t="str">
        <f t="shared" si="65"/>
        <v>트랙스1.6 디젤 LTZ A/T</v>
      </c>
      <c r="BE418" s="261" t="str">
        <f t="shared" si="71"/>
        <v>0040</v>
      </c>
      <c r="BF418" s="407" t="s">
        <v>681</v>
      </c>
      <c r="BG418" s="202" t="str">
        <f t="shared" si="66"/>
        <v>0040-0417</v>
      </c>
    </row>
    <row r="419" spans="1:59">
      <c r="A419" s="405">
        <v>4193</v>
      </c>
      <c r="B419" s="406">
        <v>4193</v>
      </c>
      <c r="C419" s="261" t="str">
        <f t="shared" si="67"/>
        <v>0004-0040</v>
      </c>
      <c r="D419" s="261" t="str">
        <f t="shared" si="68"/>
        <v>0004-0040-0002</v>
      </c>
      <c r="E419" s="407" t="s">
        <v>680</v>
      </c>
      <c r="F419" s="261" t="str">
        <f>TEXT(VLOOKUP(J419,'[3]1'!$B$2:$D$37,2,0),"0000")</f>
        <v>0004</v>
      </c>
      <c r="G419" s="261" t="str">
        <f t="shared" si="69"/>
        <v>0040</v>
      </c>
      <c r="H419" s="408">
        <f t="shared" si="70"/>
        <v>2</v>
      </c>
      <c r="I419" s="407" t="s">
        <v>680</v>
      </c>
      <c r="J419" s="258" t="s">
        <v>646</v>
      </c>
      <c r="K419" s="258" t="s">
        <v>2747</v>
      </c>
      <c r="L419" s="258" t="s">
        <v>2469</v>
      </c>
      <c r="M419" s="409">
        <v>20570000</v>
      </c>
      <c r="N419" s="258">
        <v>1598</v>
      </c>
      <c r="O419" s="258" t="s">
        <v>78</v>
      </c>
      <c r="P419" s="258" t="s">
        <v>73</v>
      </c>
      <c r="Q419" s="258" t="s">
        <v>72</v>
      </c>
      <c r="R419" s="258">
        <v>5</v>
      </c>
      <c r="S419" s="410">
        <v>20</v>
      </c>
      <c r="T419" s="261">
        <v>6</v>
      </c>
      <c r="U419" s="261">
        <v>6</v>
      </c>
      <c r="V419" s="258" t="s">
        <v>3329</v>
      </c>
      <c r="W419" s="261" t="str">
        <f t="shared" si="72"/>
        <v>한국지엠/쉐보레 코리아트랙스1.6 디젤 LS A/T20570000</v>
      </c>
      <c r="X419" s="411">
        <f t="shared" si="73"/>
        <v>4193</v>
      </c>
      <c r="Y419" s="261">
        <v>6</v>
      </c>
      <c r="Z419" s="261">
        <v>6</v>
      </c>
      <c r="AA419" s="407" t="s">
        <v>680</v>
      </c>
      <c r="AB419" s="258" t="s">
        <v>73</v>
      </c>
      <c r="AC419" s="258"/>
      <c r="AD419" s="258" t="s">
        <v>2130</v>
      </c>
      <c r="AE419" s="258" t="s">
        <v>2129</v>
      </c>
      <c r="AF419" s="259"/>
      <c r="AG419" s="260"/>
      <c r="AH419" s="259"/>
      <c r="AI419" s="259"/>
      <c r="AJ419" s="260"/>
      <c r="AK419" s="259">
        <v>26</v>
      </c>
      <c r="AL419" s="259"/>
      <c r="AM419" s="259" t="s">
        <v>3227</v>
      </c>
      <c r="AN419" s="449"/>
      <c r="AO419" s="449"/>
      <c r="AP419" s="449"/>
      <c r="AQ419" s="392" t="str">
        <f>IFERROR(VLOOKUP(BG419,#REF!,1,0),"")</f>
        <v/>
      </c>
      <c r="AS419" s="259" t="s">
        <v>3349</v>
      </c>
      <c r="BD419" s="202" t="str">
        <f t="shared" si="65"/>
        <v>트랙스1.6 디젤 LS A/T</v>
      </c>
      <c r="BE419" s="261" t="str">
        <f t="shared" si="71"/>
        <v>0040</v>
      </c>
      <c r="BF419" s="407" t="s">
        <v>680</v>
      </c>
      <c r="BG419" s="202" t="str">
        <f t="shared" si="66"/>
        <v>0040-0418</v>
      </c>
    </row>
    <row r="420" spans="1:59">
      <c r="A420" s="405">
        <v>4194</v>
      </c>
      <c r="B420" s="406">
        <v>4194</v>
      </c>
      <c r="C420" s="261" t="str">
        <f t="shared" si="67"/>
        <v>0004-0040</v>
      </c>
      <c r="D420" s="261" t="str">
        <f t="shared" si="68"/>
        <v>0004-0040-0003</v>
      </c>
      <c r="E420" s="407" t="s">
        <v>679</v>
      </c>
      <c r="F420" s="261" t="str">
        <f>TEXT(VLOOKUP(J420,'[3]1'!$B$2:$D$37,2,0),"0000")</f>
        <v>0004</v>
      </c>
      <c r="G420" s="261" t="str">
        <f t="shared" si="69"/>
        <v>0040</v>
      </c>
      <c r="H420" s="408">
        <f t="shared" si="70"/>
        <v>3</v>
      </c>
      <c r="I420" s="407" t="s">
        <v>679</v>
      </c>
      <c r="J420" s="258" t="s">
        <v>646</v>
      </c>
      <c r="K420" s="258" t="s">
        <v>2747</v>
      </c>
      <c r="L420" s="258" t="s">
        <v>2470</v>
      </c>
      <c r="M420" s="409">
        <v>23230000</v>
      </c>
      <c r="N420" s="258">
        <v>1598</v>
      </c>
      <c r="O420" s="258" t="s">
        <v>78</v>
      </c>
      <c r="P420" s="258" t="s">
        <v>73</v>
      </c>
      <c r="Q420" s="258" t="s">
        <v>72</v>
      </c>
      <c r="R420" s="258">
        <v>5</v>
      </c>
      <c r="S420" s="410">
        <v>20</v>
      </c>
      <c r="T420" s="261">
        <v>6</v>
      </c>
      <c r="U420" s="261">
        <v>6</v>
      </c>
      <c r="V420" s="258" t="s">
        <v>1295</v>
      </c>
      <c r="W420" s="261" t="str">
        <f t="shared" si="72"/>
        <v>한국지엠/쉐보레 코리아트랙스1.6 디젤 LT A/T23230000</v>
      </c>
      <c r="X420" s="411">
        <f t="shared" si="73"/>
        <v>4194</v>
      </c>
      <c r="Y420" s="261">
        <v>6</v>
      </c>
      <c r="Z420" s="261">
        <v>6</v>
      </c>
      <c r="AA420" s="407" t="s">
        <v>679</v>
      </c>
      <c r="AB420" s="258" t="s">
        <v>73</v>
      </c>
      <c r="AC420" s="258"/>
      <c r="AD420" s="258" t="s">
        <v>2130</v>
      </c>
      <c r="AE420" s="258" t="s">
        <v>2129</v>
      </c>
      <c r="AF420" s="259"/>
      <c r="AG420" s="260"/>
      <c r="AH420" s="259"/>
      <c r="AI420" s="259"/>
      <c r="AJ420" s="260"/>
      <c r="AK420" s="259">
        <v>26</v>
      </c>
      <c r="AL420" s="259"/>
      <c r="AM420" s="259" t="s">
        <v>3227</v>
      </c>
      <c r="AN420" s="449"/>
      <c r="AO420" s="449"/>
      <c r="AP420" s="449"/>
      <c r="AQ420" s="392" t="str">
        <f>IFERROR(VLOOKUP(BG420,#REF!,1,0),"")</f>
        <v/>
      </c>
      <c r="AS420" s="259" t="s">
        <v>3349</v>
      </c>
      <c r="BD420" s="202" t="str">
        <f t="shared" si="65"/>
        <v>트랙스1.6 디젤 LT A/T</v>
      </c>
      <c r="BE420" s="261" t="str">
        <f t="shared" si="71"/>
        <v>0040</v>
      </c>
      <c r="BF420" s="407" t="s">
        <v>679</v>
      </c>
      <c r="BG420" s="202" t="str">
        <f t="shared" si="66"/>
        <v>0040-0419</v>
      </c>
    </row>
    <row r="421" spans="1:59">
      <c r="A421" s="405">
        <v>4195</v>
      </c>
      <c r="B421" s="406">
        <v>4195</v>
      </c>
      <c r="C421" s="261" t="str">
        <f t="shared" si="67"/>
        <v>0004-0040</v>
      </c>
      <c r="D421" s="261" t="str">
        <f t="shared" si="68"/>
        <v>0004-0040-0004</v>
      </c>
      <c r="E421" s="407" t="s">
        <v>678</v>
      </c>
      <c r="F421" s="261" t="str">
        <f>TEXT(VLOOKUP(J421,'[3]1'!$B$2:$D$37,2,0),"0000")</f>
        <v>0004</v>
      </c>
      <c r="G421" s="261" t="str">
        <f t="shared" si="69"/>
        <v>0040</v>
      </c>
      <c r="H421" s="408">
        <f t="shared" si="70"/>
        <v>4</v>
      </c>
      <c r="I421" s="407" t="s">
        <v>678</v>
      </c>
      <c r="J421" s="258" t="s">
        <v>646</v>
      </c>
      <c r="K421" s="258" t="s">
        <v>2747</v>
      </c>
      <c r="L421" s="258" t="s">
        <v>2471</v>
      </c>
      <c r="M421" s="409">
        <v>21160000</v>
      </c>
      <c r="N421" s="258">
        <v>1598</v>
      </c>
      <c r="O421" s="258" t="s">
        <v>78</v>
      </c>
      <c r="P421" s="258" t="s">
        <v>73</v>
      </c>
      <c r="Q421" s="258" t="s">
        <v>72</v>
      </c>
      <c r="R421" s="258">
        <v>5</v>
      </c>
      <c r="S421" s="410">
        <v>20</v>
      </c>
      <c r="T421" s="261">
        <v>6</v>
      </c>
      <c r="U421" s="261">
        <v>6</v>
      </c>
      <c r="V421" s="258" t="s">
        <v>1295</v>
      </c>
      <c r="W421" s="261" t="str">
        <f t="shared" si="72"/>
        <v>한국지엠/쉐보레 코리아트랙스1.6 디젤 LS 디럭스 팩 A/T21160000</v>
      </c>
      <c r="X421" s="411">
        <f t="shared" si="73"/>
        <v>4195</v>
      </c>
      <c r="Y421" s="261">
        <v>6</v>
      </c>
      <c r="Z421" s="261">
        <v>6</v>
      </c>
      <c r="AA421" s="407" t="s">
        <v>678</v>
      </c>
      <c r="AB421" s="258" t="s">
        <v>73</v>
      </c>
      <c r="AC421" s="258"/>
      <c r="AD421" s="258" t="s">
        <v>2130</v>
      </c>
      <c r="AE421" s="258" t="s">
        <v>2129</v>
      </c>
      <c r="AF421" s="259"/>
      <c r="AG421" s="260"/>
      <c r="AH421" s="259"/>
      <c r="AI421" s="259"/>
      <c r="AJ421" s="260"/>
      <c r="AK421" s="259">
        <v>26</v>
      </c>
      <c r="AL421" s="259"/>
      <c r="AM421" s="259" t="s">
        <v>3227</v>
      </c>
      <c r="AN421" s="449"/>
      <c r="AO421" s="449"/>
      <c r="AP421" s="449"/>
      <c r="AQ421" s="392" t="str">
        <f>IFERROR(VLOOKUP(BG421,#REF!,1,0),"")</f>
        <v/>
      </c>
      <c r="AS421" s="259" t="s">
        <v>3349</v>
      </c>
      <c r="BD421" s="202" t="str">
        <f t="shared" si="65"/>
        <v>트랙스1.6 디젤 LS 디럭스 팩 A/T</v>
      </c>
      <c r="BE421" s="261" t="str">
        <f t="shared" si="71"/>
        <v>0040</v>
      </c>
      <c r="BF421" s="407" t="s">
        <v>678</v>
      </c>
      <c r="BG421" s="202" t="str">
        <f t="shared" si="66"/>
        <v>0040-0420</v>
      </c>
    </row>
    <row r="422" spans="1:59">
      <c r="A422" s="405">
        <v>4196</v>
      </c>
      <c r="B422" s="406">
        <v>4196</v>
      </c>
      <c r="C422" s="261" t="str">
        <f t="shared" si="67"/>
        <v>0004-0040</v>
      </c>
      <c r="D422" s="261" t="str">
        <f t="shared" si="68"/>
        <v>0004-0040-0005</v>
      </c>
      <c r="E422" s="407" t="s">
        <v>677</v>
      </c>
      <c r="F422" s="261" t="str">
        <f>TEXT(VLOOKUP(J422,'[3]1'!$B$2:$D$37,2,0),"0000")</f>
        <v>0004</v>
      </c>
      <c r="G422" s="261" t="str">
        <f t="shared" si="69"/>
        <v>0040</v>
      </c>
      <c r="H422" s="408">
        <f t="shared" si="70"/>
        <v>5</v>
      </c>
      <c r="I422" s="407" t="s">
        <v>677</v>
      </c>
      <c r="J422" s="258" t="s">
        <v>646</v>
      </c>
      <c r="K422" s="258" t="s">
        <v>2747</v>
      </c>
      <c r="L422" s="258" t="s">
        <v>2472</v>
      </c>
      <c r="M422" s="409">
        <v>24350000</v>
      </c>
      <c r="N422" s="258">
        <v>1598</v>
      </c>
      <c r="O422" s="258" t="s">
        <v>78</v>
      </c>
      <c r="P422" s="258" t="s">
        <v>73</v>
      </c>
      <c r="Q422" s="258" t="s">
        <v>72</v>
      </c>
      <c r="R422" s="258">
        <v>5</v>
      </c>
      <c r="S422" s="410">
        <v>20</v>
      </c>
      <c r="T422" s="261">
        <v>6</v>
      </c>
      <c r="U422" s="261">
        <v>6</v>
      </c>
      <c r="V422" s="258" t="s">
        <v>1295</v>
      </c>
      <c r="W422" s="261" t="str">
        <f t="shared" si="72"/>
        <v>한국지엠/쉐보레 코리아트랙스1.6 디젤 LT Leather Package A/T24350000</v>
      </c>
      <c r="X422" s="411">
        <f t="shared" si="73"/>
        <v>4196</v>
      </c>
      <c r="Y422" s="261">
        <v>6</v>
      </c>
      <c r="Z422" s="261">
        <v>6</v>
      </c>
      <c r="AA422" s="407" t="s">
        <v>677</v>
      </c>
      <c r="AB422" s="258" t="s">
        <v>73</v>
      </c>
      <c r="AC422" s="258"/>
      <c r="AD422" s="258" t="s">
        <v>2130</v>
      </c>
      <c r="AE422" s="258" t="s">
        <v>2129</v>
      </c>
      <c r="AF422" s="259"/>
      <c r="AG422" s="260"/>
      <c r="AH422" s="259"/>
      <c r="AI422" s="259"/>
      <c r="AJ422" s="260"/>
      <c r="AK422" s="259">
        <v>26</v>
      </c>
      <c r="AL422" s="259"/>
      <c r="AM422" s="259" t="s">
        <v>3227</v>
      </c>
      <c r="AN422" s="449"/>
      <c r="AO422" s="449"/>
      <c r="AP422" s="449"/>
      <c r="AQ422" s="392" t="str">
        <f>IFERROR(VLOOKUP(BG422,#REF!,1,0),"")</f>
        <v/>
      </c>
      <c r="AS422" s="259" t="s">
        <v>3349</v>
      </c>
      <c r="BD422" s="202" t="str">
        <f t="shared" si="65"/>
        <v>트랙스1.6 디젤 LT Leather Package A/T</v>
      </c>
      <c r="BE422" s="261" t="str">
        <f t="shared" si="71"/>
        <v>0040</v>
      </c>
      <c r="BF422" s="407" t="s">
        <v>677</v>
      </c>
      <c r="BG422" s="202" t="str">
        <f t="shared" si="66"/>
        <v>0040-0421</v>
      </c>
    </row>
    <row r="423" spans="1:59">
      <c r="A423" s="405">
        <v>4197</v>
      </c>
      <c r="B423" s="406">
        <v>4197</v>
      </c>
      <c r="C423" s="261" t="str">
        <f t="shared" si="67"/>
        <v>0004-0040</v>
      </c>
      <c r="D423" s="261" t="str">
        <f t="shared" si="68"/>
        <v>0004-0040-0006</v>
      </c>
      <c r="E423" s="407" t="s">
        <v>676</v>
      </c>
      <c r="F423" s="261" t="str">
        <f>TEXT(VLOOKUP(J423,'[3]1'!$B$2:$D$37,2,0),"0000")</f>
        <v>0004</v>
      </c>
      <c r="G423" s="261" t="str">
        <f t="shared" si="69"/>
        <v>0040</v>
      </c>
      <c r="H423" s="408">
        <f t="shared" si="70"/>
        <v>6</v>
      </c>
      <c r="I423" s="407" t="s">
        <v>676</v>
      </c>
      <c r="J423" s="258" t="s">
        <v>646</v>
      </c>
      <c r="K423" s="258" t="s">
        <v>2747</v>
      </c>
      <c r="L423" s="258" t="s">
        <v>2473</v>
      </c>
      <c r="M423" s="409">
        <v>25050000</v>
      </c>
      <c r="N423" s="258">
        <v>1598</v>
      </c>
      <c r="O423" s="258" t="s">
        <v>78</v>
      </c>
      <c r="P423" s="258" t="s">
        <v>73</v>
      </c>
      <c r="Q423" s="258" t="s">
        <v>72</v>
      </c>
      <c r="R423" s="258">
        <v>5</v>
      </c>
      <c r="S423" s="410">
        <v>20</v>
      </c>
      <c r="T423" s="261">
        <v>6</v>
      </c>
      <c r="U423" s="261">
        <v>6</v>
      </c>
      <c r="V423" s="258" t="s">
        <v>1295</v>
      </c>
      <c r="W423" s="261" t="str">
        <f t="shared" si="72"/>
        <v>한국지엠/쉐보레 코리아트랙스1.6 디젤 프리미엄 A/T25050000</v>
      </c>
      <c r="X423" s="411">
        <f t="shared" si="73"/>
        <v>4197</v>
      </c>
      <c r="Y423" s="261">
        <v>6</v>
      </c>
      <c r="Z423" s="261">
        <v>6</v>
      </c>
      <c r="AA423" s="407" t="s">
        <v>676</v>
      </c>
      <c r="AB423" s="258" t="s">
        <v>73</v>
      </c>
      <c r="AC423" s="258"/>
      <c r="AD423" s="258" t="s">
        <v>2130</v>
      </c>
      <c r="AE423" s="258" t="s">
        <v>2129</v>
      </c>
      <c r="AF423" s="259"/>
      <c r="AG423" s="260"/>
      <c r="AH423" s="259"/>
      <c r="AI423" s="259"/>
      <c r="AJ423" s="260"/>
      <c r="AK423" s="259">
        <v>26</v>
      </c>
      <c r="AL423" s="259"/>
      <c r="AM423" s="259" t="s">
        <v>3227</v>
      </c>
      <c r="AN423" s="449"/>
      <c r="AO423" s="449"/>
      <c r="AP423" s="449"/>
      <c r="AQ423" s="392" t="str">
        <f>IFERROR(VLOOKUP(BG423,#REF!,1,0),"")</f>
        <v/>
      </c>
      <c r="AS423" s="259" t="s">
        <v>3349</v>
      </c>
      <c r="BD423" s="202" t="str">
        <f t="shared" si="65"/>
        <v>트랙스1.6 디젤 프리미엄 A/T</v>
      </c>
      <c r="BE423" s="261" t="str">
        <f t="shared" si="71"/>
        <v>0040</v>
      </c>
      <c r="BF423" s="407" t="s">
        <v>676</v>
      </c>
      <c r="BG423" s="202" t="str">
        <f t="shared" si="66"/>
        <v>0040-0422</v>
      </c>
    </row>
    <row r="424" spans="1:59">
      <c r="A424" s="405">
        <v>4198</v>
      </c>
      <c r="B424" s="406">
        <v>4198</v>
      </c>
      <c r="C424" s="261" t="str">
        <f t="shared" si="67"/>
        <v>0004-0040</v>
      </c>
      <c r="D424" s="261" t="str">
        <f t="shared" si="68"/>
        <v>0004-0040-0007</v>
      </c>
      <c r="E424" s="407" t="s">
        <v>675</v>
      </c>
      <c r="F424" s="261" t="str">
        <f>TEXT(VLOOKUP(J424,'[3]1'!$B$2:$D$37,2,0),"0000")</f>
        <v>0004</v>
      </c>
      <c r="G424" s="261" t="str">
        <f t="shared" si="69"/>
        <v>0040</v>
      </c>
      <c r="H424" s="408">
        <f t="shared" si="70"/>
        <v>7</v>
      </c>
      <c r="I424" s="407" t="s">
        <v>675</v>
      </c>
      <c r="J424" s="258" t="s">
        <v>646</v>
      </c>
      <c r="K424" s="258" t="s">
        <v>2747</v>
      </c>
      <c r="L424" s="258" t="s">
        <v>2474</v>
      </c>
      <c r="M424" s="409">
        <v>20770000</v>
      </c>
      <c r="N424" s="258">
        <v>1362</v>
      </c>
      <c r="O424" s="258" t="s">
        <v>77</v>
      </c>
      <c r="P424" s="258" t="s">
        <v>73</v>
      </c>
      <c r="Q424" s="258" t="s">
        <v>72</v>
      </c>
      <c r="R424" s="258">
        <v>5</v>
      </c>
      <c r="S424" s="410">
        <v>20</v>
      </c>
      <c r="T424" s="261">
        <v>6</v>
      </c>
      <c r="U424" s="261">
        <v>6</v>
      </c>
      <c r="V424" s="258" t="s">
        <v>71</v>
      </c>
      <c r="W424" s="261" t="str">
        <f t="shared" si="72"/>
        <v>한국지엠/쉐보레 코리아트랙스1.4 Turbo LT20770000</v>
      </c>
      <c r="X424" s="411">
        <f t="shared" si="73"/>
        <v>4198</v>
      </c>
      <c r="Y424" s="261">
        <v>6</v>
      </c>
      <c r="Z424" s="261">
        <v>6</v>
      </c>
      <c r="AA424" s="407" t="s">
        <v>675</v>
      </c>
      <c r="AB424" s="258" t="s">
        <v>73</v>
      </c>
      <c r="AC424" s="258"/>
      <c r="AD424" s="258" t="s">
        <v>2131</v>
      </c>
      <c r="AE424" s="258" t="s">
        <v>2129</v>
      </c>
      <c r="AF424" s="259"/>
      <c r="AG424" s="260"/>
      <c r="AH424" s="259"/>
      <c r="AI424" s="259"/>
      <c r="AJ424" s="260"/>
      <c r="AK424" s="259">
        <v>26</v>
      </c>
      <c r="AL424" s="259"/>
      <c r="AM424" s="259" t="s">
        <v>3227</v>
      </c>
      <c r="AN424" s="449"/>
      <c r="AO424" s="449"/>
      <c r="AP424" s="449"/>
      <c r="AQ424" s="392" t="str">
        <f>IFERROR(VLOOKUP(BG424,#REF!,1,0),"")</f>
        <v/>
      </c>
      <c r="AS424" s="259" t="s">
        <v>3349</v>
      </c>
      <c r="BD424" s="202" t="str">
        <f t="shared" si="65"/>
        <v>트랙스1.4 Turbo LT</v>
      </c>
      <c r="BE424" s="261" t="str">
        <f t="shared" si="71"/>
        <v>0040</v>
      </c>
      <c r="BF424" s="407" t="s">
        <v>675</v>
      </c>
      <c r="BG424" s="202" t="str">
        <f t="shared" si="66"/>
        <v>0040-0423</v>
      </c>
    </row>
    <row r="425" spans="1:59">
      <c r="A425" s="405">
        <v>4199</v>
      </c>
      <c r="B425" s="406">
        <v>4199</v>
      </c>
      <c r="C425" s="261" t="str">
        <f t="shared" si="67"/>
        <v>0004-0040</v>
      </c>
      <c r="D425" s="261" t="str">
        <f t="shared" si="68"/>
        <v>0004-0040-0008</v>
      </c>
      <c r="E425" s="407" t="s">
        <v>674</v>
      </c>
      <c r="F425" s="261" t="str">
        <f>TEXT(VLOOKUP(J425,'[3]1'!$B$2:$D$37,2,0),"0000")</f>
        <v>0004</v>
      </c>
      <c r="G425" s="261" t="str">
        <f t="shared" si="69"/>
        <v>0040</v>
      </c>
      <c r="H425" s="408">
        <f t="shared" si="70"/>
        <v>8</v>
      </c>
      <c r="I425" s="407" t="s">
        <v>674</v>
      </c>
      <c r="J425" s="258" t="s">
        <v>646</v>
      </c>
      <c r="K425" s="258" t="s">
        <v>2747</v>
      </c>
      <c r="L425" s="258" t="s">
        <v>2475</v>
      </c>
      <c r="M425" s="409">
        <v>21850000</v>
      </c>
      <c r="N425" s="258">
        <v>1362</v>
      </c>
      <c r="O425" s="258" t="s">
        <v>77</v>
      </c>
      <c r="P425" s="258" t="s">
        <v>73</v>
      </c>
      <c r="Q425" s="258" t="s">
        <v>72</v>
      </c>
      <c r="R425" s="258">
        <v>5</v>
      </c>
      <c r="S425" s="410">
        <v>20</v>
      </c>
      <c r="T425" s="261">
        <v>6</v>
      </c>
      <c r="U425" s="261">
        <v>6</v>
      </c>
      <c r="V425" s="258" t="s">
        <v>3329</v>
      </c>
      <c r="W425" s="261" t="str">
        <f t="shared" si="72"/>
        <v>한국지엠/쉐보레 코리아트랙스1.4 Turbo LT Leather package21850000</v>
      </c>
      <c r="X425" s="411">
        <f t="shared" si="73"/>
        <v>4199</v>
      </c>
      <c r="Y425" s="261">
        <v>6</v>
      </c>
      <c r="Z425" s="261">
        <v>6</v>
      </c>
      <c r="AA425" s="407" t="s">
        <v>674</v>
      </c>
      <c r="AB425" s="258" t="s">
        <v>73</v>
      </c>
      <c r="AC425" s="258"/>
      <c r="AD425" s="258" t="s">
        <v>2131</v>
      </c>
      <c r="AE425" s="258" t="s">
        <v>2129</v>
      </c>
      <c r="AF425" s="259"/>
      <c r="AG425" s="260"/>
      <c r="AH425" s="259"/>
      <c r="AI425" s="259"/>
      <c r="AJ425" s="260"/>
      <c r="AK425" s="259">
        <v>26</v>
      </c>
      <c r="AL425" s="259"/>
      <c r="AM425" s="259" t="s">
        <v>3227</v>
      </c>
      <c r="AN425" s="449"/>
      <c r="AO425" s="449"/>
      <c r="AP425" s="449"/>
      <c r="AQ425" s="392" t="str">
        <f>IFERROR(VLOOKUP(BG425,#REF!,1,0),"")</f>
        <v/>
      </c>
      <c r="AS425" s="259" t="s">
        <v>3349</v>
      </c>
      <c r="BD425" s="202" t="str">
        <f t="shared" si="65"/>
        <v>트랙스1.4 Turbo LT Leather package</v>
      </c>
      <c r="BE425" s="261" t="str">
        <f t="shared" si="71"/>
        <v>0040</v>
      </c>
      <c r="BF425" s="407" t="s">
        <v>674</v>
      </c>
      <c r="BG425" s="202" t="str">
        <f t="shared" si="66"/>
        <v>0040-0424</v>
      </c>
    </row>
    <row r="426" spans="1:59">
      <c r="A426" s="405">
        <v>4200</v>
      </c>
      <c r="B426" s="406">
        <v>4200</v>
      </c>
      <c r="C426" s="261" t="str">
        <f t="shared" si="67"/>
        <v>0004-0040</v>
      </c>
      <c r="D426" s="261" t="str">
        <f t="shared" si="68"/>
        <v>0004-0040-0009</v>
      </c>
      <c r="E426" s="407" t="s">
        <v>673</v>
      </c>
      <c r="F426" s="261" t="str">
        <f>TEXT(VLOOKUP(J426,'[3]1'!$B$2:$D$37,2,0),"0000")</f>
        <v>0004</v>
      </c>
      <c r="G426" s="261" t="str">
        <f t="shared" si="69"/>
        <v>0040</v>
      </c>
      <c r="H426" s="408">
        <f t="shared" si="70"/>
        <v>9</v>
      </c>
      <c r="I426" s="407" t="s">
        <v>673</v>
      </c>
      <c r="J426" s="258" t="s">
        <v>646</v>
      </c>
      <c r="K426" s="258" t="s">
        <v>2747</v>
      </c>
      <c r="L426" s="258" t="s">
        <v>2476</v>
      </c>
      <c r="M426" s="409">
        <v>18220000</v>
      </c>
      <c r="N426" s="258">
        <v>1362</v>
      </c>
      <c r="O426" s="258" t="s">
        <v>77</v>
      </c>
      <c r="P426" s="258" t="s">
        <v>73</v>
      </c>
      <c r="Q426" s="258" t="s">
        <v>72</v>
      </c>
      <c r="R426" s="258">
        <v>5</v>
      </c>
      <c r="S426" s="410">
        <v>20</v>
      </c>
      <c r="T426" s="261">
        <v>6</v>
      </c>
      <c r="U426" s="261">
        <v>6</v>
      </c>
      <c r="V426" s="258" t="s">
        <v>3329</v>
      </c>
      <c r="W426" s="261" t="str">
        <f t="shared" si="72"/>
        <v>한국지엠/쉐보레 코리아트랙스1.4 Turbo LS18220000</v>
      </c>
      <c r="X426" s="411">
        <f t="shared" si="73"/>
        <v>4200</v>
      </c>
      <c r="Y426" s="261">
        <v>6</v>
      </c>
      <c r="Z426" s="261">
        <v>6</v>
      </c>
      <c r="AA426" s="407" t="s">
        <v>673</v>
      </c>
      <c r="AB426" s="258" t="s">
        <v>73</v>
      </c>
      <c r="AC426" s="258"/>
      <c r="AD426" s="258" t="s">
        <v>2131</v>
      </c>
      <c r="AE426" s="258" t="s">
        <v>2129</v>
      </c>
      <c r="AF426" s="259"/>
      <c r="AG426" s="260"/>
      <c r="AH426" s="259"/>
      <c r="AI426" s="259"/>
      <c r="AJ426" s="260"/>
      <c r="AK426" s="259">
        <v>26</v>
      </c>
      <c r="AL426" s="259"/>
      <c r="AM426" s="259" t="s">
        <v>3227</v>
      </c>
      <c r="AN426" s="449"/>
      <c r="AO426" s="449"/>
      <c r="AP426" s="449"/>
      <c r="AQ426" s="392" t="str">
        <f>IFERROR(VLOOKUP(BG426,#REF!,1,0),"")</f>
        <v/>
      </c>
      <c r="AS426" s="259" t="s">
        <v>3349</v>
      </c>
      <c r="BD426" s="202" t="str">
        <f t="shared" si="65"/>
        <v>트랙스1.4 Turbo LS</v>
      </c>
      <c r="BE426" s="261" t="str">
        <f t="shared" si="71"/>
        <v>0040</v>
      </c>
      <c r="BF426" s="407" t="s">
        <v>673</v>
      </c>
      <c r="BG426" s="202" t="str">
        <f t="shared" si="66"/>
        <v>0040-0425</v>
      </c>
    </row>
    <row r="427" spans="1:59">
      <c r="A427" s="405">
        <v>4201</v>
      </c>
      <c r="B427" s="406">
        <v>4201</v>
      </c>
      <c r="C427" s="261" t="str">
        <f t="shared" si="67"/>
        <v>0004-0040</v>
      </c>
      <c r="D427" s="261" t="str">
        <f t="shared" si="68"/>
        <v>0004-0040-0010</v>
      </c>
      <c r="E427" s="407" t="s">
        <v>672</v>
      </c>
      <c r="F427" s="261" t="str">
        <f>TEXT(VLOOKUP(J427,'[3]1'!$B$2:$D$37,2,0),"0000")</f>
        <v>0004</v>
      </c>
      <c r="G427" s="261" t="str">
        <f t="shared" si="69"/>
        <v>0040</v>
      </c>
      <c r="H427" s="408">
        <f t="shared" si="70"/>
        <v>10</v>
      </c>
      <c r="I427" s="407" t="s">
        <v>672</v>
      </c>
      <c r="J427" s="258" t="s">
        <v>646</v>
      </c>
      <c r="K427" s="258" t="s">
        <v>2747</v>
      </c>
      <c r="L427" s="258" t="s">
        <v>2477</v>
      </c>
      <c r="M427" s="409">
        <v>18810000</v>
      </c>
      <c r="N427" s="258">
        <v>1362</v>
      </c>
      <c r="O427" s="258" t="s">
        <v>77</v>
      </c>
      <c r="P427" s="258" t="s">
        <v>73</v>
      </c>
      <c r="Q427" s="258" t="s">
        <v>72</v>
      </c>
      <c r="R427" s="258">
        <v>5</v>
      </c>
      <c r="S427" s="410">
        <v>20</v>
      </c>
      <c r="T427" s="261">
        <v>6</v>
      </c>
      <c r="U427" s="261">
        <v>6</v>
      </c>
      <c r="V427" s="258" t="s">
        <v>3329</v>
      </c>
      <c r="W427" s="261" t="str">
        <f t="shared" si="72"/>
        <v>한국지엠/쉐보레 코리아트랙스1.4 Turbo LS 디럭스팩18810000</v>
      </c>
      <c r="X427" s="411">
        <f t="shared" si="73"/>
        <v>4201</v>
      </c>
      <c r="Y427" s="261">
        <v>6</v>
      </c>
      <c r="Z427" s="261">
        <v>6</v>
      </c>
      <c r="AA427" s="407" t="s">
        <v>672</v>
      </c>
      <c r="AB427" s="258" t="s">
        <v>73</v>
      </c>
      <c r="AC427" s="258"/>
      <c r="AD427" s="258" t="s">
        <v>2131</v>
      </c>
      <c r="AE427" s="258" t="s">
        <v>2129</v>
      </c>
      <c r="AF427" s="259"/>
      <c r="AG427" s="260"/>
      <c r="AH427" s="259"/>
      <c r="AI427" s="259"/>
      <c r="AJ427" s="260"/>
      <c r="AK427" s="259">
        <v>26</v>
      </c>
      <c r="AL427" s="259"/>
      <c r="AM427" s="259" t="s">
        <v>3227</v>
      </c>
      <c r="AN427" s="449"/>
      <c r="AO427" s="449"/>
      <c r="AP427" s="449"/>
      <c r="AQ427" s="392" t="str">
        <f>IFERROR(VLOOKUP(BG427,#REF!,1,0),"")</f>
        <v/>
      </c>
      <c r="AS427" s="259" t="s">
        <v>3349</v>
      </c>
      <c r="BD427" s="202" t="str">
        <f t="shared" si="65"/>
        <v>트랙스1.4 Turbo LS 디럭스팩</v>
      </c>
      <c r="BE427" s="261" t="str">
        <f t="shared" si="71"/>
        <v>0040</v>
      </c>
      <c r="BF427" s="407" t="s">
        <v>672</v>
      </c>
      <c r="BG427" s="202" t="str">
        <f t="shared" si="66"/>
        <v>0040-0426</v>
      </c>
    </row>
    <row r="428" spans="1:59">
      <c r="A428" s="405">
        <v>4202</v>
      </c>
      <c r="B428" s="406">
        <v>4202</v>
      </c>
      <c r="C428" s="261" t="str">
        <f t="shared" si="67"/>
        <v>0004-0040</v>
      </c>
      <c r="D428" s="261" t="str">
        <f t="shared" si="68"/>
        <v>0004-0040-0011</v>
      </c>
      <c r="E428" s="407" t="s">
        <v>671</v>
      </c>
      <c r="F428" s="261" t="str">
        <f>TEXT(VLOOKUP(J428,'[3]1'!$B$2:$D$37,2,0),"0000")</f>
        <v>0004</v>
      </c>
      <c r="G428" s="261" t="str">
        <f t="shared" si="69"/>
        <v>0040</v>
      </c>
      <c r="H428" s="408">
        <f t="shared" si="70"/>
        <v>11</v>
      </c>
      <c r="I428" s="407" t="s">
        <v>671</v>
      </c>
      <c r="J428" s="258" t="s">
        <v>646</v>
      </c>
      <c r="K428" s="258" t="s">
        <v>2747</v>
      </c>
      <c r="L428" s="258" t="s">
        <v>2478</v>
      </c>
      <c r="M428" s="409">
        <v>23900000</v>
      </c>
      <c r="N428" s="258">
        <v>1362</v>
      </c>
      <c r="O428" s="258" t="s">
        <v>77</v>
      </c>
      <c r="P428" s="258" t="s">
        <v>73</v>
      </c>
      <c r="Q428" s="258" t="s">
        <v>72</v>
      </c>
      <c r="R428" s="258">
        <v>5</v>
      </c>
      <c r="S428" s="410">
        <v>20</v>
      </c>
      <c r="T428" s="261">
        <v>6</v>
      </c>
      <c r="U428" s="261">
        <v>6</v>
      </c>
      <c r="V428" s="258" t="s">
        <v>3329</v>
      </c>
      <c r="W428" s="261" t="str">
        <f t="shared" si="72"/>
        <v>한국지엠/쉐보레 코리아트랙스1.4 Turbo LTZ23900000</v>
      </c>
      <c r="X428" s="411">
        <f t="shared" si="73"/>
        <v>4202</v>
      </c>
      <c r="Y428" s="261">
        <v>6</v>
      </c>
      <c r="Z428" s="261">
        <v>6</v>
      </c>
      <c r="AA428" s="407" t="s">
        <v>671</v>
      </c>
      <c r="AB428" s="258" t="s">
        <v>73</v>
      </c>
      <c r="AC428" s="258"/>
      <c r="AD428" s="258" t="s">
        <v>2131</v>
      </c>
      <c r="AE428" s="258" t="s">
        <v>2129</v>
      </c>
      <c r="AF428" s="259"/>
      <c r="AG428" s="260"/>
      <c r="AH428" s="259"/>
      <c r="AI428" s="259"/>
      <c r="AJ428" s="260"/>
      <c r="AK428" s="259">
        <v>26</v>
      </c>
      <c r="AL428" s="259"/>
      <c r="AM428" s="259" t="s">
        <v>3227</v>
      </c>
      <c r="AN428" s="449"/>
      <c r="AO428" s="449"/>
      <c r="AP428" s="449"/>
      <c r="AQ428" s="392" t="str">
        <f>IFERROR(VLOOKUP(BG428,#REF!,1,0),"")</f>
        <v/>
      </c>
      <c r="AS428" s="259" t="s">
        <v>3349</v>
      </c>
      <c r="BD428" s="202" t="str">
        <f t="shared" si="65"/>
        <v>트랙스1.4 Turbo LTZ</v>
      </c>
      <c r="BE428" s="261" t="str">
        <f t="shared" si="71"/>
        <v>0040</v>
      </c>
      <c r="BF428" s="407" t="s">
        <v>671</v>
      </c>
      <c r="BG428" s="202" t="str">
        <f t="shared" si="66"/>
        <v>0040-0427</v>
      </c>
    </row>
    <row r="429" spans="1:59">
      <c r="A429" s="405">
        <v>4203</v>
      </c>
      <c r="B429" s="406">
        <v>4203</v>
      </c>
      <c r="C429" s="261" t="str">
        <f t="shared" si="67"/>
        <v>0004-0040</v>
      </c>
      <c r="D429" s="261" t="str">
        <f t="shared" si="68"/>
        <v>0004-0040-0012</v>
      </c>
      <c r="E429" s="407" t="s">
        <v>670</v>
      </c>
      <c r="F429" s="261" t="str">
        <f>TEXT(VLOOKUP(J429,'[3]1'!$B$2:$D$37,2,0),"0000")</f>
        <v>0004</v>
      </c>
      <c r="G429" s="261" t="str">
        <f t="shared" si="69"/>
        <v>0040</v>
      </c>
      <c r="H429" s="408">
        <f t="shared" si="70"/>
        <v>12</v>
      </c>
      <c r="I429" s="407" t="s">
        <v>670</v>
      </c>
      <c r="J429" s="258" t="s">
        <v>646</v>
      </c>
      <c r="K429" s="258" t="s">
        <v>2747</v>
      </c>
      <c r="L429" s="258" t="s">
        <v>2479</v>
      </c>
      <c r="M429" s="409">
        <v>22420000</v>
      </c>
      <c r="N429" s="258">
        <v>1362</v>
      </c>
      <c r="O429" s="258" t="s">
        <v>77</v>
      </c>
      <c r="P429" s="258" t="s">
        <v>73</v>
      </c>
      <c r="Q429" s="258" t="s">
        <v>72</v>
      </c>
      <c r="R429" s="258">
        <v>5</v>
      </c>
      <c r="S429" s="410">
        <v>20</v>
      </c>
      <c r="T429" s="261">
        <v>6</v>
      </c>
      <c r="U429" s="261">
        <v>6</v>
      </c>
      <c r="V429" s="258" t="s">
        <v>1969</v>
      </c>
      <c r="W429" s="261" t="str">
        <f t="shared" si="72"/>
        <v>한국지엠/쉐보레 코리아트랙스1.4 turbo premier A/T22420000</v>
      </c>
      <c r="X429" s="411">
        <f t="shared" si="73"/>
        <v>4203</v>
      </c>
      <c r="Y429" s="261">
        <v>6</v>
      </c>
      <c r="Z429" s="261">
        <v>6</v>
      </c>
      <c r="AA429" s="407" t="s">
        <v>670</v>
      </c>
      <c r="AB429" s="258" t="s">
        <v>73</v>
      </c>
      <c r="AC429" s="258"/>
      <c r="AD429" s="258" t="s">
        <v>2131</v>
      </c>
      <c r="AE429" s="258" t="s">
        <v>2129</v>
      </c>
      <c r="AF429" s="259"/>
      <c r="AG429" s="260"/>
      <c r="AH429" s="259"/>
      <c r="AI429" s="259"/>
      <c r="AJ429" s="260"/>
      <c r="AK429" s="259">
        <v>26</v>
      </c>
      <c r="AL429" s="259"/>
      <c r="AM429" s="259" t="s">
        <v>3227</v>
      </c>
      <c r="AN429" s="449"/>
      <c r="AO429" s="449"/>
      <c r="AP429" s="449"/>
      <c r="AQ429" s="392" t="str">
        <f>IFERROR(VLOOKUP(BG429,#REF!,1,0),"")</f>
        <v/>
      </c>
      <c r="AS429" s="259" t="s">
        <v>3349</v>
      </c>
      <c r="BD429" s="202" t="str">
        <f t="shared" si="65"/>
        <v>트랙스1.4 turbo premier A/T</v>
      </c>
      <c r="BE429" s="261" t="str">
        <f t="shared" si="71"/>
        <v>0040</v>
      </c>
      <c r="BF429" s="407" t="s">
        <v>670</v>
      </c>
      <c r="BG429" s="202" t="str">
        <f t="shared" si="66"/>
        <v>0040-0428</v>
      </c>
    </row>
    <row r="430" spans="1:59">
      <c r="A430" s="405">
        <v>4204</v>
      </c>
      <c r="B430" s="406">
        <v>4204</v>
      </c>
      <c r="C430" s="261" t="str">
        <f t="shared" si="67"/>
        <v>0004-0040</v>
      </c>
      <c r="D430" s="261" t="str">
        <f t="shared" si="68"/>
        <v>0004-0040-0013</v>
      </c>
      <c r="E430" s="407" t="s">
        <v>669</v>
      </c>
      <c r="F430" s="261" t="str">
        <f>TEXT(VLOOKUP(J430,'[3]1'!$B$2:$D$37,2,0),"0000")</f>
        <v>0004</v>
      </c>
      <c r="G430" s="261" t="str">
        <f t="shared" si="69"/>
        <v>0040</v>
      </c>
      <c r="H430" s="408">
        <f t="shared" si="70"/>
        <v>13</v>
      </c>
      <c r="I430" s="407" t="s">
        <v>669</v>
      </c>
      <c r="J430" s="258" t="s">
        <v>646</v>
      </c>
      <c r="K430" s="258" t="s">
        <v>2747</v>
      </c>
      <c r="L430" s="258" t="s">
        <v>3348</v>
      </c>
      <c r="M430" s="409">
        <v>22420000</v>
      </c>
      <c r="N430" s="258">
        <v>1199</v>
      </c>
      <c r="O430" s="258" t="s">
        <v>77</v>
      </c>
      <c r="P430" s="258" t="s">
        <v>73</v>
      </c>
      <c r="Q430" s="258" t="s">
        <v>72</v>
      </c>
      <c r="R430" s="258">
        <v>5</v>
      </c>
      <c r="S430" s="410">
        <v>20</v>
      </c>
      <c r="T430" s="261">
        <v>6</v>
      </c>
      <c r="U430" s="261">
        <v>6</v>
      </c>
      <c r="V430" s="258" t="s">
        <v>3329</v>
      </c>
      <c r="W430" s="261" t="str">
        <f t="shared" si="72"/>
        <v>한국지엠/쉐보레 코리아트랙스1.2 turbo RS22420000</v>
      </c>
      <c r="X430" s="411">
        <f t="shared" si="73"/>
        <v>4204</v>
      </c>
      <c r="Y430" s="261">
        <v>6</v>
      </c>
      <c r="Z430" s="261">
        <v>6</v>
      </c>
      <c r="AA430" s="407" t="s">
        <v>669</v>
      </c>
      <c r="AB430" s="258" t="s">
        <v>73</v>
      </c>
      <c r="AC430" s="258"/>
      <c r="AD430" s="258" t="s">
        <v>2131</v>
      </c>
      <c r="AE430" s="258" t="s">
        <v>2129</v>
      </c>
      <c r="AF430" s="259"/>
      <c r="AG430" s="260"/>
      <c r="AH430" s="259"/>
      <c r="AI430" s="259"/>
      <c r="AJ430" s="260"/>
      <c r="AK430" s="259">
        <v>26</v>
      </c>
      <c r="AL430" s="259"/>
      <c r="AM430" s="259" t="s">
        <v>3227</v>
      </c>
      <c r="AN430" s="449"/>
      <c r="AO430" s="449"/>
      <c r="AP430" s="449"/>
      <c r="AQ430" s="392" t="str">
        <f>IFERROR(VLOOKUP(BG430,#REF!,1,0),"")</f>
        <v/>
      </c>
      <c r="AS430" s="259" t="s">
        <v>3349</v>
      </c>
      <c r="BD430" s="202" t="str">
        <f t="shared" si="65"/>
        <v>트랙스1.2 turbo RS</v>
      </c>
      <c r="BE430" s="261" t="str">
        <f t="shared" si="71"/>
        <v>0040</v>
      </c>
      <c r="BF430" s="407" t="s">
        <v>669</v>
      </c>
      <c r="BG430" s="202" t="str">
        <f t="shared" si="66"/>
        <v>0040-0429</v>
      </c>
    </row>
    <row r="431" spans="1:59">
      <c r="A431" s="405">
        <v>4205</v>
      </c>
      <c r="B431" s="406">
        <v>4205</v>
      </c>
      <c r="C431" s="261" t="str">
        <f t="shared" si="67"/>
        <v>0004-0041</v>
      </c>
      <c r="D431" s="261" t="str">
        <f t="shared" si="68"/>
        <v>0004-0041-0001</v>
      </c>
      <c r="E431" s="407" t="s">
        <v>668</v>
      </c>
      <c r="F431" s="261" t="str">
        <f>TEXT(VLOOKUP(J431,'[3]1'!$B$2:$D$37,2,0),"0000")</f>
        <v>0004</v>
      </c>
      <c r="G431" s="261" t="str">
        <f t="shared" si="69"/>
        <v>0041</v>
      </c>
      <c r="H431" s="408">
        <f t="shared" si="70"/>
        <v>1</v>
      </c>
      <c r="I431" s="407" t="s">
        <v>668</v>
      </c>
      <c r="J431" s="258" t="s">
        <v>646</v>
      </c>
      <c r="K431" s="258" t="s">
        <v>2748</v>
      </c>
      <c r="L431" s="258" t="s">
        <v>2480</v>
      </c>
      <c r="M431" s="409">
        <v>21300000</v>
      </c>
      <c r="N431" s="258">
        <v>1341</v>
      </c>
      <c r="O431" s="258" t="s">
        <v>77</v>
      </c>
      <c r="P431" s="258" t="s">
        <v>3035</v>
      </c>
      <c r="Q431" s="258" t="s">
        <v>72</v>
      </c>
      <c r="R431" s="258">
        <v>5</v>
      </c>
      <c r="S431" s="410">
        <v>9</v>
      </c>
      <c r="T431" s="261">
        <v>6</v>
      </c>
      <c r="U431" s="261">
        <v>6</v>
      </c>
      <c r="V431" s="258" t="s">
        <v>3331</v>
      </c>
      <c r="W431" s="261" t="str">
        <f t="shared" si="72"/>
        <v>한국지엠/쉐보레 코리아트레일블레이저1.35 가솔린 LT21300000</v>
      </c>
      <c r="X431" s="411">
        <f t="shared" si="73"/>
        <v>4205</v>
      </c>
      <c r="Y431" s="261">
        <v>6</v>
      </c>
      <c r="Z431" s="261">
        <v>6</v>
      </c>
      <c r="AA431" s="407" t="s">
        <v>668</v>
      </c>
      <c r="AB431" s="258" t="s">
        <v>3035</v>
      </c>
      <c r="AC431" s="258"/>
      <c r="AD431" s="258" t="s">
        <v>2134</v>
      </c>
      <c r="AE431" s="258" t="s">
        <v>2129</v>
      </c>
      <c r="AF431" s="259"/>
      <c r="AG431" s="260"/>
      <c r="AH431" s="259"/>
      <c r="AI431" s="259"/>
      <c r="AJ431" s="260"/>
      <c r="AK431" s="259">
        <v>26</v>
      </c>
      <c r="AL431" s="259"/>
      <c r="AM431" s="259" t="s">
        <v>3224</v>
      </c>
      <c r="AN431" s="449"/>
      <c r="AO431" s="449"/>
      <c r="AP431" s="449"/>
      <c r="AQ431" s="392" t="str">
        <f>IFERROR(VLOOKUP(BG431,#REF!,1,0),"")</f>
        <v/>
      </c>
      <c r="AS431" s="259" t="s">
        <v>3222</v>
      </c>
      <c r="AW431" s="392" t="s">
        <v>3036</v>
      </c>
      <c r="BD431" s="202" t="str">
        <f t="shared" si="65"/>
        <v>트레일블레이저1.35 가솔린 LT</v>
      </c>
      <c r="BE431" s="261" t="str">
        <f t="shared" si="71"/>
        <v>0041</v>
      </c>
      <c r="BF431" s="407" t="s">
        <v>668</v>
      </c>
      <c r="BG431" s="202" t="str">
        <f t="shared" si="66"/>
        <v>0041-0430</v>
      </c>
    </row>
    <row r="432" spans="1:59">
      <c r="A432" s="405">
        <v>4206</v>
      </c>
      <c r="B432" s="406">
        <v>4206</v>
      </c>
      <c r="C432" s="261" t="str">
        <f t="shared" si="67"/>
        <v>0004-0041</v>
      </c>
      <c r="D432" s="261" t="str">
        <f t="shared" si="68"/>
        <v>0004-0041-0002</v>
      </c>
      <c r="E432" s="407" t="s">
        <v>667</v>
      </c>
      <c r="F432" s="261" t="str">
        <f>TEXT(VLOOKUP(J432,'[3]1'!$B$2:$D$37,2,0),"0000")</f>
        <v>0004</v>
      </c>
      <c r="G432" s="261" t="str">
        <f t="shared" si="69"/>
        <v>0041</v>
      </c>
      <c r="H432" s="408">
        <f t="shared" si="70"/>
        <v>2</v>
      </c>
      <c r="I432" s="407" t="s">
        <v>667</v>
      </c>
      <c r="J432" s="258" t="s">
        <v>646</v>
      </c>
      <c r="K432" s="258" t="s">
        <v>2748</v>
      </c>
      <c r="L432" s="258" t="s">
        <v>2481</v>
      </c>
      <c r="M432" s="409">
        <v>24900000</v>
      </c>
      <c r="N432" s="258">
        <v>1341</v>
      </c>
      <c r="O432" s="258" t="s">
        <v>77</v>
      </c>
      <c r="P432" s="258" t="s">
        <v>3035</v>
      </c>
      <c r="Q432" s="258" t="s">
        <v>72</v>
      </c>
      <c r="R432" s="258">
        <v>5</v>
      </c>
      <c r="S432" s="410">
        <v>9</v>
      </c>
      <c r="T432" s="261">
        <v>6</v>
      </c>
      <c r="U432" s="261">
        <v>6</v>
      </c>
      <c r="V432" s="258" t="s">
        <v>3331</v>
      </c>
      <c r="W432" s="261" t="str">
        <f t="shared" si="72"/>
        <v>한국지엠/쉐보레 코리아트레일블레이저1.35 가솔린 PREMIER A/T24900000</v>
      </c>
      <c r="X432" s="411">
        <f t="shared" si="73"/>
        <v>4206</v>
      </c>
      <c r="Y432" s="261">
        <v>6</v>
      </c>
      <c r="Z432" s="261">
        <v>6</v>
      </c>
      <c r="AA432" s="407" t="s">
        <v>667</v>
      </c>
      <c r="AB432" s="258" t="s">
        <v>3035</v>
      </c>
      <c r="AC432" s="258"/>
      <c r="AD432" s="258" t="s">
        <v>2134</v>
      </c>
      <c r="AE432" s="258" t="s">
        <v>2129</v>
      </c>
      <c r="AF432" s="259"/>
      <c r="AG432" s="260"/>
      <c r="AH432" s="259"/>
      <c r="AI432" s="259"/>
      <c r="AJ432" s="260"/>
      <c r="AK432" s="259">
        <v>26</v>
      </c>
      <c r="AL432" s="259"/>
      <c r="AM432" s="259" t="s">
        <v>3224</v>
      </c>
      <c r="AN432" s="449"/>
      <c r="AO432" s="449"/>
      <c r="AP432" s="449"/>
      <c r="AQ432" s="392" t="str">
        <f>IFERROR(VLOOKUP(BG432,#REF!,1,0),"")</f>
        <v/>
      </c>
      <c r="AS432" s="259" t="s">
        <v>3222</v>
      </c>
      <c r="AW432" s="392" t="s">
        <v>3036</v>
      </c>
      <c r="BD432" s="202" t="str">
        <f t="shared" si="65"/>
        <v>트레일블레이저1.35 가솔린 PREMIER A/T</v>
      </c>
      <c r="BE432" s="261" t="str">
        <f t="shared" si="71"/>
        <v>0041</v>
      </c>
      <c r="BF432" s="407" t="s">
        <v>667</v>
      </c>
      <c r="BG432" s="202" t="str">
        <f t="shared" si="66"/>
        <v>0041-0431</v>
      </c>
    </row>
    <row r="433" spans="1:59">
      <c r="A433" s="405">
        <v>4207</v>
      </c>
      <c r="B433" s="406">
        <v>4207</v>
      </c>
      <c r="C433" s="261" t="str">
        <f t="shared" si="67"/>
        <v>0004-0041</v>
      </c>
      <c r="D433" s="261" t="str">
        <f t="shared" si="68"/>
        <v>0004-0041-0003</v>
      </c>
      <c r="E433" s="407" t="s">
        <v>666</v>
      </c>
      <c r="F433" s="261" t="str">
        <f>TEXT(VLOOKUP(J433,'[3]1'!$B$2:$D$37,2,0),"0000")</f>
        <v>0004</v>
      </c>
      <c r="G433" s="261" t="str">
        <f t="shared" si="69"/>
        <v>0041</v>
      </c>
      <c r="H433" s="408">
        <f t="shared" si="70"/>
        <v>3</v>
      </c>
      <c r="I433" s="407" t="s">
        <v>666</v>
      </c>
      <c r="J433" s="258" t="s">
        <v>646</v>
      </c>
      <c r="K433" s="258" t="s">
        <v>2748</v>
      </c>
      <c r="L433" s="258" t="s">
        <v>2482</v>
      </c>
      <c r="M433" s="409">
        <v>26200000</v>
      </c>
      <c r="N433" s="258">
        <v>1341</v>
      </c>
      <c r="O433" s="258" t="s">
        <v>77</v>
      </c>
      <c r="P433" s="258" t="s">
        <v>3035</v>
      </c>
      <c r="Q433" s="258" t="s">
        <v>72</v>
      </c>
      <c r="R433" s="258">
        <v>4</v>
      </c>
      <c r="S433" s="410">
        <v>9</v>
      </c>
      <c r="T433" s="261">
        <v>6</v>
      </c>
      <c r="U433" s="261">
        <v>6</v>
      </c>
      <c r="V433" s="258" t="s">
        <v>71</v>
      </c>
      <c r="W433" s="261" t="str">
        <f t="shared" si="72"/>
        <v>한국지엠/쉐보레 코리아트레일블레이저1.35 가솔린 RS26200000</v>
      </c>
      <c r="X433" s="411">
        <f t="shared" si="73"/>
        <v>4207</v>
      </c>
      <c r="Y433" s="261">
        <v>6</v>
      </c>
      <c r="Z433" s="261">
        <v>6</v>
      </c>
      <c r="AA433" s="407" t="s">
        <v>666</v>
      </c>
      <c r="AB433" s="258" t="s">
        <v>3035</v>
      </c>
      <c r="AC433" s="258"/>
      <c r="AD433" s="258" t="s">
        <v>2134</v>
      </c>
      <c r="AE433" s="258" t="s">
        <v>2129</v>
      </c>
      <c r="AF433" s="259"/>
      <c r="AG433" s="260"/>
      <c r="AH433" s="259"/>
      <c r="AI433" s="259"/>
      <c r="AJ433" s="260"/>
      <c r="AK433" s="259">
        <v>26</v>
      </c>
      <c r="AL433" s="259"/>
      <c r="AM433" s="259" t="s">
        <v>3224</v>
      </c>
      <c r="AN433" s="449"/>
      <c r="AO433" s="449"/>
      <c r="AP433" s="449"/>
      <c r="AQ433" s="392" t="str">
        <f>IFERROR(VLOOKUP(BG433,#REF!,1,0),"")</f>
        <v/>
      </c>
      <c r="AS433" s="259" t="s">
        <v>3222</v>
      </c>
      <c r="AW433" s="392" t="s">
        <v>3036</v>
      </c>
      <c r="BD433" s="202" t="str">
        <f t="shared" si="65"/>
        <v>트레일블레이저1.35 가솔린 RS</v>
      </c>
      <c r="BE433" s="261" t="str">
        <f t="shared" si="71"/>
        <v>0041</v>
      </c>
      <c r="BF433" s="407" t="s">
        <v>666</v>
      </c>
      <c r="BG433" s="202" t="str">
        <f t="shared" si="66"/>
        <v>0041-0432</v>
      </c>
    </row>
    <row r="434" spans="1:59">
      <c r="A434" s="405">
        <v>4208</v>
      </c>
      <c r="B434" s="406">
        <v>4208</v>
      </c>
      <c r="C434" s="261" t="str">
        <f t="shared" si="67"/>
        <v>0004-0041</v>
      </c>
      <c r="D434" s="261" t="str">
        <f t="shared" si="68"/>
        <v>0004-0041-0004</v>
      </c>
      <c r="E434" s="407" t="s">
        <v>665</v>
      </c>
      <c r="F434" s="261" t="str">
        <f>TEXT(VLOOKUP(J434,'[3]1'!$B$2:$D$37,2,0),"0000")</f>
        <v>0004</v>
      </c>
      <c r="G434" s="261" t="str">
        <f t="shared" si="69"/>
        <v>0041</v>
      </c>
      <c r="H434" s="408">
        <f t="shared" si="70"/>
        <v>4</v>
      </c>
      <c r="I434" s="407" t="s">
        <v>665</v>
      </c>
      <c r="J434" s="258" t="s">
        <v>646</v>
      </c>
      <c r="K434" s="258" t="s">
        <v>2748</v>
      </c>
      <c r="L434" s="258" t="s">
        <v>2483</v>
      </c>
      <c r="M434" s="409">
        <v>25700000</v>
      </c>
      <c r="N434" s="258">
        <v>1341</v>
      </c>
      <c r="O434" s="258" t="s">
        <v>77</v>
      </c>
      <c r="P434" s="258" t="s">
        <v>3035</v>
      </c>
      <c r="Q434" s="258" t="s">
        <v>72</v>
      </c>
      <c r="R434" s="258">
        <v>2</v>
      </c>
      <c r="S434" s="410">
        <v>9</v>
      </c>
      <c r="T434" s="261">
        <v>6</v>
      </c>
      <c r="U434" s="261">
        <v>6</v>
      </c>
      <c r="V434" s="258" t="s">
        <v>71</v>
      </c>
      <c r="W434" s="261" t="str">
        <f t="shared" si="72"/>
        <v>한국지엠/쉐보레 코리아트레일블레이저1.35 가솔린 ACTIV A/T25700000</v>
      </c>
      <c r="X434" s="411">
        <f t="shared" si="73"/>
        <v>4208</v>
      </c>
      <c r="Y434" s="261">
        <v>6</v>
      </c>
      <c r="Z434" s="261">
        <v>6</v>
      </c>
      <c r="AA434" s="407" t="s">
        <v>665</v>
      </c>
      <c r="AB434" s="258" t="s">
        <v>3035</v>
      </c>
      <c r="AC434" s="258"/>
      <c r="AD434" s="258" t="s">
        <v>2134</v>
      </c>
      <c r="AE434" s="258" t="s">
        <v>2129</v>
      </c>
      <c r="AF434" s="259"/>
      <c r="AG434" s="260"/>
      <c r="AH434" s="259"/>
      <c r="AI434" s="259"/>
      <c r="AJ434" s="260"/>
      <c r="AK434" s="259">
        <v>26</v>
      </c>
      <c r="AL434" s="259"/>
      <c r="AM434" s="259" t="s">
        <v>3224</v>
      </c>
      <c r="AN434" s="449"/>
      <c r="AO434" s="449"/>
      <c r="AP434" s="449"/>
      <c r="AQ434" s="392" t="str">
        <f>IFERROR(VLOOKUP(BG434,#REF!,1,0),"")</f>
        <v/>
      </c>
      <c r="AS434" s="259" t="s">
        <v>3222</v>
      </c>
      <c r="AW434" s="392" t="s">
        <v>3036</v>
      </c>
      <c r="BD434" s="202" t="str">
        <f t="shared" si="65"/>
        <v>트레일블레이저1.35 가솔린 ACTIV A/T</v>
      </c>
      <c r="BE434" s="261" t="str">
        <f t="shared" si="71"/>
        <v>0041</v>
      </c>
      <c r="BF434" s="407" t="s">
        <v>665</v>
      </c>
      <c r="BG434" s="202" t="str">
        <f t="shared" si="66"/>
        <v>0041-0433</v>
      </c>
    </row>
    <row r="435" spans="1:59">
      <c r="A435" s="405">
        <v>4209</v>
      </c>
      <c r="B435" s="406">
        <v>4209</v>
      </c>
      <c r="C435" s="261" t="str">
        <f t="shared" si="67"/>
        <v>0004-0041</v>
      </c>
      <c r="D435" s="261" t="str">
        <f t="shared" si="68"/>
        <v>0004-0041-0005</v>
      </c>
      <c r="E435" s="407" t="s">
        <v>664</v>
      </c>
      <c r="F435" s="261" t="str">
        <f>TEXT(VLOOKUP(J435,'[3]1'!$B$2:$D$37,2,0),"0000")</f>
        <v>0004</v>
      </c>
      <c r="G435" s="261" t="str">
        <f t="shared" si="69"/>
        <v>0041</v>
      </c>
      <c r="H435" s="408">
        <f t="shared" si="70"/>
        <v>5</v>
      </c>
      <c r="I435" s="407" t="s">
        <v>664</v>
      </c>
      <c r="J435" s="258" t="s">
        <v>646</v>
      </c>
      <c r="K435" s="258" t="s">
        <v>2748</v>
      </c>
      <c r="L435" s="266" t="s">
        <v>2987</v>
      </c>
      <c r="M435" s="318">
        <v>19590000</v>
      </c>
      <c r="N435" s="265">
        <v>1199</v>
      </c>
      <c r="O435" s="258" t="s">
        <v>77</v>
      </c>
      <c r="P435" s="258" t="s">
        <v>3035</v>
      </c>
      <c r="Q435" s="258" t="s">
        <v>72</v>
      </c>
      <c r="R435" s="266">
        <v>5</v>
      </c>
      <c r="S435" s="410">
        <v>9</v>
      </c>
      <c r="T435" s="261">
        <v>6</v>
      </c>
      <c r="U435" s="261">
        <v>6</v>
      </c>
      <c r="V435" s="258" t="s">
        <v>71</v>
      </c>
      <c r="W435" s="261" t="str">
        <f t="shared" si="72"/>
        <v>한국지엠/쉐보레 코리아트레일블레이저가솔린 터보 1.2 LS A/T19590000</v>
      </c>
      <c r="X435" s="411">
        <f t="shared" si="73"/>
        <v>4209</v>
      </c>
      <c r="Y435" s="261">
        <v>6</v>
      </c>
      <c r="Z435" s="261">
        <v>6</v>
      </c>
      <c r="AA435" s="407" t="s">
        <v>664</v>
      </c>
      <c r="AB435" s="258" t="s">
        <v>3035</v>
      </c>
      <c r="AC435" s="258"/>
      <c r="AD435" s="258" t="s">
        <v>2134</v>
      </c>
      <c r="AE435" s="258" t="s">
        <v>2129</v>
      </c>
      <c r="AF435" s="259"/>
      <c r="AG435" s="260"/>
      <c r="AH435" s="259"/>
      <c r="AI435" s="259"/>
      <c r="AJ435" s="260"/>
      <c r="AK435" s="259">
        <v>26</v>
      </c>
      <c r="AL435" s="259"/>
      <c r="AM435" s="259" t="s">
        <v>3224</v>
      </c>
      <c r="AN435" s="449"/>
      <c r="AO435" s="449"/>
      <c r="AP435" s="449"/>
      <c r="AQ435" s="392" t="str">
        <f>IFERROR(VLOOKUP(BG435,#REF!,1,0),"")</f>
        <v/>
      </c>
      <c r="AS435" s="259" t="s">
        <v>3222</v>
      </c>
      <c r="AW435" s="392" t="s">
        <v>3036</v>
      </c>
      <c r="BD435" s="202" t="str">
        <f t="shared" si="65"/>
        <v>트레일블레이저가솔린 터보 1.2 LS A/T</v>
      </c>
      <c r="BE435" s="261" t="str">
        <f t="shared" si="71"/>
        <v>0041</v>
      </c>
      <c r="BF435" s="407" t="s">
        <v>664</v>
      </c>
      <c r="BG435" s="202" t="str">
        <f t="shared" si="66"/>
        <v>0041-0434</v>
      </c>
    </row>
    <row r="436" spans="1:59">
      <c r="A436" s="405">
        <v>4210</v>
      </c>
      <c r="B436" s="406">
        <v>4210</v>
      </c>
      <c r="C436" s="261" t="str">
        <f t="shared" si="67"/>
        <v>0004-0041</v>
      </c>
      <c r="D436" s="261" t="str">
        <f t="shared" si="68"/>
        <v>0004-0041-0006</v>
      </c>
      <c r="E436" s="407" t="s">
        <v>663</v>
      </c>
      <c r="F436" s="261" t="str">
        <f>TEXT(VLOOKUP(J436,'[3]1'!$B$2:$D$37,2,0),"0000")</f>
        <v>0004</v>
      </c>
      <c r="G436" s="261" t="str">
        <f t="shared" si="69"/>
        <v>0041</v>
      </c>
      <c r="H436" s="408">
        <f t="shared" si="70"/>
        <v>6</v>
      </c>
      <c r="I436" s="407" t="s">
        <v>663</v>
      </c>
      <c r="J436" s="258" t="s">
        <v>646</v>
      </c>
      <c r="K436" s="258" t="s">
        <v>2748</v>
      </c>
      <c r="L436" s="266" t="s">
        <v>2988</v>
      </c>
      <c r="M436" s="318">
        <v>21850000</v>
      </c>
      <c r="N436" s="265">
        <v>1199</v>
      </c>
      <c r="O436" s="258" t="s">
        <v>77</v>
      </c>
      <c r="P436" s="258" t="s">
        <v>3035</v>
      </c>
      <c r="Q436" s="258" t="s">
        <v>72</v>
      </c>
      <c r="R436" s="266">
        <v>5</v>
      </c>
      <c r="S436" s="410">
        <v>9</v>
      </c>
      <c r="T436" s="261">
        <v>6</v>
      </c>
      <c r="U436" s="261">
        <v>6</v>
      </c>
      <c r="V436" s="258" t="s">
        <v>71</v>
      </c>
      <c r="W436" s="261" t="str">
        <f t="shared" si="72"/>
        <v>한국지엠/쉐보레 코리아트레일블레이저가솔린 터보 1.2  LT A/T21850000</v>
      </c>
      <c r="X436" s="411">
        <f t="shared" si="73"/>
        <v>4210</v>
      </c>
      <c r="Y436" s="261">
        <v>6</v>
      </c>
      <c r="Z436" s="261">
        <v>6</v>
      </c>
      <c r="AA436" s="407" t="s">
        <v>663</v>
      </c>
      <c r="AB436" s="258" t="s">
        <v>3035</v>
      </c>
      <c r="AC436" s="258"/>
      <c r="AD436" s="258" t="s">
        <v>2134</v>
      </c>
      <c r="AE436" s="258" t="s">
        <v>2129</v>
      </c>
      <c r="AF436" s="259"/>
      <c r="AG436" s="260"/>
      <c r="AH436" s="259"/>
      <c r="AI436" s="259"/>
      <c r="AJ436" s="260"/>
      <c r="AK436" s="259">
        <v>26</v>
      </c>
      <c r="AL436" s="259"/>
      <c r="AM436" s="259" t="s">
        <v>3224</v>
      </c>
      <c r="AN436" s="449"/>
      <c r="AO436" s="449"/>
      <c r="AP436" s="449"/>
      <c r="AQ436" s="392" t="str">
        <f>IFERROR(VLOOKUP(BG436,#REF!,1,0),"")</f>
        <v/>
      </c>
      <c r="AS436" s="259" t="s">
        <v>3222</v>
      </c>
      <c r="AW436" s="392" t="s">
        <v>3036</v>
      </c>
      <c r="BD436" s="202" t="str">
        <f t="shared" si="65"/>
        <v>트레일블레이저가솔린 터보 1.2  LT A/T</v>
      </c>
      <c r="BE436" s="261" t="str">
        <f t="shared" si="71"/>
        <v>0041</v>
      </c>
      <c r="BF436" s="407" t="s">
        <v>663</v>
      </c>
      <c r="BG436" s="202" t="str">
        <f t="shared" si="66"/>
        <v>0041-0435</v>
      </c>
    </row>
    <row r="437" spans="1:59">
      <c r="A437" s="405">
        <v>4211</v>
      </c>
      <c r="B437" s="406">
        <v>4211</v>
      </c>
      <c r="C437" s="261" t="str">
        <f t="shared" si="67"/>
        <v>0003-0042</v>
      </c>
      <c r="D437" s="261" t="str">
        <f t="shared" si="68"/>
        <v>0003-0042-0001</v>
      </c>
      <c r="E437" s="407" t="s">
        <v>662</v>
      </c>
      <c r="F437" s="261" t="str">
        <f>TEXT(VLOOKUP(J437,'[3]1'!$B$2:$D$37,2,0),"0000")</f>
        <v>0003</v>
      </c>
      <c r="G437" s="261" t="str">
        <f t="shared" si="69"/>
        <v>0042</v>
      </c>
      <c r="H437" s="408">
        <f t="shared" si="70"/>
        <v>1</v>
      </c>
      <c r="I437" s="407" t="s">
        <v>662</v>
      </c>
      <c r="J437" s="258" t="s">
        <v>728</v>
      </c>
      <c r="K437" s="258" t="s">
        <v>2732</v>
      </c>
      <c r="L437" s="258" t="s">
        <v>2364</v>
      </c>
      <c r="M437" s="409">
        <v>41420000</v>
      </c>
      <c r="N437" s="258">
        <v>2157</v>
      </c>
      <c r="O437" s="258" t="s">
        <v>78</v>
      </c>
      <c r="P437" s="258" t="s">
        <v>1965</v>
      </c>
      <c r="Q437" s="258" t="s">
        <v>72</v>
      </c>
      <c r="R437" s="258">
        <v>3</v>
      </c>
      <c r="S437" s="410">
        <v>9</v>
      </c>
      <c r="T437" s="261">
        <v>6</v>
      </c>
      <c r="U437" s="261">
        <v>6</v>
      </c>
      <c r="V437" s="258" t="s">
        <v>71</v>
      </c>
      <c r="W437" s="261" t="str">
        <f t="shared" si="72"/>
        <v>쌍용자동차G4 렉스턴2WD 5인승 헤리티지 (A/T)41420000</v>
      </c>
      <c r="X437" s="411">
        <f t="shared" si="73"/>
        <v>4211</v>
      </c>
      <c r="Y437" s="261">
        <v>6</v>
      </c>
      <c r="Z437" s="261">
        <v>6</v>
      </c>
      <c r="AA437" s="407" t="s">
        <v>662</v>
      </c>
      <c r="AB437" s="258" t="s">
        <v>1965</v>
      </c>
      <c r="AC437" s="258"/>
      <c r="AD437" s="258" t="s">
        <v>2132</v>
      </c>
      <c r="AE437" s="258" t="s">
        <v>2129</v>
      </c>
      <c r="AF437" s="259"/>
      <c r="AG437" s="260"/>
      <c r="AH437" s="259"/>
      <c r="AI437" s="259"/>
      <c r="AJ437" s="260"/>
      <c r="AK437" s="259">
        <v>26</v>
      </c>
      <c r="AL437" s="259"/>
      <c r="AM437" s="259" t="s">
        <v>3222</v>
      </c>
      <c r="AN437" s="449"/>
      <c r="AO437" s="449"/>
      <c r="AP437" s="449"/>
      <c r="AQ437" s="392" t="str">
        <f>IFERROR(VLOOKUP(BG437,#REF!,1,0),"")</f>
        <v/>
      </c>
      <c r="AS437" s="259" t="s">
        <v>3222</v>
      </c>
      <c r="BD437" s="202" t="str">
        <f t="shared" si="65"/>
        <v>G4 렉스턴2WD 5인승 헤리티지 (A/T)</v>
      </c>
      <c r="BE437" s="261" t="str">
        <f t="shared" si="71"/>
        <v>0042</v>
      </c>
      <c r="BF437" s="407" t="s">
        <v>662</v>
      </c>
      <c r="BG437" s="202" t="str">
        <f t="shared" si="66"/>
        <v>0042-0436</v>
      </c>
    </row>
    <row r="438" spans="1:59">
      <c r="A438" s="405">
        <v>4212</v>
      </c>
      <c r="B438" s="406">
        <v>4212</v>
      </c>
      <c r="C438" s="261" t="str">
        <f t="shared" si="67"/>
        <v>0003-0042</v>
      </c>
      <c r="D438" s="261" t="str">
        <f t="shared" si="68"/>
        <v>0003-0042-0002</v>
      </c>
      <c r="E438" s="407" t="s">
        <v>661</v>
      </c>
      <c r="F438" s="261" t="str">
        <f>TEXT(VLOOKUP(J438,'[3]1'!$B$2:$D$37,2,0),"0000")</f>
        <v>0003</v>
      </c>
      <c r="G438" s="261" t="str">
        <f t="shared" si="69"/>
        <v>0042</v>
      </c>
      <c r="H438" s="408">
        <f t="shared" si="70"/>
        <v>2</v>
      </c>
      <c r="I438" s="407" t="s">
        <v>661</v>
      </c>
      <c r="J438" s="258" t="s">
        <v>728</v>
      </c>
      <c r="K438" s="258" t="s">
        <v>2732</v>
      </c>
      <c r="L438" s="258" t="s">
        <v>2365</v>
      </c>
      <c r="M438" s="409">
        <v>44160000</v>
      </c>
      <c r="N438" s="258">
        <v>2157</v>
      </c>
      <c r="O438" s="258" t="s">
        <v>78</v>
      </c>
      <c r="P438" s="258" t="s">
        <v>1965</v>
      </c>
      <c r="Q438" s="258" t="s">
        <v>72</v>
      </c>
      <c r="R438" s="258">
        <v>5</v>
      </c>
      <c r="S438" s="410">
        <v>9</v>
      </c>
      <c r="T438" s="261">
        <v>6</v>
      </c>
      <c r="U438" s="261">
        <v>6</v>
      </c>
      <c r="V438" s="258" t="s">
        <v>71</v>
      </c>
      <c r="W438" s="261" t="str">
        <f t="shared" si="72"/>
        <v>쌍용자동차G4 렉스턴2WD 5인승 헤리티지 스페셜 (A/T)44160000</v>
      </c>
      <c r="X438" s="411">
        <f t="shared" si="73"/>
        <v>4212</v>
      </c>
      <c r="Y438" s="261">
        <v>6</v>
      </c>
      <c r="Z438" s="261">
        <v>6</v>
      </c>
      <c r="AA438" s="407" t="s">
        <v>661</v>
      </c>
      <c r="AB438" s="258" t="s">
        <v>1965</v>
      </c>
      <c r="AC438" s="258"/>
      <c r="AD438" s="258" t="s">
        <v>2132</v>
      </c>
      <c r="AE438" s="258" t="s">
        <v>2129</v>
      </c>
      <c r="AF438" s="259"/>
      <c r="AG438" s="260"/>
      <c r="AH438" s="259"/>
      <c r="AI438" s="259"/>
      <c r="AJ438" s="260"/>
      <c r="AK438" s="259">
        <v>26</v>
      </c>
      <c r="AL438" s="259"/>
      <c r="AM438" s="259" t="s">
        <v>3222</v>
      </c>
      <c r="AN438" s="449"/>
      <c r="AO438" s="449"/>
      <c r="AP438" s="449"/>
      <c r="AQ438" s="392" t="str">
        <f>IFERROR(VLOOKUP(BG438,#REF!,1,0),"")</f>
        <v/>
      </c>
      <c r="AS438" s="259" t="s">
        <v>3222</v>
      </c>
      <c r="BD438" s="202" t="str">
        <f t="shared" si="65"/>
        <v>G4 렉스턴2WD 5인승 헤리티지 스페셜 (A/T)</v>
      </c>
      <c r="BE438" s="261" t="str">
        <f t="shared" si="71"/>
        <v>0042</v>
      </c>
      <c r="BF438" s="407" t="s">
        <v>661</v>
      </c>
      <c r="BG438" s="202" t="str">
        <f t="shared" si="66"/>
        <v>0042-0437</v>
      </c>
    </row>
    <row r="439" spans="1:59">
      <c r="A439" s="405">
        <v>4213</v>
      </c>
      <c r="B439" s="406">
        <v>4213</v>
      </c>
      <c r="C439" s="261" t="str">
        <f t="shared" si="67"/>
        <v>0003-0042</v>
      </c>
      <c r="D439" s="261" t="str">
        <f t="shared" si="68"/>
        <v>0003-0042-0003</v>
      </c>
      <c r="E439" s="407" t="s">
        <v>660</v>
      </c>
      <c r="F439" s="261" t="str">
        <f>TEXT(VLOOKUP(J439,'[3]1'!$B$2:$D$37,2,0),"0000")</f>
        <v>0003</v>
      </c>
      <c r="G439" s="261" t="str">
        <f t="shared" si="69"/>
        <v>0042</v>
      </c>
      <c r="H439" s="408">
        <f t="shared" si="70"/>
        <v>3</v>
      </c>
      <c r="I439" s="407" t="s">
        <v>660</v>
      </c>
      <c r="J439" s="258" t="s">
        <v>728</v>
      </c>
      <c r="K439" s="258" t="s">
        <v>2732</v>
      </c>
      <c r="L439" s="258" t="s">
        <v>2366</v>
      </c>
      <c r="M439" s="409">
        <v>35860000</v>
      </c>
      <c r="N439" s="258">
        <v>2157</v>
      </c>
      <c r="O439" s="258" t="s">
        <v>78</v>
      </c>
      <c r="P439" s="258" t="s">
        <v>1965</v>
      </c>
      <c r="Q439" s="258" t="s">
        <v>72</v>
      </c>
      <c r="R439" s="258">
        <v>5</v>
      </c>
      <c r="S439" s="410">
        <v>9</v>
      </c>
      <c r="T439" s="261">
        <v>6</v>
      </c>
      <c r="U439" s="261">
        <v>6</v>
      </c>
      <c r="V439" s="258" t="s">
        <v>3329</v>
      </c>
      <c r="W439" s="261" t="str">
        <f t="shared" si="72"/>
        <v>쌍용자동차G4 렉스턴2WD 5인승 마제스티 (A/T)35860000</v>
      </c>
      <c r="X439" s="411">
        <f t="shared" si="73"/>
        <v>4213</v>
      </c>
      <c r="Y439" s="261">
        <v>6</v>
      </c>
      <c r="Z439" s="261">
        <v>6</v>
      </c>
      <c r="AA439" s="407" t="s">
        <v>660</v>
      </c>
      <c r="AB439" s="258" t="s">
        <v>1965</v>
      </c>
      <c r="AC439" s="258"/>
      <c r="AD439" s="258" t="s">
        <v>2132</v>
      </c>
      <c r="AE439" s="258" t="s">
        <v>2129</v>
      </c>
      <c r="AF439" s="259"/>
      <c r="AG439" s="260"/>
      <c r="AH439" s="259"/>
      <c r="AI439" s="259"/>
      <c r="AJ439" s="260"/>
      <c r="AK439" s="259">
        <v>26</v>
      </c>
      <c r="AL439" s="259"/>
      <c r="AM439" s="259" t="s">
        <v>3222</v>
      </c>
      <c r="AN439" s="449"/>
      <c r="AO439" s="449"/>
      <c r="AP439" s="449"/>
      <c r="AQ439" s="392" t="str">
        <f>IFERROR(VLOOKUP(BG439,#REF!,1,0),"")</f>
        <v/>
      </c>
      <c r="AS439" s="259" t="s">
        <v>3222</v>
      </c>
      <c r="BD439" s="202" t="str">
        <f t="shared" si="65"/>
        <v>G4 렉스턴2WD 5인승 마제스티 (A/T)</v>
      </c>
      <c r="BE439" s="261" t="str">
        <f t="shared" si="71"/>
        <v>0042</v>
      </c>
      <c r="BF439" s="407" t="s">
        <v>660</v>
      </c>
      <c r="BG439" s="202" t="str">
        <f t="shared" si="66"/>
        <v>0042-0438</v>
      </c>
    </row>
    <row r="440" spans="1:59">
      <c r="A440" s="405">
        <v>4214</v>
      </c>
      <c r="B440" s="406">
        <v>4214</v>
      </c>
      <c r="C440" s="261" t="str">
        <f t="shared" si="67"/>
        <v>0003-0042</v>
      </c>
      <c r="D440" s="261" t="str">
        <f t="shared" si="68"/>
        <v>0003-0042-0004</v>
      </c>
      <c r="E440" s="407" t="s">
        <v>659</v>
      </c>
      <c r="F440" s="261" t="str">
        <f>TEXT(VLOOKUP(J440,'[3]1'!$B$2:$D$37,2,0),"0000")</f>
        <v>0003</v>
      </c>
      <c r="G440" s="261" t="str">
        <f t="shared" si="69"/>
        <v>0042</v>
      </c>
      <c r="H440" s="408">
        <f t="shared" si="70"/>
        <v>4</v>
      </c>
      <c r="I440" s="407" t="s">
        <v>659</v>
      </c>
      <c r="J440" s="258" t="s">
        <v>728</v>
      </c>
      <c r="K440" s="258" t="s">
        <v>2732</v>
      </c>
      <c r="L440" s="258" t="s">
        <v>2367</v>
      </c>
      <c r="M440" s="409">
        <v>34400000</v>
      </c>
      <c r="N440" s="258">
        <v>2157</v>
      </c>
      <c r="O440" s="258" t="s">
        <v>78</v>
      </c>
      <c r="P440" s="258" t="s">
        <v>1965</v>
      </c>
      <c r="Q440" s="258" t="s">
        <v>72</v>
      </c>
      <c r="R440" s="258">
        <v>5</v>
      </c>
      <c r="S440" s="410">
        <v>9</v>
      </c>
      <c r="T440" s="261">
        <v>6</v>
      </c>
      <c r="U440" s="261">
        <v>6</v>
      </c>
      <c r="V440" s="258" t="s">
        <v>3329</v>
      </c>
      <c r="W440" s="261" t="str">
        <f t="shared" si="72"/>
        <v>쌍용자동차G4 렉스턴2WD 5인승 럭셔리 (A/T)34400000</v>
      </c>
      <c r="X440" s="411">
        <f t="shared" si="73"/>
        <v>4214</v>
      </c>
      <c r="Y440" s="261">
        <v>6</v>
      </c>
      <c r="Z440" s="261">
        <v>6</v>
      </c>
      <c r="AA440" s="407" t="s">
        <v>659</v>
      </c>
      <c r="AB440" s="258" t="s">
        <v>1965</v>
      </c>
      <c r="AC440" s="258"/>
      <c r="AD440" s="258" t="s">
        <v>2132</v>
      </c>
      <c r="AE440" s="258" t="s">
        <v>2129</v>
      </c>
      <c r="AF440" s="259"/>
      <c r="AG440" s="260"/>
      <c r="AH440" s="259"/>
      <c r="AI440" s="259"/>
      <c r="AJ440" s="260"/>
      <c r="AK440" s="259">
        <v>26</v>
      </c>
      <c r="AL440" s="259"/>
      <c r="AM440" s="259" t="s">
        <v>3222</v>
      </c>
      <c r="AN440" s="449"/>
      <c r="AO440" s="449"/>
      <c r="AP440" s="449"/>
      <c r="AQ440" s="392" t="str">
        <f>IFERROR(VLOOKUP(BG440,#REF!,1,0),"")</f>
        <v/>
      </c>
      <c r="AS440" s="259" t="s">
        <v>3222</v>
      </c>
      <c r="BD440" s="202" t="str">
        <f t="shared" si="65"/>
        <v>G4 렉스턴2WD 5인승 럭셔리 (A/T)</v>
      </c>
      <c r="BE440" s="261" t="str">
        <f t="shared" si="71"/>
        <v>0042</v>
      </c>
      <c r="BF440" s="407" t="s">
        <v>659</v>
      </c>
      <c r="BG440" s="202" t="str">
        <f t="shared" si="66"/>
        <v>0042-0439</v>
      </c>
    </row>
    <row r="441" spans="1:59">
      <c r="A441" s="405">
        <v>4215</v>
      </c>
      <c r="B441" s="406">
        <v>4215</v>
      </c>
      <c r="C441" s="261" t="str">
        <f t="shared" si="67"/>
        <v>0003-0042</v>
      </c>
      <c r="D441" s="261" t="str">
        <f t="shared" si="68"/>
        <v>0003-0042-0005</v>
      </c>
      <c r="E441" s="407" t="s">
        <v>658</v>
      </c>
      <c r="F441" s="261" t="str">
        <f>TEXT(VLOOKUP(J441,'[3]1'!$B$2:$D$37,2,0),"0000")</f>
        <v>0003</v>
      </c>
      <c r="G441" s="261" t="str">
        <f t="shared" si="69"/>
        <v>0042</v>
      </c>
      <c r="H441" s="408">
        <f t="shared" si="70"/>
        <v>5</v>
      </c>
      <c r="I441" s="407" t="s">
        <v>658</v>
      </c>
      <c r="J441" s="258" t="s">
        <v>728</v>
      </c>
      <c r="K441" s="258" t="s">
        <v>2732</v>
      </c>
      <c r="L441" s="258" t="s">
        <v>2368</v>
      </c>
      <c r="M441" s="409">
        <v>38200000</v>
      </c>
      <c r="N441" s="258">
        <v>2157</v>
      </c>
      <c r="O441" s="258" t="s">
        <v>78</v>
      </c>
      <c r="P441" s="258" t="s">
        <v>1965</v>
      </c>
      <c r="Q441" s="258" t="s">
        <v>72</v>
      </c>
      <c r="R441" s="258">
        <v>7</v>
      </c>
      <c r="S441" s="410">
        <v>9</v>
      </c>
      <c r="T441" s="261">
        <v>6</v>
      </c>
      <c r="U441" s="261">
        <v>6</v>
      </c>
      <c r="V441" s="258" t="s">
        <v>3329</v>
      </c>
      <c r="W441" s="261" t="str">
        <f t="shared" si="72"/>
        <v>쌍용자동차G4 렉스턴4WD 7인승 마제스티 (A/T)38200000</v>
      </c>
      <c r="X441" s="411">
        <f t="shared" si="73"/>
        <v>4215</v>
      </c>
      <c r="Y441" s="261">
        <v>6</v>
      </c>
      <c r="Z441" s="261">
        <v>6</v>
      </c>
      <c r="AA441" s="407" t="s">
        <v>658</v>
      </c>
      <c r="AB441" s="258" t="s">
        <v>1965</v>
      </c>
      <c r="AC441" s="258"/>
      <c r="AD441" s="258" t="s">
        <v>2132</v>
      </c>
      <c r="AE441" s="258" t="s">
        <v>2129</v>
      </c>
      <c r="AF441" s="259"/>
      <c r="AG441" s="260"/>
      <c r="AH441" s="259"/>
      <c r="AI441" s="259"/>
      <c r="AJ441" s="260"/>
      <c r="AK441" s="259">
        <v>26</v>
      </c>
      <c r="AL441" s="259"/>
      <c r="AM441" s="259" t="s">
        <v>3222</v>
      </c>
      <c r="AN441" s="449"/>
      <c r="AO441" s="449"/>
      <c r="AP441" s="449"/>
      <c r="AQ441" s="392" t="str">
        <f>IFERROR(VLOOKUP(BG441,#REF!,1,0),"")</f>
        <v/>
      </c>
      <c r="AS441" s="259" t="s">
        <v>3222</v>
      </c>
      <c r="BD441" s="202" t="str">
        <f t="shared" si="65"/>
        <v>G4 렉스턴4WD 7인승 마제스티 (A/T)</v>
      </c>
      <c r="BE441" s="261" t="str">
        <f t="shared" si="71"/>
        <v>0042</v>
      </c>
      <c r="BF441" s="407" t="s">
        <v>658</v>
      </c>
      <c r="BG441" s="202" t="str">
        <f t="shared" si="66"/>
        <v>0042-0440</v>
      </c>
    </row>
    <row r="442" spans="1:59">
      <c r="A442" s="405">
        <v>4216</v>
      </c>
      <c r="B442" s="406">
        <v>4216</v>
      </c>
      <c r="C442" s="261" t="str">
        <f t="shared" si="67"/>
        <v>0003-0042</v>
      </c>
      <c r="D442" s="261" t="str">
        <f t="shared" si="68"/>
        <v>0003-0042-0006</v>
      </c>
      <c r="E442" s="407" t="s">
        <v>657</v>
      </c>
      <c r="F442" s="261" t="str">
        <f>TEXT(VLOOKUP(J442,'[3]1'!$B$2:$D$37,2,0),"0000")</f>
        <v>0003</v>
      </c>
      <c r="G442" s="261" t="str">
        <f t="shared" si="69"/>
        <v>0042</v>
      </c>
      <c r="H442" s="408">
        <f t="shared" si="70"/>
        <v>6</v>
      </c>
      <c r="I442" s="407" t="s">
        <v>657</v>
      </c>
      <c r="J442" s="258" t="s">
        <v>728</v>
      </c>
      <c r="K442" s="258" t="s">
        <v>2732</v>
      </c>
      <c r="L442" s="258" t="s">
        <v>2369</v>
      </c>
      <c r="M442" s="409">
        <v>43760000</v>
      </c>
      <c r="N442" s="258">
        <v>2157</v>
      </c>
      <c r="O442" s="258" t="s">
        <v>78</v>
      </c>
      <c r="P442" s="258" t="s">
        <v>1965</v>
      </c>
      <c r="Q442" s="258" t="s">
        <v>72</v>
      </c>
      <c r="R442" s="258">
        <v>4</v>
      </c>
      <c r="S442" s="410">
        <v>9</v>
      </c>
      <c r="T442" s="261">
        <v>6</v>
      </c>
      <c r="U442" s="261">
        <v>6</v>
      </c>
      <c r="V442" s="258" t="s">
        <v>71</v>
      </c>
      <c r="W442" s="261" t="str">
        <f t="shared" si="72"/>
        <v>쌍용자동차G4 렉스턴4WD 7인승 헤리티지 (A/T)43760000</v>
      </c>
      <c r="X442" s="411">
        <f t="shared" si="73"/>
        <v>4216</v>
      </c>
      <c r="Y442" s="261">
        <v>6</v>
      </c>
      <c r="Z442" s="261">
        <v>6</v>
      </c>
      <c r="AA442" s="407" t="s">
        <v>657</v>
      </c>
      <c r="AB442" s="258" t="s">
        <v>1965</v>
      </c>
      <c r="AC442" s="258"/>
      <c r="AD442" s="258" t="s">
        <v>2132</v>
      </c>
      <c r="AE442" s="258" t="s">
        <v>2129</v>
      </c>
      <c r="AF442" s="259"/>
      <c r="AG442" s="260"/>
      <c r="AH442" s="259"/>
      <c r="AI442" s="259"/>
      <c r="AJ442" s="260"/>
      <c r="AK442" s="259">
        <v>26</v>
      </c>
      <c r="AL442" s="259"/>
      <c r="AM442" s="259" t="s">
        <v>3222</v>
      </c>
      <c r="AN442" s="449"/>
      <c r="AO442" s="449"/>
      <c r="AP442" s="449"/>
      <c r="AQ442" s="392" t="str">
        <f>IFERROR(VLOOKUP(BG442,#REF!,1,0),"")</f>
        <v/>
      </c>
      <c r="AS442" s="259" t="s">
        <v>3222</v>
      </c>
      <c r="BD442" s="202" t="str">
        <f t="shared" si="65"/>
        <v>G4 렉스턴4WD 7인승 헤리티지 (A/T)</v>
      </c>
      <c r="BE442" s="261" t="str">
        <f t="shared" si="71"/>
        <v>0042</v>
      </c>
      <c r="BF442" s="407" t="s">
        <v>657</v>
      </c>
      <c r="BG442" s="202" t="str">
        <f t="shared" si="66"/>
        <v>0042-0441</v>
      </c>
    </row>
    <row r="443" spans="1:59">
      <c r="A443" s="405">
        <v>4217</v>
      </c>
      <c r="B443" s="406">
        <v>4217</v>
      </c>
      <c r="C443" s="261" t="str">
        <f t="shared" si="67"/>
        <v>0003-0042</v>
      </c>
      <c r="D443" s="261" t="str">
        <f t="shared" si="68"/>
        <v>0003-0042-0007</v>
      </c>
      <c r="E443" s="407" t="s">
        <v>656</v>
      </c>
      <c r="F443" s="261" t="str">
        <f>TEXT(VLOOKUP(J443,'[3]1'!$B$2:$D$37,2,0),"0000")</f>
        <v>0003</v>
      </c>
      <c r="G443" s="261" t="str">
        <f t="shared" si="69"/>
        <v>0042</v>
      </c>
      <c r="H443" s="408">
        <f t="shared" si="70"/>
        <v>7</v>
      </c>
      <c r="I443" s="407" t="s">
        <v>656</v>
      </c>
      <c r="J443" s="258" t="s">
        <v>728</v>
      </c>
      <c r="K443" s="258" t="s">
        <v>2732</v>
      </c>
      <c r="L443" s="258" t="s">
        <v>2370</v>
      </c>
      <c r="M443" s="409">
        <v>43350000</v>
      </c>
      <c r="N443" s="258">
        <v>2157</v>
      </c>
      <c r="O443" s="258" t="s">
        <v>78</v>
      </c>
      <c r="P443" s="258" t="s">
        <v>1965</v>
      </c>
      <c r="Q443" s="258" t="s">
        <v>72</v>
      </c>
      <c r="R443" s="258">
        <v>5</v>
      </c>
      <c r="S443" s="410">
        <v>9</v>
      </c>
      <c r="T443" s="261">
        <v>6</v>
      </c>
      <c r="U443" s="261">
        <v>6</v>
      </c>
      <c r="V443" s="258" t="s">
        <v>1295</v>
      </c>
      <c r="W443" s="261" t="str">
        <f t="shared" si="72"/>
        <v>쌍용자동차G4 렉스턴4WD 5인승 헤리티지 (A/T)43350000</v>
      </c>
      <c r="X443" s="411">
        <f t="shared" si="73"/>
        <v>4217</v>
      </c>
      <c r="Y443" s="261">
        <v>6</v>
      </c>
      <c r="Z443" s="261">
        <v>6</v>
      </c>
      <c r="AA443" s="407" t="s">
        <v>656</v>
      </c>
      <c r="AB443" s="258" t="s">
        <v>1965</v>
      </c>
      <c r="AC443" s="258"/>
      <c r="AD443" s="258" t="s">
        <v>2132</v>
      </c>
      <c r="AE443" s="258" t="s">
        <v>2129</v>
      </c>
      <c r="AF443" s="259"/>
      <c r="AG443" s="260"/>
      <c r="AH443" s="259"/>
      <c r="AI443" s="259"/>
      <c r="AJ443" s="260"/>
      <c r="AK443" s="259">
        <v>26</v>
      </c>
      <c r="AL443" s="259"/>
      <c r="AM443" s="259" t="s">
        <v>3222</v>
      </c>
      <c r="AN443" s="449"/>
      <c r="AO443" s="449"/>
      <c r="AP443" s="449"/>
      <c r="AQ443" s="392" t="str">
        <f>IFERROR(VLOOKUP(BG443,#REF!,1,0),"")</f>
        <v/>
      </c>
      <c r="AS443" s="259" t="s">
        <v>3222</v>
      </c>
      <c r="BD443" s="202" t="str">
        <f t="shared" si="65"/>
        <v>G4 렉스턴4WD 5인승 헤리티지 (A/T)</v>
      </c>
      <c r="BE443" s="261" t="str">
        <f t="shared" si="71"/>
        <v>0042</v>
      </c>
      <c r="BF443" s="407" t="s">
        <v>656</v>
      </c>
      <c r="BG443" s="202" t="str">
        <f t="shared" si="66"/>
        <v>0042-0442</v>
      </c>
    </row>
    <row r="444" spans="1:59">
      <c r="A444" s="405">
        <v>4218</v>
      </c>
      <c r="B444" s="406">
        <v>4218</v>
      </c>
      <c r="C444" s="261" t="str">
        <f t="shared" si="67"/>
        <v>0003-0042</v>
      </c>
      <c r="D444" s="261" t="str">
        <f t="shared" si="68"/>
        <v>0003-0042-0008</v>
      </c>
      <c r="E444" s="407" t="s">
        <v>655</v>
      </c>
      <c r="F444" s="261" t="str">
        <f>TEXT(VLOOKUP(J444,'[3]1'!$B$2:$D$37,2,0),"0000")</f>
        <v>0003</v>
      </c>
      <c r="G444" s="261" t="str">
        <f t="shared" si="69"/>
        <v>0042</v>
      </c>
      <c r="H444" s="408">
        <f t="shared" si="70"/>
        <v>8</v>
      </c>
      <c r="I444" s="407" t="s">
        <v>655</v>
      </c>
      <c r="J444" s="258" t="s">
        <v>728</v>
      </c>
      <c r="K444" s="258" t="s">
        <v>2732</v>
      </c>
      <c r="L444" s="258" t="s">
        <v>2371</v>
      </c>
      <c r="M444" s="409">
        <v>34810000</v>
      </c>
      <c r="N444" s="258">
        <v>2157</v>
      </c>
      <c r="O444" s="258" t="s">
        <v>78</v>
      </c>
      <c r="P444" s="258" t="s">
        <v>1965</v>
      </c>
      <c r="Q444" s="258" t="s">
        <v>72</v>
      </c>
      <c r="R444" s="258">
        <v>7</v>
      </c>
      <c r="S444" s="410">
        <v>9</v>
      </c>
      <c r="T444" s="261">
        <v>6</v>
      </c>
      <c r="U444" s="261">
        <v>6</v>
      </c>
      <c r="V444" s="258" t="s">
        <v>71</v>
      </c>
      <c r="W444" s="261" t="str">
        <f t="shared" si="72"/>
        <v>쌍용자동차G4 렉스턴2WD 7인승 럭셔리 (A/T)34810000</v>
      </c>
      <c r="X444" s="411">
        <f t="shared" si="73"/>
        <v>4218</v>
      </c>
      <c r="Y444" s="261">
        <v>6</v>
      </c>
      <c r="Z444" s="261">
        <v>6</v>
      </c>
      <c r="AA444" s="407" t="s">
        <v>655</v>
      </c>
      <c r="AB444" s="258" t="s">
        <v>1965</v>
      </c>
      <c r="AC444" s="258"/>
      <c r="AD444" s="258" t="s">
        <v>2132</v>
      </c>
      <c r="AE444" s="258" t="s">
        <v>2129</v>
      </c>
      <c r="AF444" s="259"/>
      <c r="AG444" s="260"/>
      <c r="AH444" s="259"/>
      <c r="AI444" s="259"/>
      <c r="AJ444" s="260"/>
      <c r="AK444" s="259">
        <v>26</v>
      </c>
      <c r="AL444" s="259"/>
      <c r="AM444" s="259" t="s">
        <v>3222</v>
      </c>
      <c r="AN444" s="449"/>
      <c r="AO444" s="449"/>
      <c r="AP444" s="449"/>
      <c r="AQ444" s="392" t="str">
        <f>IFERROR(VLOOKUP(BG444,#REF!,1,0),"")</f>
        <v/>
      </c>
      <c r="AS444" s="259" t="s">
        <v>3222</v>
      </c>
      <c r="BD444" s="202" t="str">
        <f t="shared" si="65"/>
        <v>G4 렉스턴2WD 7인승 럭셔리 (A/T)</v>
      </c>
      <c r="BE444" s="261" t="str">
        <f t="shared" si="71"/>
        <v>0042</v>
      </c>
      <c r="BF444" s="407" t="s">
        <v>655</v>
      </c>
      <c r="BG444" s="202" t="str">
        <f t="shared" si="66"/>
        <v>0042-0443</v>
      </c>
    </row>
    <row r="445" spans="1:59">
      <c r="A445" s="405">
        <v>4219</v>
      </c>
      <c r="B445" s="406">
        <v>4219</v>
      </c>
      <c r="C445" s="261" t="str">
        <f t="shared" si="67"/>
        <v>0003-0043</v>
      </c>
      <c r="D445" s="261" t="str">
        <f t="shared" si="68"/>
        <v>0003-0043-0001</v>
      </c>
      <c r="E445" s="407" t="s">
        <v>654</v>
      </c>
      <c r="F445" s="261" t="str">
        <f>TEXT(VLOOKUP(J445,'[3]1'!$B$2:$D$37,2,0),"0000")</f>
        <v>0003</v>
      </c>
      <c r="G445" s="261" t="str">
        <f t="shared" si="69"/>
        <v>0043</v>
      </c>
      <c r="H445" s="408">
        <f t="shared" si="70"/>
        <v>1</v>
      </c>
      <c r="I445" s="407" t="s">
        <v>654</v>
      </c>
      <c r="J445" s="258" t="s">
        <v>728</v>
      </c>
      <c r="K445" s="258" t="s">
        <v>2908</v>
      </c>
      <c r="L445" s="258" t="s">
        <v>2907</v>
      </c>
      <c r="M445" s="409">
        <v>43030000</v>
      </c>
      <c r="N445" s="258">
        <v>2157</v>
      </c>
      <c r="O445" s="258" t="s">
        <v>78</v>
      </c>
      <c r="P445" s="258" t="s">
        <v>1965</v>
      </c>
      <c r="Q445" s="258" t="s">
        <v>72</v>
      </c>
      <c r="R445" s="258">
        <v>5</v>
      </c>
      <c r="S445" s="410">
        <v>9</v>
      </c>
      <c r="T445" s="261">
        <v>6</v>
      </c>
      <c r="U445" s="261">
        <v>6</v>
      </c>
      <c r="V445" s="258" t="s">
        <v>71</v>
      </c>
      <c r="W445" s="261" t="str">
        <f t="shared" si="72"/>
        <v>쌍용자동차렉스턴all new 렉스턴 5인승 PRESTIGE 4WD43030000</v>
      </c>
      <c r="X445" s="411">
        <f t="shared" si="73"/>
        <v>4219</v>
      </c>
      <c r="Y445" s="261">
        <v>6</v>
      </c>
      <c r="Z445" s="261">
        <v>6</v>
      </c>
      <c r="AA445" s="407" t="s">
        <v>654</v>
      </c>
      <c r="AB445" s="258" t="s">
        <v>1965</v>
      </c>
      <c r="AC445" s="258"/>
      <c r="AD445" s="258">
        <v>4</v>
      </c>
      <c r="AE445" s="258">
        <v>0</v>
      </c>
      <c r="AF445" s="259"/>
      <c r="AG445" s="260"/>
      <c r="AH445" s="259"/>
      <c r="AI445" s="259"/>
      <c r="AJ445" s="260"/>
      <c r="AK445" s="259">
        <v>26</v>
      </c>
      <c r="AL445" s="259"/>
      <c r="AM445" s="259" t="s">
        <v>3222</v>
      </c>
      <c r="AN445" s="449"/>
      <c r="AO445" s="449"/>
      <c r="AP445" s="449"/>
      <c r="AQ445" s="392" t="str">
        <f>IFERROR(VLOOKUP(BG445,#REF!,1,0),"")</f>
        <v/>
      </c>
      <c r="AS445" s="259" t="s">
        <v>3222</v>
      </c>
      <c r="BD445" s="202" t="str">
        <f t="shared" si="65"/>
        <v>렉스턴all new 렉스턴 5인승 PRESTIGE 4WD</v>
      </c>
      <c r="BE445" s="261" t="str">
        <f t="shared" si="71"/>
        <v>0043</v>
      </c>
      <c r="BF445" s="407" t="s">
        <v>654</v>
      </c>
      <c r="BG445" s="202" t="str">
        <f t="shared" si="66"/>
        <v>0043-0444</v>
      </c>
    </row>
    <row r="446" spans="1:59">
      <c r="A446" s="405">
        <v>4220</v>
      </c>
      <c r="B446" s="406">
        <v>4220</v>
      </c>
      <c r="C446" s="261" t="str">
        <f t="shared" si="67"/>
        <v>0003-0043</v>
      </c>
      <c r="D446" s="261" t="str">
        <f t="shared" si="68"/>
        <v>0003-0043-0002</v>
      </c>
      <c r="E446" s="407" t="s">
        <v>653</v>
      </c>
      <c r="F446" s="261" t="str">
        <f>TEXT(VLOOKUP(J446,'[3]1'!$B$2:$D$37,2,0),"0000")</f>
        <v>0003</v>
      </c>
      <c r="G446" s="261" t="str">
        <f t="shared" si="69"/>
        <v>0043</v>
      </c>
      <c r="H446" s="408">
        <f t="shared" si="70"/>
        <v>2</v>
      </c>
      <c r="I446" s="407" t="s">
        <v>653</v>
      </c>
      <c r="J446" s="258" t="s">
        <v>728</v>
      </c>
      <c r="K446" s="258" t="s">
        <v>2908</v>
      </c>
      <c r="L446" s="258" t="s">
        <v>2907</v>
      </c>
      <c r="M446" s="409">
        <v>43740000</v>
      </c>
      <c r="N446" s="258">
        <v>2157</v>
      </c>
      <c r="O446" s="258" t="s">
        <v>78</v>
      </c>
      <c r="P446" s="258" t="s">
        <v>1965</v>
      </c>
      <c r="Q446" s="258" t="s">
        <v>72</v>
      </c>
      <c r="R446" s="258">
        <v>5</v>
      </c>
      <c r="S446" s="410">
        <v>9</v>
      </c>
      <c r="T446" s="261">
        <v>6</v>
      </c>
      <c r="U446" s="261">
        <v>6</v>
      </c>
      <c r="V446" s="258" t="s">
        <v>71</v>
      </c>
      <c r="W446" s="261" t="str">
        <f t="shared" si="72"/>
        <v>쌍용자동차렉스턴all new 렉스턴 5인승 PRESTIGE 4WD43740000</v>
      </c>
      <c r="X446" s="411">
        <f t="shared" si="73"/>
        <v>4220</v>
      </c>
      <c r="Y446" s="261">
        <v>6</v>
      </c>
      <c r="Z446" s="261">
        <v>6</v>
      </c>
      <c r="AA446" s="407" t="s">
        <v>653</v>
      </c>
      <c r="AB446" s="258" t="s">
        <v>1965</v>
      </c>
      <c r="AC446" s="258"/>
      <c r="AD446" s="258">
        <v>4</v>
      </c>
      <c r="AE446" s="258">
        <v>0</v>
      </c>
      <c r="AF446" s="259"/>
      <c r="AG446" s="260"/>
      <c r="AH446" s="259"/>
      <c r="AI446" s="259"/>
      <c r="AJ446" s="260"/>
      <c r="AK446" s="259">
        <v>26</v>
      </c>
      <c r="AL446" s="259"/>
      <c r="AM446" s="259" t="s">
        <v>3222</v>
      </c>
      <c r="AN446" s="449"/>
      <c r="AO446" s="449"/>
      <c r="AP446" s="449"/>
      <c r="AQ446" s="392" t="str">
        <f>IFERROR(VLOOKUP(BG446,#REF!,1,0),"")</f>
        <v/>
      </c>
      <c r="AS446" s="259" t="s">
        <v>3222</v>
      </c>
      <c r="BD446" s="202" t="str">
        <f t="shared" si="65"/>
        <v>렉스턴all new 렉스턴 5인승 PRESTIGE 4WD</v>
      </c>
      <c r="BE446" s="261" t="str">
        <f t="shared" si="71"/>
        <v>0043</v>
      </c>
      <c r="BF446" s="407" t="s">
        <v>653</v>
      </c>
      <c r="BG446" s="202" t="str">
        <f t="shared" si="66"/>
        <v>0043-0445</v>
      </c>
    </row>
    <row r="447" spans="1:59">
      <c r="A447" s="405">
        <v>4221</v>
      </c>
      <c r="B447" s="406">
        <v>4221</v>
      </c>
      <c r="C447" s="261" t="str">
        <f t="shared" si="67"/>
        <v>0003-0043</v>
      </c>
      <c r="D447" s="261" t="str">
        <f t="shared" si="68"/>
        <v>0003-0043-0003</v>
      </c>
      <c r="E447" s="407" t="s">
        <v>652</v>
      </c>
      <c r="F447" s="261" t="str">
        <f>TEXT(VLOOKUP(J447,'[3]1'!$B$2:$D$37,2,0),"0000")</f>
        <v>0003</v>
      </c>
      <c r="G447" s="261" t="str">
        <f t="shared" si="69"/>
        <v>0043</v>
      </c>
      <c r="H447" s="408">
        <f t="shared" si="70"/>
        <v>3</v>
      </c>
      <c r="I447" s="407" t="s">
        <v>652</v>
      </c>
      <c r="J447" s="258" t="s">
        <v>728</v>
      </c>
      <c r="K447" s="258" t="s">
        <v>2908</v>
      </c>
      <c r="L447" s="266" t="s">
        <v>2989</v>
      </c>
      <c r="M447" s="316">
        <v>36970000</v>
      </c>
      <c r="N447" s="266">
        <v>2157</v>
      </c>
      <c r="O447" s="258" t="s">
        <v>78</v>
      </c>
      <c r="P447" s="258" t="s">
        <v>1965</v>
      </c>
      <c r="Q447" s="258" t="s">
        <v>72</v>
      </c>
      <c r="R447" s="258">
        <v>5</v>
      </c>
      <c r="S447" s="410">
        <v>9</v>
      </c>
      <c r="T447" s="261">
        <v>6</v>
      </c>
      <c r="U447" s="261">
        <v>6</v>
      </c>
      <c r="V447" s="258" t="s">
        <v>71</v>
      </c>
      <c r="W447" s="261" t="str">
        <f t="shared" si="72"/>
        <v>쌍용자동차렉스턴디젤 2.2 5인승 2wd 럭셔리 A/T36970000</v>
      </c>
      <c r="X447" s="411">
        <f t="shared" si="73"/>
        <v>4221</v>
      </c>
      <c r="Y447" s="261">
        <v>6</v>
      </c>
      <c r="Z447" s="261">
        <v>6</v>
      </c>
      <c r="AA447" s="407" t="s">
        <v>652</v>
      </c>
      <c r="AB447" s="258" t="s">
        <v>1965</v>
      </c>
      <c r="AC447" s="258"/>
      <c r="AD447" s="258" t="s">
        <v>2132</v>
      </c>
      <c r="AE447" s="258" t="s">
        <v>2129</v>
      </c>
      <c r="AF447" s="259"/>
      <c r="AG447" s="260"/>
      <c r="AH447" s="259"/>
      <c r="AI447" s="259"/>
      <c r="AJ447" s="260"/>
      <c r="AK447" s="259">
        <v>26</v>
      </c>
      <c r="AL447" s="259"/>
      <c r="AM447" s="259" t="s">
        <v>3222</v>
      </c>
      <c r="AN447" s="449"/>
      <c r="AO447" s="449"/>
      <c r="AP447" s="449"/>
      <c r="AQ447" s="392" t="str">
        <f>IFERROR(VLOOKUP(BG447,#REF!,1,0),"")</f>
        <v/>
      </c>
      <c r="AS447" s="259" t="s">
        <v>3222</v>
      </c>
      <c r="BD447" s="202" t="str">
        <f t="shared" si="65"/>
        <v>렉스턴디젤 2.2 5인승 2wd 럭셔리 A/T</v>
      </c>
      <c r="BE447" s="261" t="str">
        <f t="shared" si="71"/>
        <v>0043</v>
      </c>
      <c r="BF447" s="407" t="s">
        <v>652</v>
      </c>
      <c r="BG447" s="202" t="str">
        <f t="shared" si="66"/>
        <v>0043-0446</v>
      </c>
    </row>
    <row r="448" spans="1:59">
      <c r="A448" s="405">
        <v>4222</v>
      </c>
      <c r="B448" s="406">
        <v>4222</v>
      </c>
      <c r="C448" s="261" t="str">
        <f t="shared" si="67"/>
        <v>0003-0043</v>
      </c>
      <c r="D448" s="261" t="str">
        <f t="shared" si="68"/>
        <v>0003-0043-0004</v>
      </c>
      <c r="E448" s="407" t="s">
        <v>651</v>
      </c>
      <c r="F448" s="261" t="str">
        <f>TEXT(VLOOKUP(J448,'[3]1'!$B$2:$D$37,2,0),"0000")</f>
        <v>0003</v>
      </c>
      <c r="G448" s="261" t="str">
        <f t="shared" si="69"/>
        <v>0043</v>
      </c>
      <c r="H448" s="408">
        <f t="shared" si="70"/>
        <v>4</v>
      </c>
      <c r="I448" s="407" t="s">
        <v>651</v>
      </c>
      <c r="J448" s="258" t="s">
        <v>728</v>
      </c>
      <c r="K448" s="258" t="s">
        <v>2908</v>
      </c>
      <c r="L448" s="266" t="s">
        <v>2990</v>
      </c>
      <c r="M448" s="316">
        <v>41450000</v>
      </c>
      <c r="N448" s="266">
        <v>2157</v>
      </c>
      <c r="O448" s="258" t="s">
        <v>78</v>
      </c>
      <c r="P448" s="258" t="s">
        <v>1965</v>
      </c>
      <c r="Q448" s="258" t="s">
        <v>72</v>
      </c>
      <c r="R448" s="258">
        <v>5</v>
      </c>
      <c r="S448" s="410">
        <v>9</v>
      </c>
      <c r="T448" s="261">
        <v>6</v>
      </c>
      <c r="U448" s="261">
        <v>6</v>
      </c>
      <c r="V448" s="258" t="s">
        <v>71</v>
      </c>
      <c r="W448" s="261" t="str">
        <f t="shared" si="72"/>
        <v>쌍용자동차렉스턴디젤 2.2 5인승 2wd 프레스티지 A/T41450000</v>
      </c>
      <c r="X448" s="411">
        <f t="shared" si="73"/>
        <v>4222</v>
      </c>
      <c r="Y448" s="261">
        <v>6</v>
      </c>
      <c r="Z448" s="261">
        <v>6</v>
      </c>
      <c r="AA448" s="407" t="s">
        <v>651</v>
      </c>
      <c r="AB448" s="258" t="s">
        <v>1965</v>
      </c>
      <c r="AC448" s="258"/>
      <c r="AD448" s="258" t="s">
        <v>2132</v>
      </c>
      <c r="AE448" s="258" t="s">
        <v>2129</v>
      </c>
      <c r="AF448" s="259"/>
      <c r="AG448" s="260"/>
      <c r="AH448" s="259"/>
      <c r="AI448" s="259"/>
      <c r="AJ448" s="260"/>
      <c r="AK448" s="259">
        <v>26</v>
      </c>
      <c r="AL448" s="259"/>
      <c r="AM448" s="259" t="s">
        <v>3222</v>
      </c>
      <c r="AN448" s="449"/>
      <c r="AO448" s="449"/>
      <c r="AP448" s="449"/>
      <c r="AQ448" s="392" t="str">
        <f>IFERROR(VLOOKUP(BG448,#REF!,1,0),"")</f>
        <v/>
      </c>
      <c r="AS448" s="259" t="s">
        <v>3222</v>
      </c>
      <c r="BD448" s="202" t="str">
        <f t="shared" si="65"/>
        <v>렉스턴디젤 2.2 5인승 2wd 프레스티지 A/T</v>
      </c>
      <c r="BE448" s="261" t="str">
        <f t="shared" si="71"/>
        <v>0043</v>
      </c>
      <c r="BF448" s="407" t="s">
        <v>651</v>
      </c>
      <c r="BG448" s="202" t="str">
        <f t="shared" si="66"/>
        <v>0043-0447</v>
      </c>
    </row>
    <row r="449" spans="1:59">
      <c r="A449" s="405">
        <v>4223</v>
      </c>
      <c r="B449" s="406">
        <v>4223</v>
      </c>
      <c r="C449" s="261" t="str">
        <f t="shared" si="67"/>
        <v>0003-0043</v>
      </c>
      <c r="D449" s="261" t="str">
        <f t="shared" si="68"/>
        <v>0003-0043-0005</v>
      </c>
      <c r="E449" s="407" t="s">
        <v>650</v>
      </c>
      <c r="F449" s="261" t="str">
        <f>TEXT(VLOOKUP(J449,'[3]1'!$B$2:$D$37,2,0),"0000")</f>
        <v>0003</v>
      </c>
      <c r="G449" s="261" t="str">
        <f t="shared" si="69"/>
        <v>0043</v>
      </c>
      <c r="H449" s="408">
        <f t="shared" si="70"/>
        <v>5</v>
      </c>
      <c r="I449" s="407" t="s">
        <v>650</v>
      </c>
      <c r="J449" s="258" t="s">
        <v>728</v>
      </c>
      <c r="K449" s="258" t="s">
        <v>2908</v>
      </c>
      <c r="L449" s="266" t="s">
        <v>2991</v>
      </c>
      <c r="M449" s="316">
        <v>38900000</v>
      </c>
      <c r="N449" s="266">
        <v>2157</v>
      </c>
      <c r="O449" s="258" t="s">
        <v>78</v>
      </c>
      <c r="P449" s="258" t="s">
        <v>1965</v>
      </c>
      <c r="Q449" s="258" t="s">
        <v>72</v>
      </c>
      <c r="R449" s="258">
        <v>5</v>
      </c>
      <c r="S449" s="410">
        <v>9</v>
      </c>
      <c r="T449" s="261">
        <v>6</v>
      </c>
      <c r="U449" s="261">
        <v>6</v>
      </c>
      <c r="V449" s="258" t="s">
        <v>71</v>
      </c>
      <c r="W449" s="261" t="str">
        <f t="shared" si="72"/>
        <v>쌍용자동차렉스턴디젤 2.2 5인승 4WD 럭셔리 A/t38900000</v>
      </c>
      <c r="X449" s="411">
        <f t="shared" si="73"/>
        <v>4223</v>
      </c>
      <c r="Y449" s="261">
        <v>6</v>
      </c>
      <c r="Z449" s="261">
        <v>6</v>
      </c>
      <c r="AA449" s="407" t="s">
        <v>650</v>
      </c>
      <c r="AB449" s="258" t="s">
        <v>1965</v>
      </c>
      <c r="AC449" s="258"/>
      <c r="AD449" s="258">
        <v>4</v>
      </c>
      <c r="AE449" s="258">
        <v>0</v>
      </c>
      <c r="AF449" s="259"/>
      <c r="AG449" s="260"/>
      <c r="AH449" s="259"/>
      <c r="AI449" s="259"/>
      <c r="AJ449" s="260"/>
      <c r="AK449" s="259">
        <v>26</v>
      </c>
      <c r="AL449" s="259"/>
      <c r="AM449" s="259" t="s">
        <v>3222</v>
      </c>
      <c r="AN449" s="449"/>
      <c r="AO449" s="449"/>
      <c r="AP449" s="449"/>
      <c r="AQ449" s="392" t="str">
        <f>IFERROR(VLOOKUP(BG449,#REF!,1,0),"")</f>
        <v/>
      </c>
      <c r="AS449" s="259" t="s">
        <v>3222</v>
      </c>
      <c r="BD449" s="202" t="str">
        <f t="shared" si="65"/>
        <v>렉스턴디젤 2.2 5인승 4WD 럭셔리 A/t</v>
      </c>
      <c r="BE449" s="261" t="str">
        <f t="shared" si="71"/>
        <v>0043</v>
      </c>
      <c r="BF449" s="407" t="s">
        <v>650</v>
      </c>
      <c r="BG449" s="202" t="str">
        <f t="shared" si="66"/>
        <v>0043-0448</v>
      </c>
    </row>
    <row r="450" spans="1:59">
      <c r="A450" s="405">
        <v>4224</v>
      </c>
      <c r="B450" s="406">
        <v>4224</v>
      </c>
      <c r="C450" s="261" t="str">
        <f t="shared" si="67"/>
        <v>0003-0043</v>
      </c>
      <c r="D450" s="261" t="str">
        <f t="shared" si="68"/>
        <v>0003-0043-0006</v>
      </c>
      <c r="E450" s="407" t="s">
        <v>649</v>
      </c>
      <c r="F450" s="261" t="str">
        <f>TEXT(VLOOKUP(J450,'[3]1'!$B$2:$D$37,2,0),"0000")</f>
        <v>0003</v>
      </c>
      <c r="G450" s="261" t="str">
        <f t="shared" si="69"/>
        <v>0043</v>
      </c>
      <c r="H450" s="408">
        <f t="shared" si="70"/>
        <v>6</v>
      </c>
      <c r="I450" s="407" t="s">
        <v>649</v>
      </c>
      <c r="J450" s="258" t="s">
        <v>728</v>
      </c>
      <c r="K450" s="258" t="s">
        <v>2908</v>
      </c>
      <c r="L450" s="266" t="s">
        <v>2992</v>
      </c>
      <c r="M450" s="316">
        <v>43380000</v>
      </c>
      <c r="N450" s="266">
        <v>2157</v>
      </c>
      <c r="O450" s="258" t="s">
        <v>78</v>
      </c>
      <c r="P450" s="258" t="s">
        <v>1965</v>
      </c>
      <c r="Q450" s="258" t="s">
        <v>72</v>
      </c>
      <c r="R450" s="258">
        <v>5</v>
      </c>
      <c r="S450" s="410">
        <v>9</v>
      </c>
      <c r="T450" s="261">
        <v>6</v>
      </c>
      <c r="U450" s="261">
        <v>6</v>
      </c>
      <c r="V450" s="258" t="s">
        <v>71</v>
      </c>
      <c r="W450" s="261" t="str">
        <f t="shared" si="72"/>
        <v>쌍용자동차렉스턴디젤 2.2 5인승 4WD 프레스티지 A/T43380000</v>
      </c>
      <c r="X450" s="411">
        <f t="shared" si="73"/>
        <v>4224</v>
      </c>
      <c r="Y450" s="261">
        <v>6</v>
      </c>
      <c r="Z450" s="261">
        <v>6</v>
      </c>
      <c r="AA450" s="407" t="s">
        <v>649</v>
      </c>
      <c r="AB450" s="258" t="s">
        <v>1965</v>
      </c>
      <c r="AC450" s="258"/>
      <c r="AD450" s="258">
        <v>4</v>
      </c>
      <c r="AE450" s="258">
        <v>0</v>
      </c>
      <c r="AF450" s="259"/>
      <c r="AG450" s="260"/>
      <c r="AH450" s="259"/>
      <c r="AI450" s="259"/>
      <c r="AJ450" s="260"/>
      <c r="AK450" s="259">
        <v>26</v>
      </c>
      <c r="AL450" s="259"/>
      <c r="AM450" s="259" t="s">
        <v>3222</v>
      </c>
      <c r="AN450" s="449"/>
      <c r="AO450" s="449"/>
      <c r="AP450" s="449"/>
      <c r="AQ450" s="392" t="str">
        <f>IFERROR(VLOOKUP(BG450,#REF!,1,0),"")</f>
        <v/>
      </c>
      <c r="AS450" s="259" t="s">
        <v>3222</v>
      </c>
      <c r="BD450" s="202" t="str">
        <f t="shared" si="65"/>
        <v>렉스턴디젤 2.2 5인승 4WD 프레스티지 A/T</v>
      </c>
      <c r="BE450" s="261" t="str">
        <f t="shared" si="71"/>
        <v>0043</v>
      </c>
      <c r="BF450" s="407" t="s">
        <v>649</v>
      </c>
      <c r="BG450" s="202" t="str">
        <f t="shared" si="66"/>
        <v>0043-0449</v>
      </c>
    </row>
    <row r="451" spans="1:59">
      <c r="A451" s="405">
        <v>4225</v>
      </c>
      <c r="B451" s="406">
        <v>4225</v>
      </c>
      <c r="C451" s="261" t="str">
        <f t="shared" si="67"/>
        <v>0003-0043</v>
      </c>
      <c r="D451" s="261" t="str">
        <f t="shared" si="68"/>
        <v>0003-0043-0007</v>
      </c>
      <c r="E451" s="407" t="s">
        <v>648</v>
      </c>
      <c r="F451" s="261" t="str">
        <f>TEXT(VLOOKUP(J451,'[3]1'!$B$2:$D$37,2,0),"0000")</f>
        <v>0003</v>
      </c>
      <c r="G451" s="261" t="str">
        <f t="shared" si="69"/>
        <v>0043</v>
      </c>
      <c r="H451" s="408">
        <f t="shared" si="70"/>
        <v>7</v>
      </c>
      <c r="I451" s="407" t="s">
        <v>648</v>
      </c>
      <c r="J451" s="258" t="s">
        <v>728</v>
      </c>
      <c r="K451" s="258" t="s">
        <v>2908</v>
      </c>
      <c r="L451" s="266" t="s">
        <v>2993</v>
      </c>
      <c r="M451" s="316">
        <v>49150000</v>
      </c>
      <c r="N451" s="266">
        <v>2157</v>
      </c>
      <c r="O451" s="258" t="s">
        <v>78</v>
      </c>
      <c r="P451" s="258" t="s">
        <v>1965</v>
      </c>
      <c r="Q451" s="258" t="s">
        <v>72</v>
      </c>
      <c r="R451" s="258">
        <v>5</v>
      </c>
      <c r="S451" s="410">
        <v>9</v>
      </c>
      <c r="T451" s="261">
        <v>6</v>
      </c>
      <c r="U451" s="261">
        <v>6</v>
      </c>
      <c r="V451" s="258" t="s">
        <v>71</v>
      </c>
      <c r="W451" s="261" t="str">
        <f t="shared" si="72"/>
        <v>쌍용자동차렉스턴디젤 2.2 5인승 4WD 더 블랙 A/T49150000</v>
      </c>
      <c r="X451" s="411">
        <f t="shared" si="73"/>
        <v>4225</v>
      </c>
      <c r="Y451" s="261">
        <v>6</v>
      </c>
      <c r="Z451" s="261">
        <v>6</v>
      </c>
      <c r="AA451" s="407" t="s">
        <v>648</v>
      </c>
      <c r="AB451" s="258" t="s">
        <v>1965</v>
      </c>
      <c r="AC451" s="258"/>
      <c r="AD451" s="258" t="s">
        <v>2132</v>
      </c>
      <c r="AE451" s="258" t="s">
        <v>2129</v>
      </c>
      <c r="AF451" s="259"/>
      <c r="AG451" s="260"/>
      <c r="AH451" s="259"/>
      <c r="AI451" s="259"/>
      <c r="AJ451" s="260"/>
      <c r="AK451" s="259">
        <v>26</v>
      </c>
      <c r="AL451" s="259"/>
      <c r="AM451" s="259" t="s">
        <v>3222</v>
      </c>
      <c r="AN451" s="449"/>
      <c r="AO451" s="449"/>
      <c r="AP451" s="449"/>
      <c r="AQ451" s="392" t="str">
        <f>IFERROR(VLOOKUP(BG451,#REF!,1,0),"")</f>
        <v/>
      </c>
      <c r="AS451" s="259" t="s">
        <v>3222</v>
      </c>
      <c r="BD451" s="202" t="str">
        <f t="shared" si="65"/>
        <v>렉스턴디젤 2.2 5인승 4WD 더 블랙 A/T</v>
      </c>
      <c r="BE451" s="261" t="str">
        <f t="shared" si="71"/>
        <v>0043</v>
      </c>
      <c r="BF451" s="407" t="s">
        <v>648</v>
      </c>
      <c r="BG451" s="202" t="str">
        <f t="shared" si="66"/>
        <v>0043-0450</v>
      </c>
    </row>
    <row r="452" spans="1:59">
      <c r="A452" s="405">
        <v>4226</v>
      </c>
      <c r="B452" s="406">
        <v>4226</v>
      </c>
      <c r="C452" s="261" t="str">
        <f t="shared" si="67"/>
        <v>0003-0043</v>
      </c>
      <c r="D452" s="261" t="str">
        <f t="shared" si="68"/>
        <v>0003-0043-0008</v>
      </c>
      <c r="E452" s="407" t="s">
        <v>647</v>
      </c>
      <c r="F452" s="261" t="str">
        <f>TEXT(VLOOKUP(J452,'[3]1'!$B$2:$D$37,2,0),"0000")</f>
        <v>0003</v>
      </c>
      <c r="G452" s="261" t="str">
        <f t="shared" si="69"/>
        <v>0043</v>
      </c>
      <c r="H452" s="408">
        <f t="shared" si="70"/>
        <v>8</v>
      </c>
      <c r="I452" s="407" t="s">
        <v>647</v>
      </c>
      <c r="J452" s="258" t="s">
        <v>728</v>
      </c>
      <c r="K452" s="258" t="s">
        <v>2908</v>
      </c>
      <c r="L452" s="266" t="s">
        <v>2994</v>
      </c>
      <c r="M452" s="316">
        <v>37380000</v>
      </c>
      <c r="N452" s="266">
        <v>2157</v>
      </c>
      <c r="O452" s="258" t="s">
        <v>78</v>
      </c>
      <c r="P452" s="258" t="s">
        <v>1965</v>
      </c>
      <c r="Q452" s="258" t="s">
        <v>72</v>
      </c>
      <c r="R452" s="258">
        <v>7</v>
      </c>
      <c r="S452" s="410">
        <v>9</v>
      </c>
      <c r="T452" s="261">
        <v>6</v>
      </c>
      <c r="U452" s="261">
        <v>6</v>
      </c>
      <c r="V452" s="258" t="s">
        <v>71</v>
      </c>
      <c r="W452" s="261" t="str">
        <f t="shared" si="72"/>
        <v>쌍용자동차렉스턴디젤 2.2 7인승 2wd 럭셔리 A/T37380000</v>
      </c>
      <c r="X452" s="411">
        <f t="shared" si="73"/>
        <v>4226</v>
      </c>
      <c r="Y452" s="261">
        <v>6</v>
      </c>
      <c r="Z452" s="261">
        <v>6</v>
      </c>
      <c r="AA452" s="407" t="s">
        <v>647</v>
      </c>
      <c r="AB452" s="258" t="s">
        <v>1965</v>
      </c>
      <c r="AC452" s="258"/>
      <c r="AD452" s="258" t="s">
        <v>2132</v>
      </c>
      <c r="AE452" s="258" t="s">
        <v>2129</v>
      </c>
      <c r="AF452" s="259"/>
      <c r="AG452" s="260"/>
      <c r="AH452" s="259"/>
      <c r="AI452" s="259"/>
      <c r="AJ452" s="260"/>
      <c r="AK452" s="259">
        <v>26</v>
      </c>
      <c r="AL452" s="259"/>
      <c r="AM452" s="259" t="s">
        <v>3222</v>
      </c>
      <c r="AN452" s="449"/>
      <c r="AO452" s="449"/>
      <c r="AP452" s="449"/>
      <c r="AQ452" s="392" t="str">
        <f>IFERROR(VLOOKUP(BG452,#REF!,1,0),"")</f>
        <v/>
      </c>
      <c r="AS452" s="259" t="s">
        <v>3222</v>
      </c>
      <c r="BD452" s="202" t="str">
        <f t="shared" si="65"/>
        <v>렉스턴디젤 2.2 7인승 2wd 럭셔리 A/T</v>
      </c>
      <c r="BE452" s="261" t="str">
        <f t="shared" si="71"/>
        <v>0043</v>
      </c>
      <c r="BF452" s="407" t="s">
        <v>647</v>
      </c>
      <c r="BG452" s="202" t="str">
        <f t="shared" si="66"/>
        <v>0043-0451</v>
      </c>
    </row>
    <row r="453" spans="1:59">
      <c r="A453" s="405">
        <v>4227</v>
      </c>
      <c r="B453" s="406">
        <v>4227</v>
      </c>
      <c r="C453" s="261" t="str">
        <f t="shared" si="67"/>
        <v>0003-0043</v>
      </c>
      <c r="D453" s="261" t="str">
        <f t="shared" si="68"/>
        <v>0003-0043-0009</v>
      </c>
      <c r="E453" s="407" t="s">
        <v>645</v>
      </c>
      <c r="F453" s="261" t="str">
        <f>TEXT(VLOOKUP(J453,'[3]1'!$B$2:$D$37,2,0),"0000")</f>
        <v>0003</v>
      </c>
      <c r="G453" s="261" t="str">
        <f t="shared" si="69"/>
        <v>0043</v>
      </c>
      <c r="H453" s="408">
        <f t="shared" si="70"/>
        <v>9</v>
      </c>
      <c r="I453" s="407" t="s">
        <v>645</v>
      </c>
      <c r="J453" s="258" t="s">
        <v>728</v>
      </c>
      <c r="K453" s="258" t="s">
        <v>2908</v>
      </c>
      <c r="L453" s="266" t="s">
        <v>2995</v>
      </c>
      <c r="M453" s="316">
        <v>41860000</v>
      </c>
      <c r="N453" s="266">
        <v>2157</v>
      </c>
      <c r="O453" s="258" t="s">
        <v>78</v>
      </c>
      <c r="P453" s="258" t="s">
        <v>1965</v>
      </c>
      <c r="Q453" s="258" t="s">
        <v>72</v>
      </c>
      <c r="R453" s="258">
        <v>7</v>
      </c>
      <c r="S453" s="410">
        <v>9</v>
      </c>
      <c r="T453" s="261">
        <v>6</v>
      </c>
      <c r="U453" s="261">
        <v>6</v>
      </c>
      <c r="V453" s="258" t="s">
        <v>71</v>
      </c>
      <c r="W453" s="261" t="str">
        <f t="shared" si="72"/>
        <v>쌍용자동차렉스턴디젤 2.2 7인승 2wd 프레스티지 A/T41860000</v>
      </c>
      <c r="X453" s="411">
        <f t="shared" si="73"/>
        <v>4227</v>
      </c>
      <c r="Y453" s="261">
        <v>6</v>
      </c>
      <c r="Z453" s="261">
        <v>6</v>
      </c>
      <c r="AA453" s="407" t="s">
        <v>645</v>
      </c>
      <c r="AB453" s="258" t="s">
        <v>1965</v>
      </c>
      <c r="AC453" s="258"/>
      <c r="AD453" s="258">
        <v>4</v>
      </c>
      <c r="AE453" s="258">
        <v>0</v>
      </c>
      <c r="AF453" s="259"/>
      <c r="AG453" s="260"/>
      <c r="AH453" s="259"/>
      <c r="AI453" s="259"/>
      <c r="AJ453" s="260"/>
      <c r="AK453" s="259">
        <v>26</v>
      </c>
      <c r="AL453" s="259"/>
      <c r="AM453" s="259" t="s">
        <v>3222</v>
      </c>
      <c r="AN453" s="449"/>
      <c r="AO453" s="449"/>
      <c r="AP453" s="449"/>
      <c r="AQ453" s="392" t="str">
        <f>IFERROR(VLOOKUP(BG453,#REF!,1,0),"")</f>
        <v/>
      </c>
      <c r="AS453" s="259" t="s">
        <v>3222</v>
      </c>
      <c r="BD453" s="202" t="str">
        <f t="shared" ref="BD453:BD516" si="74">K453&amp;L453</f>
        <v>렉스턴디젤 2.2 7인승 2wd 프레스티지 A/T</v>
      </c>
      <c r="BE453" s="261" t="str">
        <f t="shared" si="71"/>
        <v>0043</v>
      </c>
      <c r="BF453" s="407" t="s">
        <v>645</v>
      </c>
      <c r="BG453" s="202" t="str">
        <f t="shared" ref="BG453:BG516" si="75">BE453&amp;"-"&amp;BF453</f>
        <v>0043-0452</v>
      </c>
    </row>
    <row r="454" spans="1:59">
      <c r="A454" s="405">
        <v>4228</v>
      </c>
      <c r="B454" s="406">
        <v>4228</v>
      </c>
      <c r="C454" s="261" t="str">
        <f t="shared" ref="C454:C517" si="76">TEXT(F454,"0000")&amp;"-"&amp;TEXT(G454,"0000")</f>
        <v>0003-0043</v>
      </c>
      <c r="D454" s="261" t="str">
        <f t="shared" ref="D454:D517" si="77">TEXT(F454,"0000")&amp;"-"&amp;TEXT(G454,"0000")&amp;"-"&amp;TEXT(H454,"0000")</f>
        <v>0003-0043-0010</v>
      </c>
      <c r="E454" s="407" t="s">
        <v>644</v>
      </c>
      <c r="F454" s="261" t="str">
        <f>TEXT(VLOOKUP(J454,'[3]1'!$B$2:$D$37,2,0),"0000")</f>
        <v>0003</v>
      </c>
      <c r="G454" s="261" t="str">
        <f t="shared" ref="G454:G517" si="78">IF(K454=K453,TEXT(G453,"0000"),TEXT(G453+1,"0000"))</f>
        <v>0043</v>
      </c>
      <c r="H454" s="408">
        <f t="shared" ref="H454:H517" si="79">IF(F454&amp;G454=F453&amp;G453,H453+1,1)</f>
        <v>10</v>
      </c>
      <c r="I454" s="407" t="s">
        <v>644</v>
      </c>
      <c r="J454" s="258" t="s">
        <v>728</v>
      </c>
      <c r="K454" s="258" t="s">
        <v>2908</v>
      </c>
      <c r="L454" s="266" t="s">
        <v>2996</v>
      </c>
      <c r="M454" s="316">
        <v>39310000</v>
      </c>
      <c r="N454" s="266">
        <v>2157</v>
      </c>
      <c r="O454" s="258" t="s">
        <v>78</v>
      </c>
      <c r="P454" s="258" t="s">
        <v>1965</v>
      </c>
      <c r="Q454" s="258" t="s">
        <v>72</v>
      </c>
      <c r="R454" s="258">
        <v>7</v>
      </c>
      <c r="S454" s="410">
        <v>9</v>
      </c>
      <c r="T454" s="261">
        <v>6</v>
      </c>
      <c r="U454" s="261">
        <v>6</v>
      </c>
      <c r="V454" s="258" t="s">
        <v>71</v>
      </c>
      <c r="W454" s="261" t="str">
        <f t="shared" si="72"/>
        <v>쌍용자동차렉스턴디젤 2.2 7인승 4WD 럭셔리 A/t39310000</v>
      </c>
      <c r="X454" s="411">
        <f t="shared" si="73"/>
        <v>4228</v>
      </c>
      <c r="Y454" s="261">
        <v>6</v>
      </c>
      <c r="Z454" s="261">
        <v>6</v>
      </c>
      <c r="AA454" s="407" t="s">
        <v>644</v>
      </c>
      <c r="AB454" s="258" t="s">
        <v>1965</v>
      </c>
      <c r="AC454" s="258"/>
      <c r="AD454" s="258">
        <v>4</v>
      </c>
      <c r="AE454" s="258">
        <v>0</v>
      </c>
      <c r="AF454" s="259"/>
      <c r="AG454" s="260"/>
      <c r="AH454" s="259"/>
      <c r="AI454" s="259"/>
      <c r="AJ454" s="260"/>
      <c r="AK454" s="259">
        <v>26</v>
      </c>
      <c r="AL454" s="259"/>
      <c r="AM454" s="259" t="s">
        <v>3222</v>
      </c>
      <c r="AN454" s="449"/>
      <c r="AO454" s="449"/>
      <c r="AP454" s="449"/>
      <c r="AQ454" s="392" t="str">
        <f>IFERROR(VLOOKUP(BG454,#REF!,1,0),"")</f>
        <v/>
      </c>
      <c r="AS454" s="259" t="s">
        <v>3222</v>
      </c>
      <c r="BD454" s="202" t="str">
        <f t="shared" si="74"/>
        <v>렉스턴디젤 2.2 7인승 4WD 럭셔리 A/t</v>
      </c>
      <c r="BE454" s="261" t="str">
        <f t="shared" ref="BE454:BE517" si="80">IF(K453=K454,TEXT(G453,"0000"),TEXT(G453+1,"0000"))</f>
        <v>0043</v>
      </c>
      <c r="BF454" s="407" t="s">
        <v>644</v>
      </c>
      <c r="BG454" s="202" t="str">
        <f t="shared" si="75"/>
        <v>0043-0453</v>
      </c>
    </row>
    <row r="455" spans="1:59">
      <c r="A455" s="405">
        <v>4229</v>
      </c>
      <c r="B455" s="406">
        <v>4229</v>
      </c>
      <c r="C455" s="261" t="str">
        <f t="shared" si="76"/>
        <v>0003-0043</v>
      </c>
      <c r="D455" s="261" t="str">
        <f t="shared" si="77"/>
        <v>0003-0043-0011</v>
      </c>
      <c r="E455" s="407" t="s">
        <v>643</v>
      </c>
      <c r="F455" s="261" t="str">
        <f>TEXT(VLOOKUP(J455,'[3]1'!$B$2:$D$37,2,0),"0000")</f>
        <v>0003</v>
      </c>
      <c r="G455" s="261" t="str">
        <f t="shared" si="78"/>
        <v>0043</v>
      </c>
      <c r="H455" s="408">
        <f t="shared" si="79"/>
        <v>11</v>
      </c>
      <c r="I455" s="407" t="s">
        <v>643</v>
      </c>
      <c r="J455" s="258" t="s">
        <v>728</v>
      </c>
      <c r="K455" s="258" t="s">
        <v>2908</v>
      </c>
      <c r="L455" s="266" t="s">
        <v>2997</v>
      </c>
      <c r="M455" s="316">
        <v>43790000</v>
      </c>
      <c r="N455" s="266">
        <v>2157</v>
      </c>
      <c r="O455" s="258" t="s">
        <v>78</v>
      </c>
      <c r="P455" s="258" t="s">
        <v>1965</v>
      </c>
      <c r="Q455" s="258" t="s">
        <v>72</v>
      </c>
      <c r="R455" s="258">
        <v>7</v>
      </c>
      <c r="S455" s="410">
        <v>9</v>
      </c>
      <c r="T455" s="261">
        <v>6</v>
      </c>
      <c r="U455" s="261">
        <v>6</v>
      </c>
      <c r="V455" s="258" t="s">
        <v>71</v>
      </c>
      <c r="W455" s="261" t="str">
        <f t="shared" ref="W455:W518" si="81">J455&amp;K455&amp;L455&amp;M455</f>
        <v>쌍용자동차렉스턴디젤 2.2 7인승 4WD 프레스티지 A/T43790000</v>
      </c>
      <c r="X455" s="411">
        <f t="shared" ref="X455:X518" si="82">B455</f>
        <v>4229</v>
      </c>
      <c r="Y455" s="261">
        <v>6</v>
      </c>
      <c r="Z455" s="261">
        <v>6</v>
      </c>
      <c r="AA455" s="407" t="s">
        <v>643</v>
      </c>
      <c r="AB455" s="258" t="s">
        <v>1965</v>
      </c>
      <c r="AC455" s="258"/>
      <c r="AD455" s="258" t="s">
        <v>2132</v>
      </c>
      <c r="AE455" s="258" t="s">
        <v>2129</v>
      </c>
      <c r="AF455" s="259"/>
      <c r="AG455" s="260"/>
      <c r="AH455" s="259"/>
      <c r="AI455" s="259"/>
      <c r="AJ455" s="260"/>
      <c r="AK455" s="259">
        <v>26</v>
      </c>
      <c r="AL455" s="259"/>
      <c r="AM455" s="259" t="s">
        <v>3222</v>
      </c>
      <c r="AN455" s="449"/>
      <c r="AO455" s="449"/>
      <c r="AP455" s="449"/>
      <c r="AQ455" s="392" t="str">
        <f>IFERROR(VLOOKUP(BG455,#REF!,1,0),"")</f>
        <v/>
      </c>
      <c r="AS455" s="259" t="s">
        <v>3222</v>
      </c>
      <c r="BD455" s="202" t="str">
        <f t="shared" si="74"/>
        <v>렉스턴디젤 2.2 7인승 4WD 프레스티지 A/T</v>
      </c>
      <c r="BE455" s="261" t="str">
        <f t="shared" si="80"/>
        <v>0043</v>
      </c>
      <c r="BF455" s="407" t="s">
        <v>643</v>
      </c>
      <c r="BG455" s="202" t="str">
        <f t="shared" si="75"/>
        <v>0043-0454</v>
      </c>
    </row>
    <row r="456" spans="1:59">
      <c r="A456" s="405">
        <v>4230</v>
      </c>
      <c r="B456" s="406">
        <v>4230</v>
      </c>
      <c r="C456" s="261" t="str">
        <f t="shared" si="76"/>
        <v>0003-0043</v>
      </c>
      <c r="D456" s="261" t="str">
        <f t="shared" si="77"/>
        <v>0003-0043-0012</v>
      </c>
      <c r="E456" s="407" t="s">
        <v>642</v>
      </c>
      <c r="F456" s="261" t="str">
        <f>TEXT(VLOOKUP(J456,'[3]1'!$B$2:$D$37,2,0),"0000")</f>
        <v>0003</v>
      </c>
      <c r="G456" s="261" t="str">
        <f t="shared" si="78"/>
        <v>0043</v>
      </c>
      <c r="H456" s="408">
        <f t="shared" si="79"/>
        <v>12</v>
      </c>
      <c r="I456" s="407" t="s">
        <v>642</v>
      </c>
      <c r="J456" s="258" t="s">
        <v>728</v>
      </c>
      <c r="K456" s="258" t="s">
        <v>2908</v>
      </c>
      <c r="L456" s="266" t="s">
        <v>2998</v>
      </c>
      <c r="M456" s="316">
        <v>49560000</v>
      </c>
      <c r="N456" s="266">
        <v>2157</v>
      </c>
      <c r="O456" s="258" t="s">
        <v>78</v>
      </c>
      <c r="P456" s="258" t="s">
        <v>1965</v>
      </c>
      <c r="Q456" s="258" t="s">
        <v>72</v>
      </c>
      <c r="R456" s="258">
        <v>7</v>
      </c>
      <c r="S456" s="410">
        <v>9</v>
      </c>
      <c r="T456" s="261">
        <v>6</v>
      </c>
      <c r="U456" s="261">
        <v>6</v>
      </c>
      <c r="V456" s="258" t="s">
        <v>71</v>
      </c>
      <c r="W456" s="261" t="str">
        <f t="shared" si="81"/>
        <v>쌍용자동차렉스턴디젤 2.2 7인승 4WD 더 블랙 A/T49560000</v>
      </c>
      <c r="X456" s="411">
        <f t="shared" si="82"/>
        <v>4230</v>
      </c>
      <c r="Y456" s="261">
        <v>6</v>
      </c>
      <c r="Z456" s="261">
        <v>6</v>
      </c>
      <c r="AA456" s="407" t="s">
        <v>642</v>
      </c>
      <c r="AB456" s="258" t="s">
        <v>1965</v>
      </c>
      <c r="AC456" s="258"/>
      <c r="AD456" s="258" t="s">
        <v>2132</v>
      </c>
      <c r="AE456" s="258" t="s">
        <v>2129</v>
      </c>
      <c r="AF456" s="259"/>
      <c r="AG456" s="260"/>
      <c r="AH456" s="259"/>
      <c r="AI456" s="259"/>
      <c r="AJ456" s="260"/>
      <c r="AK456" s="259">
        <v>26</v>
      </c>
      <c r="AL456" s="259"/>
      <c r="AM456" s="259" t="s">
        <v>3222</v>
      </c>
      <c r="AN456" s="449"/>
      <c r="AO456" s="449"/>
      <c r="AP456" s="449"/>
      <c r="AQ456" s="392" t="str">
        <f>IFERROR(VLOOKUP(BG456,#REF!,1,0),"")</f>
        <v/>
      </c>
      <c r="AS456" s="259" t="s">
        <v>3222</v>
      </c>
      <c r="BD456" s="202" t="str">
        <f t="shared" si="74"/>
        <v>렉스턴디젤 2.2 7인승 4WD 더 블랙 A/T</v>
      </c>
      <c r="BE456" s="261" t="str">
        <f t="shared" si="80"/>
        <v>0043</v>
      </c>
      <c r="BF456" s="407" t="s">
        <v>642</v>
      </c>
      <c r="BG456" s="202" t="str">
        <f t="shared" si="75"/>
        <v>0043-0455</v>
      </c>
    </row>
    <row r="457" spans="1:59">
      <c r="A457" s="405">
        <v>4231</v>
      </c>
      <c r="B457" s="406">
        <v>4231</v>
      </c>
      <c r="C457" s="261" t="str">
        <f t="shared" si="76"/>
        <v>0003-0044</v>
      </c>
      <c r="D457" s="261" t="str">
        <f t="shared" si="77"/>
        <v>0003-0044-0001</v>
      </c>
      <c r="E457" s="407" t="s">
        <v>641</v>
      </c>
      <c r="F457" s="261" t="str">
        <f>TEXT(VLOOKUP(J457,'[3]1'!$B$2:$D$37,2,0),"0000")</f>
        <v>0003</v>
      </c>
      <c r="G457" s="261" t="str">
        <f t="shared" si="78"/>
        <v>0044</v>
      </c>
      <c r="H457" s="408">
        <f t="shared" si="79"/>
        <v>1</v>
      </c>
      <c r="I457" s="407" t="s">
        <v>641</v>
      </c>
      <c r="J457" s="258" t="s">
        <v>728</v>
      </c>
      <c r="K457" s="258" t="s">
        <v>3418</v>
      </c>
      <c r="L457" s="266" t="s">
        <v>3419</v>
      </c>
      <c r="M457" s="316">
        <v>33400000</v>
      </c>
      <c r="N457" s="266">
        <v>2157</v>
      </c>
      <c r="O457" s="258" t="s">
        <v>78</v>
      </c>
      <c r="P457" s="258" t="s">
        <v>1965</v>
      </c>
      <c r="Q457" s="258" t="s">
        <v>72</v>
      </c>
      <c r="R457" s="258">
        <v>5</v>
      </c>
      <c r="S457" s="410">
        <v>9</v>
      </c>
      <c r="T457" s="261">
        <v>6</v>
      </c>
      <c r="U457" s="261">
        <v>6</v>
      </c>
      <c r="V457" s="258" t="s">
        <v>71</v>
      </c>
      <c r="W457" s="261" t="str">
        <f t="shared" si="81"/>
        <v>쌍용자동차렉스턴 스포츠 칸 쿨멘디젤2.2 4WD 와일드33400000</v>
      </c>
      <c r="X457" s="411">
        <f t="shared" si="82"/>
        <v>4231</v>
      </c>
      <c r="Y457" s="261">
        <v>6</v>
      </c>
      <c r="Z457" s="261">
        <v>6</v>
      </c>
      <c r="AA457" s="407" t="s">
        <v>641</v>
      </c>
      <c r="AB457" s="258" t="s">
        <v>1965</v>
      </c>
      <c r="AC457" s="258"/>
      <c r="AD457" s="258" t="s">
        <v>2132</v>
      </c>
      <c r="AE457" s="258" t="s">
        <v>2129</v>
      </c>
      <c r="AF457" s="259"/>
      <c r="AG457" s="260"/>
      <c r="AH457" s="259"/>
      <c r="AI457" s="259"/>
      <c r="AJ457" s="260"/>
      <c r="AK457" s="259">
        <v>26</v>
      </c>
      <c r="AL457" s="259"/>
      <c r="AM457" s="259" t="s">
        <v>3222</v>
      </c>
      <c r="AN457" s="449"/>
      <c r="AO457" s="449"/>
      <c r="AP457" s="449"/>
      <c r="AQ457" s="392" t="str">
        <f>IFERROR(VLOOKUP(BG457,#REF!,1,0),"")</f>
        <v/>
      </c>
      <c r="AS457" s="259" t="s">
        <v>3222</v>
      </c>
      <c r="AT457" s="392">
        <v>2024.02</v>
      </c>
      <c r="AW457" s="392" t="s">
        <v>3460</v>
      </c>
      <c r="BD457" s="202" t="str">
        <f t="shared" si="74"/>
        <v>렉스턴 스포츠 칸 쿨멘디젤2.2 4WD 와일드</v>
      </c>
      <c r="BE457" s="261" t="str">
        <f t="shared" si="80"/>
        <v>0044</v>
      </c>
      <c r="BF457" s="407" t="s">
        <v>641</v>
      </c>
      <c r="BG457" s="202" t="str">
        <f t="shared" si="75"/>
        <v>0044-0456</v>
      </c>
    </row>
    <row r="458" spans="1:59">
      <c r="A458" s="405">
        <v>4232</v>
      </c>
      <c r="B458" s="406">
        <v>4232</v>
      </c>
      <c r="C458" s="261" t="str">
        <f t="shared" si="76"/>
        <v>0003-0044</v>
      </c>
      <c r="D458" s="261" t="str">
        <f t="shared" si="77"/>
        <v>0003-0044-0002</v>
      </c>
      <c r="E458" s="407" t="s">
        <v>640</v>
      </c>
      <c r="F458" s="261" t="str">
        <f>TEXT(VLOOKUP(J458,'[3]1'!$B$2:$D$37,2,0),"0000")</f>
        <v>0003</v>
      </c>
      <c r="G458" s="261" t="str">
        <f t="shared" si="78"/>
        <v>0044</v>
      </c>
      <c r="H458" s="408">
        <f t="shared" si="79"/>
        <v>2</v>
      </c>
      <c r="I458" s="407" t="s">
        <v>640</v>
      </c>
      <c r="J458" s="258" t="s">
        <v>728</v>
      </c>
      <c r="K458" s="258" t="s">
        <v>3418</v>
      </c>
      <c r="L458" s="266" t="s">
        <v>3420</v>
      </c>
      <c r="M458" s="316">
        <v>42460000</v>
      </c>
      <c r="N458" s="266">
        <v>2157</v>
      </c>
      <c r="O458" s="258" t="s">
        <v>78</v>
      </c>
      <c r="P458" s="258" t="s">
        <v>1965</v>
      </c>
      <c r="Q458" s="258" t="s">
        <v>72</v>
      </c>
      <c r="R458" s="258">
        <v>5</v>
      </c>
      <c r="S458" s="410">
        <v>9</v>
      </c>
      <c r="T458" s="261">
        <v>6</v>
      </c>
      <c r="U458" s="261">
        <v>6</v>
      </c>
      <c r="V458" s="258" t="s">
        <v>71</v>
      </c>
      <c r="W458" s="261" t="str">
        <f t="shared" si="81"/>
        <v>쌍용자동차렉스턴 스포츠 칸 쿨멘디젤2.2 4WD 노블레스42460000</v>
      </c>
      <c r="X458" s="411">
        <f t="shared" si="82"/>
        <v>4232</v>
      </c>
      <c r="Y458" s="261">
        <v>6</v>
      </c>
      <c r="Z458" s="261">
        <v>6</v>
      </c>
      <c r="AA458" s="407" t="s">
        <v>640</v>
      </c>
      <c r="AB458" s="258" t="s">
        <v>1965</v>
      </c>
      <c r="AC458" s="258"/>
      <c r="AD458" s="258" t="s">
        <v>2132</v>
      </c>
      <c r="AE458" s="258" t="s">
        <v>2129</v>
      </c>
      <c r="AF458" s="259"/>
      <c r="AG458" s="260"/>
      <c r="AH458" s="259"/>
      <c r="AI458" s="259"/>
      <c r="AJ458" s="260"/>
      <c r="AK458" s="259">
        <v>26</v>
      </c>
      <c r="AL458" s="259"/>
      <c r="AM458" s="259" t="s">
        <v>3222</v>
      </c>
      <c r="AN458" s="449"/>
      <c r="AO458" s="449"/>
      <c r="AP458" s="449"/>
      <c r="AQ458" s="392" t="str">
        <f>IFERROR(VLOOKUP(BG458,#REF!,1,0),"")</f>
        <v/>
      </c>
      <c r="AS458" s="259" t="s">
        <v>3222</v>
      </c>
      <c r="AT458" s="392">
        <v>2024.02</v>
      </c>
      <c r="AW458" s="392" t="s">
        <v>3460</v>
      </c>
      <c r="BD458" s="202" t="str">
        <f t="shared" si="74"/>
        <v>렉스턴 스포츠 칸 쿨멘디젤2.2 4WD 노블레스</v>
      </c>
      <c r="BE458" s="261" t="str">
        <f t="shared" si="80"/>
        <v>0044</v>
      </c>
      <c r="BF458" s="407" t="s">
        <v>640</v>
      </c>
      <c r="BG458" s="202" t="str">
        <f t="shared" si="75"/>
        <v>0044-0457</v>
      </c>
    </row>
    <row r="459" spans="1:59">
      <c r="A459" s="405">
        <v>4233</v>
      </c>
      <c r="B459" s="406">
        <v>4233</v>
      </c>
      <c r="C459" s="261" t="str">
        <f t="shared" si="76"/>
        <v>0003-0044</v>
      </c>
      <c r="D459" s="261" t="str">
        <f t="shared" si="77"/>
        <v>0003-0044-0003</v>
      </c>
      <c r="E459" s="407" t="s">
        <v>639</v>
      </c>
      <c r="F459" s="261" t="str">
        <f>TEXT(VLOOKUP(J459,'[3]1'!$B$2:$D$37,2,0),"0000")</f>
        <v>0003</v>
      </c>
      <c r="G459" s="261" t="str">
        <f t="shared" si="78"/>
        <v>0044</v>
      </c>
      <c r="H459" s="408">
        <f t="shared" si="79"/>
        <v>3</v>
      </c>
      <c r="I459" s="407" t="s">
        <v>639</v>
      </c>
      <c r="J459" s="258" t="s">
        <v>728</v>
      </c>
      <c r="K459" s="258" t="s">
        <v>3418</v>
      </c>
      <c r="L459" s="266" t="s">
        <v>3421</v>
      </c>
      <c r="M459" s="316">
        <v>39090000</v>
      </c>
      <c r="N459" s="266">
        <v>2157</v>
      </c>
      <c r="O459" s="258" t="s">
        <v>78</v>
      </c>
      <c r="P459" s="258" t="s">
        <v>1965</v>
      </c>
      <c r="Q459" s="258" t="s">
        <v>72</v>
      </c>
      <c r="R459" s="258">
        <v>5</v>
      </c>
      <c r="S459" s="410">
        <v>9</v>
      </c>
      <c r="T459" s="261">
        <v>6</v>
      </c>
      <c r="U459" s="261">
        <v>6</v>
      </c>
      <c r="V459" s="258" t="s">
        <v>71</v>
      </c>
      <c r="W459" s="261" t="str">
        <f t="shared" si="81"/>
        <v>쌍용자동차렉스턴 스포츠 칸 쿨멘디젤2.2 4WD 프레스티지39090000</v>
      </c>
      <c r="X459" s="411">
        <f t="shared" si="82"/>
        <v>4233</v>
      </c>
      <c r="Y459" s="261">
        <v>6</v>
      </c>
      <c r="Z459" s="261">
        <v>6</v>
      </c>
      <c r="AA459" s="407" t="s">
        <v>639</v>
      </c>
      <c r="AB459" s="258" t="s">
        <v>1965</v>
      </c>
      <c r="AC459" s="258"/>
      <c r="AD459" s="258" t="s">
        <v>2132</v>
      </c>
      <c r="AE459" s="258" t="s">
        <v>2129</v>
      </c>
      <c r="AF459" s="259"/>
      <c r="AG459" s="260"/>
      <c r="AH459" s="259"/>
      <c r="AI459" s="259"/>
      <c r="AJ459" s="260"/>
      <c r="AK459" s="259">
        <v>26</v>
      </c>
      <c r="AL459" s="259"/>
      <c r="AM459" s="259" t="s">
        <v>3222</v>
      </c>
      <c r="AN459" s="449"/>
      <c r="AO459" s="449"/>
      <c r="AP459" s="449"/>
      <c r="AQ459" s="392" t="str">
        <f>IFERROR(VLOOKUP(BG459,#REF!,1,0),"")</f>
        <v/>
      </c>
      <c r="AS459" s="259" t="s">
        <v>3222</v>
      </c>
      <c r="AT459" s="392">
        <v>2024.02</v>
      </c>
      <c r="AW459" s="392" t="s">
        <v>3460</v>
      </c>
      <c r="BD459" s="202" t="str">
        <f t="shared" si="74"/>
        <v>렉스턴 스포츠 칸 쿨멘디젤2.2 4WD 프레스티지</v>
      </c>
      <c r="BE459" s="261" t="str">
        <f t="shared" si="80"/>
        <v>0044</v>
      </c>
      <c r="BF459" s="407" t="s">
        <v>639</v>
      </c>
      <c r="BG459" s="202" t="str">
        <f t="shared" si="75"/>
        <v>0044-0458</v>
      </c>
    </row>
    <row r="460" spans="1:59">
      <c r="A460" s="405">
        <v>4234</v>
      </c>
      <c r="B460" s="406">
        <v>4234</v>
      </c>
      <c r="C460" s="261" t="str">
        <f t="shared" si="76"/>
        <v>0003-0044</v>
      </c>
      <c r="D460" s="261" t="str">
        <f t="shared" si="77"/>
        <v>0003-0044-0004</v>
      </c>
      <c r="E460" s="407" t="s">
        <v>638</v>
      </c>
      <c r="F460" s="261" t="str">
        <f>TEXT(VLOOKUP(J460,'[3]1'!$B$2:$D$37,2,0),"0000")</f>
        <v>0003</v>
      </c>
      <c r="G460" s="261" t="str">
        <f t="shared" si="78"/>
        <v>0044</v>
      </c>
      <c r="H460" s="408">
        <f t="shared" si="79"/>
        <v>4</v>
      </c>
      <c r="I460" s="407" t="s">
        <v>638</v>
      </c>
      <c r="J460" s="258" t="s">
        <v>728</v>
      </c>
      <c r="K460" s="258" t="s">
        <v>3418</v>
      </c>
      <c r="L460" s="266" t="s">
        <v>3422</v>
      </c>
      <c r="M460" s="316">
        <v>37790000</v>
      </c>
      <c r="N460" s="266">
        <v>2157</v>
      </c>
      <c r="O460" s="258" t="s">
        <v>78</v>
      </c>
      <c r="P460" s="258" t="s">
        <v>1965</v>
      </c>
      <c r="Q460" s="258" t="s">
        <v>72</v>
      </c>
      <c r="R460" s="258">
        <v>5</v>
      </c>
      <c r="S460" s="410">
        <v>9</v>
      </c>
      <c r="T460" s="261">
        <v>6</v>
      </c>
      <c r="U460" s="261">
        <v>6</v>
      </c>
      <c r="V460" s="258" t="s">
        <v>71</v>
      </c>
      <c r="W460" s="261" t="str">
        <f t="shared" si="81"/>
        <v>쌍용자동차렉스턴 스포츠 칸 쿨멘디젤2.2 4WD 와일드 플러스37790000</v>
      </c>
      <c r="X460" s="411">
        <f t="shared" si="82"/>
        <v>4234</v>
      </c>
      <c r="Y460" s="261">
        <v>6</v>
      </c>
      <c r="Z460" s="261">
        <v>6</v>
      </c>
      <c r="AA460" s="407" t="s">
        <v>638</v>
      </c>
      <c r="AB460" s="258" t="s">
        <v>1965</v>
      </c>
      <c r="AC460" s="258"/>
      <c r="AD460" s="258" t="s">
        <v>2132</v>
      </c>
      <c r="AE460" s="258" t="s">
        <v>2129</v>
      </c>
      <c r="AF460" s="259"/>
      <c r="AG460" s="260"/>
      <c r="AH460" s="259"/>
      <c r="AI460" s="259"/>
      <c r="AJ460" s="260"/>
      <c r="AK460" s="259">
        <v>26</v>
      </c>
      <c r="AL460" s="259"/>
      <c r="AM460" s="259" t="s">
        <v>3222</v>
      </c>
      <c r="AN460" s="449"/>
      <c r="AO460" s="449"/>
      <c r="AP460" s="449"/>
      <c r="AQ460" s="392" t="str">
        <f>IFERROR(VLOOKUP(BG460,#REF!,1,0),"")</f>
        <v/>
      </c>
      <c r="AS460" s="259" t="s">
        <v>3222</v>
      </c>
      <c r="AT460" s="392">
        <v>2024.02</v>
      </c>
      <c r="AW460" s="392" t="s">
        <v>3460</v>
      </c>
      <c r="BD460" s="202" t="str">
        <f t="shared" si="74"/>
        <v>렉스턴 스포츠 칸 쿨멘디젤2.2 4WD 와일드 플러스</v>
      </c>
      <c r="BE460" s="261" t="str">
        <f t="shared" si="80"/>
        <v>0044</v>
      </c>
      <c r="BF460" s="407" t="s">
        <v>638</v>
      </c>
      <c r="BG460" s="202" t="str">
        <f t="shared" si="75"/>
        <v>0044-0459</v>
      </c>
    </row>
    <row r="461" spans="1:59">
      <c r="A461" s="405">
        <v>4235</v>
      </c>
      <c r="B461" s="406">
        <v>4235</v>
      </c>
      <c r="C461" s="261" t="str">
        <f t="shared" si="76"/>
        <v>0003-0044</v>
      </c>
      <c r="D461" s="261" t="str">
        <f t="shared" si="77"/>
        <v>0003-0044-0005</v>
      </c>
      <c r="E461" s="407" t="s">
        <v>637</v>
      </c>
      <c r="F461" s="261" t="str">
        <f>TEXT(VLOOKUP(J461,'[3]1'!$B$2:$D$37,2,0),"0000")</f>
        <v>0003</v>
      </c>
      <c r="G461" s="261" t="str">
        <f t="shared" si="78"/>
        <v>0044</v>
      </c>
      <c r="H461" s="408">
        <f t="shared" si="79"/>
        <v>5</v>
      </c>
      <c r="I461" s="407" t="s">
        <v>637</v>
      </c>
      <c r="J461" s="258" t="s">
        <v>728</v>
      </c>
      <c r="K461" s="258" t="s">
        <v>3418</v>
      </c>
      <c r="L461" s="266" t="s">
        <v>3423</v>
      </c>
      <c r="M461" s="316">
        <v>28790000</v>
      </c>
      <c r="N461" s="266">
        <v>2157</v>
      </c>
      <c r="O461" s="258" t="s">
        <v>78</v>
      </c>
      <c r="P461" s="258" t="s">
        <v>1965</v>
      </c>
      <c r="Q461" s="258" t="s">
        <v>72</v>
      </c>
      <c r="R461" s="258">
        <v>5</v>
      </c>
      <c r="S461" s="410">
        <v>9</v>
      </c>
      <c r="T461" s="261">
        <v>6</v>
      </c>
      <c r="U461" s="261">
        <v>6</v>
      </c>
      <c r="V461" s="258" t="s">
        <v>71</v>
      </c>
      <c r="W461" s="261" t="str">
        <f t="shared" si="81"/>
        <v>쌍용자동차렉스턴 스포츠 칸 쿨멘디젤2.2 2WD 와일드28790000</v>
      </c>
      <c r="X461" s="411">
        <f t="shared" si="82"/>
        <v>4235</v>
      </c>
      <c r="Y461" s="261">
        <v>6</v>
      </c>
      <c r="Z461" s="261">
        <v>6</v>
      </c>
      <c r="AA461" s="407" t="s">
        <v>637</v>
      </c>
      <c r="AB461" s="258" t="s">
        <v>1965</v>
      </c>
      <c r="AC461" s="258"/>
      <c r="AD461" s="258" t="s">
        <v>2132</v>
      </c>
      <c r="AE461" s="258" t="s">
        <v>2129</v>
      </c>
      <c r="AF461" s="259"/>
      <c r="AG461" s="260"/>
      <c r="AH461" s="259"/>
      <c r="AI461" s="259"/>
      <c r="AJ461" s="260"/>
      <c r="AK461" s="259">
        <v>26</v>
      </c>
      <c r="AL461" s="259"/>
      <c r="AM461" s="259" t="s">
        <v>3222</v>
      </c>
      <c r="AN461" s="449"/>
      <c r="AO461" s="449"/>
      <c r="AP461" s="449"/>
      <c r="AQ461" s="392" t="str">
        <f>IFERROR(VLOOKUP(BG461,#REF!,1,0),"")</f>
        <v/>
      </c>
      <c r="AS461" s="259" t="s">
        <v>3222</v>
      </c>
      <c r="AT461" s="392">
        <v>2024.02</v>
      </c>
      <c r="AW461" s="392" t="s">
        <v>3460</v>
      </c>
      <c r="BD461" s="202" t="str">
        <f t="shared" si="74"/>
        <v>렉스턴 스포츠 칸 쿨멘디젤2.2 2WD 와일드</v>
      </c>
      <c r="BE461" s="261" t="str">
        <f t="shared" si="80"/>
        <v>0044</v>
      </c>
      <c r="BF461" s="407" t="s">
        <v>637</v>
      </c>
      <c r="BG461" s="202" t="str">
        <f t="shared" si="75"/>
        <v>0044-0460</v>
      </c>
    </row>
    <row r="462" spans="1:59">
      <c r="A462" s="405">
        <v>4236</v>
      </c>
      <c r="B462" s="406">
        <v>4236</v>
      </c>
      <c r="C462" s="261" t="str">
        <f t="shared" si="76"/>
        <v>0003-0044</v>
      </c>
      <c r="D462" s="261" t="str">
        <f t="shared" si="77"/>
        <v>0003-0044-0006</v>
      </c>
      <c r="E462" s="407" t="s">
        <v>636</v>
      </c>
      <c r="F462" s="261" t="str">
        <f>TEXT(VLOOKUP(J462,'[3]1'!$B$2:$D$37,2,0),"0000")</f>
        <v>0003</v>
      </c>
      <c r="G462" s="261" t="str">
        <f t="shared" si="78"/>
        <v>0044</v>
      </c>
      <c r="H462" s="408">
        <f t="shared" si="79"/>
        <v>6</v>
      </c>
      <c r="I462" s="407" t="s">
        <v>636</v>
      </c>
      <c r="J462" s="258" t="s">
        <v>728</v>
      </c>
      <c r="K462" s="258" t="s">
        <v>3418</v>
      </c>
      <c r="L462" s="266" t="s">
        <v>3424</v>
      </c>
      <c r="M462" s="316">
        <v>40460000</v>
      </c>
      <c r="N462" s="266">
        <v>2157</v>
      </c>
      <c r="O462" s="258" t="s">
        <v>78</v>
      </c>
      <c r="P462" s="258" t="s">
        <v>1965</v>
      </c>
      <c r="Q462" s="258" t="s">
        <v>72</v>
      </c>
      <c r="R462" s="258">
        <v>5</v>
      </c>
      <c r="S462" s="410">
        <v>9</v>
      </c>
      <c r="T462" s="261">
        <v>6</v>
      </c>
      <c r="U462" s="261">
        <v>6</v>
      </c>
      <c r="V462" s="258" t="s">
        <v>71</v>
      </c>
      <c r="W462" s="261" t="str">
        <f t="shared" si="81"/>
        <v>쌍용자동차렉스턴 스포츠 칸 쿨멘디젤2.2 2WD 노블레스40460000</v>
      </c>
      <c r="X462" s="411">
        <f t="shared" si="82"/>
        <v>4236</v>
      </c>
      <c r="Y462" s="261">
        <v>6</v>
      </c>
      <c r="Z462" s="261">
        <v>6</v>
      </c>
      <c r="AA462" s="407" t="s">
        <v>636</v>
      </c>
      <c r="AB462" s="258" t="s">
        <v>1965</v>
      </c>
      <c r="AC462" s="258"/>
      <c r="AD462" s="258" t="s">
        <v>2132</v>
      </c>
      <c r="AE462" s="258" t="s">
        <v>2129</v>
      </c>
      <c r="AF462" s="259"/>
      <c r="AG462" s="260"/>
      <c r="AH462" s="259"/>
      <c r="AI462" s="259"/>
      <c r="AJ462" s="260"/>
      <c r="AK462" s="259">
        <v>26</v>
      </c>
      <c r="AL462" s="259"/>
      <c r="AM462" s="259" t="s">
        <v>3222</v>
      </c>
      <c r="AN462" s="449"/>
      <c r="AO462" s="449"/>
      <c r="AP462" s="449"/>
      <c r="AQ462" s="392" t="str">
        <f>IFERROR(VLOOKUP(BG462,#REF!,1,0),"")</f>
        <v/>
      </c>
      <c r="AS462" s="259" t="s">
        <v>3222</v>
      </c>
      <c r="AT462" s="392">
        <v>2024.02</v>
      </c>
      <c r="AW462" s="392" t="s">
        <v>3460</v>
      </c>
      <c r="BD462" s="202" t="str">
        <f t="shared" si="74"/>
        <v>렉스턴 스포츠 칸 쿨멘디젤2.2 2WD 노블레스</v>
      </c>
      <c r="BE462" s="261" t="str">
        <f t="shared" si="80"/>
        <v>0044</v>
      </c>
      <c r="BF462" s="407" t="s">
        <v>636</v>
      </c>
      <c r="BG462" s="202" t="str">
        <f t="shared" si="75"/>
        <v>0044-0461</v>
      </c>
    </row>
    <row r="463" spans="1:59">
      <c r="A463" s="405">
        <v>4237</v>
      </c>
      <c r="B463" s="406">
        <v>4237</v>
      </c>
      <c r="C463" s="261" t="str">
        <f t="shared" si="76"/>
        <v>0003-0044</v>
      </c>
      <c r="D463" s="261" t="str">
        <f t="shared" si="77"/>
        <v>0003-0044-0007</v>
      </c>
      <c r="E463" s="407" t="s">
        <v>635</v>
      </c>
      <c r="F463" s="261" t="str">
        <f>TEXT(VLOOKUP(J463,'[3]1'!$B$2:$D$37,2,0),"0000")</f>
        <v>0003</v>
      </c>
      <c r="G463" s="261" t="str">
        <f t="shared" si="78"/>
        <v>0044</v>
      </c>
      <c r="H463" s="408">
        <f t="shared" si="79"/>
        <v>7</v>
      </c>
      <c r="I463" s="407" t="s">
        <v>635</v>
      </c>
      <c r="J463" s="258" t="s">
        <v>728</v>
      </c>
      <c r="K463" s="258" t="s">
        <v>3418</v>
      </c>
      <c r="L463" s="266" t="s">
        <v>3425</v>
      </c>
      <c r="M463" s="316">
        <v>37090000</v>
      </c>
      <c r="N463" s="266">
        <v>2157</v>
      </c>
      <c r="O463" s="258" t="s">
        <v>78</v>
      </c>
      <c r="P463" s="258" t="s">
        <v>1965</v>
      </c>
      <c r="Q463" s="258" t="s">
        <v>72</v>
      </c>
      <c r="R463" s="258">
        <v>5</v>
      </c>
      <c r="S463" s="410">
        <v>9</v>
      </c>
      <c r="T463" s="261">
        <v>6</v>
      </c>
      <c r="U463" s="261">
        <v>6</v>
      </c>
      <c r="V463" s="258" t="s">
        <v>71</v>
      </c>
      <c r="W463" s="261" t="str">
        <f t="shared" si="81"/>
        <v>쌍용자동차렉스턴 스포츠 칸 쿨멘디젤2.2 2WD 프레스티지37090000</v>
      </c>
      <c r="X463" s="411">
        <f t="shared" si="82"/>
        <v>4237</v>
      </c>
      <c r="Y463" s="261">
        <v>6</v>
      </c>
      <c r="Z463" s="261">
        <v>6</v>
      </c>
      <c r="AA463" s="407" t="s">
        <v>635</v>
      </c>
      <c r="AB463" s="258" t="s">
        <v>1965</v>
      </c>
      <c r="AC463" s="258"/>
      <c r="AD463" s="258" t="s">
        <v>2132</v>
      </c>
      <c r="AE463" s="258" t="s">
        <v>2129</v>
      </c>
      <c r="AF463" s="259"/>
      <c r="AG463" s="260"/>
      <c r="AH463" s="259"/>
      <c r="AI463" s="259"/>
      <c r="AJ463" s="260"/>
      <c r="AK463" s="259">
        <v>26</v>
      </c>
      <c r="AL463" s="259"/>
      <c r="AM463" s="259" t="s">
        <v>3222</v>
      </c>
      <c r="AN463" s="449"/>
      <c r="AO463" s="449"/>
      <c r="AP463" s="449"/>
      <c r="AQ463" s="392" t="str">
        <f>IFERROR(VLOOKUP(BG463,#REF!,1,0),"")</f>
        <v/>
      </c>
      <c r="AS463" s="259" t="s">
        <v>3222</v>
      </c>
      <c r="AT463" s="392">
        <v>2024.02</v>
      </c>
      <c r="AW463" s="392" t="s">
        <v>3460</v>
      </c>
      <c r="BD463" s="202" t="str">
        <f t="shared" si="74"/>
        <v>렉스턴 스포츠 칸 쿨멘디젤2.2 2WD 프레스티지</v>
      </c>
      <c r="BE463" s="261" t="str">
        <f t="shared" si="80"/>
        <v>0044</v>
      </c>
      <c r="BF463" s="407" t="s">
        <v>635</v>
      </c>
      <c r="BG463" s="202" t="str">
        <f t="shared" si="75"/>
        <v>0044-0462</v>
      </c>
    </row>
    <row r="464" spans="1:59">
      <c r="A464" s="405">
        <v>4238</v>
      </c>
      <c r="B464" s="406">
        <v>4238</v>
      </c>
      <c r="C464" s="261" t="str">
        <f t="shared" si="76"/>
        <v>0003-0044</v>
      </c>
      <c r="D464" s="261" t="str">
        <f t="shared" si="77"/>
        <v>0003-0044-0008</v>
      </c>
      <c r="E464" s="407" t="s">
        <v>634</v>
      </c>
      <c r="F464" s="261" t="str">
        <f>TEXT(VLOOKUP(J464,'[3]1'!$B$2:$D$37,2,0),"0000")</f>
        <v>0003</v>
      </c>
      <c r="G464" s="261" t="str">
        <f t="shared" si="78"/>
        <v>0044</v>
      </c>
      <c r="H464" s="408">
        <f t="shared" si="79"/>
        <v>8</v>
      </c>
      <c r="I464" s="407" t="s">
        <v>634</v>
      </c>
      <c r="J464" s="258" t="s">
        <v>728</v>
      </c>
      <c r="K464" s="258" t="s">
        <v>3418</v>
      </c>
      <c r="L464" s="266" t="s">
        <v>3426</v>
      </c>
      <c r="M464" s="316">
        <v>35790000</v>
      </c>
      <c r="N464" s="266">
        <v>2157</v>
      </c>
      <c r="O464" s="258" t="s">
        <v>78</v>
      </c>
      <c r="P464" s="258" t="s">
        <v>1965</v>
      </c>
      <c r="Q464" s="258" t="s">
        <v>72</v>
      </c>
      <c r="R464" s="258">
        <v>5</v>
      </c>
      <c r="S464" s="410">
        <v>9</v>
      </c>
      <c r="T464" s="261">
        <v>6</v>
      </c>
      <c r="U464" s="261">
        <v>6</v>
      </c>
      <c r="V464" s="258" t="s">
        <v>71</v>
      </c>
      <c r="W464" s="261" t="str">
        <f t="shared" si="81"/>
        <v>쌍용자동차렉스턴 스포츠 칸 쿨멘디젤2.2 2WD 와일드 플러스35790000</v>
      </c>
      <c r="X464" s="411">
        <f t="shared" si="82"/>
        <v>4238</v>
      </c>
      <c r="Y464" s="261">
        <v>6</v>
      </c>
      <c r="Z464" s="261">
        <v>6</v>
      </c>
      <c r="AA464" s="407" t="s">
        <v>634</v>
      </c>
      <c r="AB464" s="258" t="s">
        <v>1965</v>
      </c>
      <c r="AC464" s="258"/>
      <c r="AD464" s="258" t="s">
        <v>2132</v>
      </c>
      <c r="AE464" s="258" t="s">
        <v>2129</v>
      </c>
      <c r="AF464" s="259"/>
      <c r="AG464" s="260"/>
      <c r="AH464" s="259"/>
      <c r="AI464" s="259"/>
      <c r="AJ464" s="260"/>
      <c r="AK464" s="259">
        <v>26</v>
      </c>
      <c r="AL464" s="259"/>
      <c r="AM464" s="259" t="s">
        <v>3222</v>
      </c>
      <c r="AN464" s="449"/>
      <c r="AO464" s="449"/>
      <c r="AP464" s="449"/>
      <c r="AQ464" s="392" t="str">
        <f>IFERROR(VLOOKUP(BG464,#REF!,1,0),"")</f>
        <v/>
      </c>
      <c r="AS464" s="259" t="s">
        <v>3222</v>
      </c>
      <c r="AT464" s="392">
        <v>2024.02</v>
      </c>
      <c r="AW464" s="392" t="s">
        <v>3460</v>
      </c>
      <c r="BD464" s="202" t="str">
        <f t="shared" si="74"/>
        <v>렉스턴 스포츠 칸 쿨멘디젤2.2 2WD 와일드 플러스</v>
      </c>
      <c r="BE464" s="261" t="str">
        <f t="shared" si="80"/>
        <v>0044</v>
      </c>
      <c r="BF464" s="407" t="s">
        <v>634</v>
      </c>
      <c r="BG464" s="202" t="str">
        <f t="shared" si="75"/>
        <v>0044-0463</v>
      </c>
    </row>
    <row r="465" spans="1:59">
      <c r="A465" s="405">
        <v>4239</v>
      </c>
      <c r="B465" s="406">
        <v>4239</v>
      </c>
      <c r="C465" s="261" t="str">
        <f t="shared" si="76"/>
        <v>0003-0045</v>
      </c>
      <c r="D465" s="261" t="str">
        <f t="shared" si="77"/>
        <v>0003-0045-0001</v>
      </c>
      <c r="E465" s="407" t="s">
        <v>633</v>
      </c>
      <c r="F465" s="261" t="str">
        <f>TEXT(VLOOKUP(J465,'[3]1'!$B$2:$D$37,2,0),"0000")</f>
        <v>0003</v>
      </c>
      <c r="G465" s="261" t="str">
        <f t="shared" si="78"/>
        <v>0045</v>
      </c>
      <c r="H465" s="408">
        <f t="shared" si="79"/>
        <v>1</v>
      </c>
      <c r="I465" s="407" t="s">
        <v>633</v>
      </c>
      <c r="J465" s="258" t="s">
        <v>728</v>
      </c>
      <c r="K465" s="258" t="s">
        <v>3427</v>
      </c>
      <c r="L465" s="266" t="s">
        <v>3419</v>
      </c>
      <c r="M465" s="316">
        <v>30790000</v>
      </c>
      <c r="N465" s="266">
        <v>2157</v>
      </c>
      <c r="O465" s="258" t="s">
        <v>78</v>
      </c>
      <c r="P465" s="258" t="s">
        <v>1965</v>
      </c>
      <c r="Q465" s="258" t="s">
        <v>72</v>
      </c>
      <c r="R465" s="258">
        <v>5</v>
      </c>
      <c r="S465" s="410">
        <v>9</v>
      </c>
      <c r="T465" s="261">
        <v>6</v>
      </c>
      <c r="U465" s="261">
        <v>6</v>
      </c>
      <c r="V465" s="258" t="s">
        <v>71</v>
      </c>
      <c r="W465" s="261" t="str">
        <f t="shared" si="81"/>
        <v>쌍용자동차렉스턴 스포츠 쿨멘디젤2.2 4WD 와일드30790000</v>
      </c>
      <c r="X465" s="411">
        <f t="shared" si="82"/>
        <v>4239</v>
      </c>
      <c r="Y465" s="261">
        <v>6</v>
      </c>
      <c r="Z465" s="261">
        <v>6</v>
      </c>
      <c r="AA465" s="407" t="s">
        <v>633</v>
      </c>
      <c r="AB465" s="258" t="s">
        <v>1965</v>
      </c>
      <c r="AC465" s="258"/>
      <c r="AD465" s="258" t="s">
        <v>2132</v>
      </c>
      <c r="AE465" s="258" t="s">
        <v>2129</v>
      </c>
      <c r="AF465" s="259"/>
      <c r="AG465" s="260"/>
      <c r="AH465" s="259"/>
      <c r="AI465" s="259"/>
      <c r="AJ465" s="260"/>
      <c r="AK465" s="259">
        <v>26</v>
      </c>
      <c r="AL465" s="259"/>
      <c r="AM465" s="259" t="s">
        <v>3222</v>
      </c>
      <c r="AN465" s="449"/>
      <c r="AO465" s="449"/>
      <c r="AP465" s="449"/>
      <c r="AQ465" s="392" t="str">
        <f>IFERROR(VLOOKUP(BG465,#REF!,1,0),"")</f>
        <v/>
      </c>
      <c r="AS465" s="259" t="s">
        <v>3222</v>
      </c>
      <c r="AT465" s="392">
        <v>2024.02</v>
      </c>
      <c r="AW465" s="392" t="s">
        <v>3460</v>
      </c>
      <c r="BD465" s="202" t="str">
        <f t="shared" si="74"/>
        <v>렉스턴 스포츠 쿨멘디젤2.2 4WD 와일드</v>
      </c>
      <c r="BE465" s="261" t="str">
        <f t="shared" si="80"/>
        <v>0045</v>
      </c>
      <c r="BF465" s="407" t="s">
        <v>633</v>
      </c>
      <c r="BG465" s="202" t="str">
        <f t="shared" si="75"/>
        <v>0045-0464</v>
      </c>
    </row>
    <row r="466" spans="1:59">
      <c r="A466" s="405">
        <v>4240</v>
      </c>
      <c r="B466" s="406">
        <v>4240</v>
      </c>
      <c r="C466" s="261" t="str">
        <f t="shared" si="76"/>
        <v>0003-0045</v>
      </c>
      <c r="D466" s="261" t="str">
        <f t="shared" si="77"/>
        <v>0003-0045-0002</v>
      </c>
      <c r="E466" s="407" t="s">
        <v>632</v>
      </c>
      <c r="F466" s="261" t="str">
        <f>TEXT(VLOOKUP(J466,'[3]1'!$B$2:$D$37,2,0),"0000")</f>
        <v>0003</v>
      </c>
      <c r="G466" s="261" t="str">
        <f t="shared" si="78"/>
        <v>0045</v>
      </c>
      <c r="H466" s="408">
        <f t="shared" si="79"/>
        <v>2</v>
      </c>
      <c r="I466" s="407" t="s">
        <v>632</v>
      </c>
      <c r="J466" s="258" t="s">
        <v>728</v>
      </c>
      <c r="K466" s="258" t="s">
        <v>3427</v>
      </c>
      <c r="L466" s="266" t="s">
        <v>3420</v>
      </c>
      <c r="M466" s="316">
        <v>40460000</v>
      </c>
      <c r="N466" s="266">
        <v>2157</v>
      </c>
      <c r="O466" s="258" t="s">
        <v>78</v>
      </c>
      <c r="P466" s="258" t="s">
        <v>1965</v>
      </c>
      <c r="Q466" s="258" t="s">
        <v>72</v>
      </c>
      <c r="R466" s="258">
        <v>5</v>
      </c>
      <c r="S466" s="410">
        <v>9</v>
      </c>
      <c r="T466" s="261">
        <v>6</v>
      </c>
      <c r="U466" s="261">
        <v>6</v>
      </c>
      <c r="V466" s="258" t="s">
        <v>71</v>
      </c>
      <c r="W466" s="261" t="str">
        <f t="shared" si="81"/>
        <v>쌍용자동차렉스턴 스포츠 쿨멘디젤2.2 4WD 노블레스40460000</v>
      </c>
      <c r="X466" s="411">
        <f t="shared" si="82"/>
        <v>4240</v>
      </c>
      <c r="Y466" s="261">
        <v>6</v>
      </c>
      <c r="Z466" s="261">
        <v>6</v>
      </c>
      <c r="AA466" s="407" t="s">
        <v>632</v>
      </c>
      <c r="AB466" s="258" t="s">
        <v>1965</v>
      </c>
      <c r="AC466" s="258"/>
      <c r="AD466" s="258" t="s">
        <v>2132</v>
      </c>
      <c r="AE466" s="258" t="s">
        <v>2129</v>
      </c>
      <c r="AF466" s="259"/>
      <c r="AG466" s="260"/>
      <c r="AH466" s="259"/>
      <c r="AI466" s="259"/>
      <c r="AJ466" s="260"/>
      <c r="AK466" s="259">
        <v>26</v>
      </c>
      <c r="AL466" s="259"/>
      <c r="AM466" s="259" t="s">
        <v>3222</v>
      </c>
      <c r="AN466" s="449"/>
      <c r="AO466" s="449"/>
      <c r="AP466" s="449"/>
      <c r="AQ466" s="392" t="str">
        <f>IFERROR(VLOOKUP(BG466,#REF!,1,0),"")</f>
        <v/>
      </c>
      <c r="AS466" s="259" t="s">
        <v>3222</v>
      </c>
      <c r="AT466" s="392">
        <v>2024.02</v>
      </c>
      <c r="AW466" s="392" t="s">
        <v>3460</v>
      </c>
      <c r="BD466" s="202" t="str">
        <f t="shared" si="74"/>
        <v>렉스턴 스포츠 쿨멘디젤2.2 4WD 노블레스</v>
      </c>
      <c r="BE466" s="261" t="str">
        <f t="shared" si="80"/>
        <v>0045</v>
      </c>
      <c r="BF466" s="407" t="s">
        <v>632</v>
      </c>
      <c r="BG466" s="202" t="str">
        <f t="shared" si="75"/>
        <v>0045-0465</v>
      </c>
    </row>
    <row r="467" spans="1:59">
      <c r="A467" s="405">
        <v>4241</v>
      </c>
      <c r="B467" s="406">
        <v>4241</v>
      </c>
      <c r="C467" s="261" t="str">
        <f t="shared" si="76"/>
        <v>0003-0045</v>
      </c>
      <c r="D467" s="261" t="str">
        <f t="shared" si="77"/>
        <v>0003-0045-0003</v>
      </c>
      <c r="E467" s="407" t="s">
        <v>631</v>
      </c>
      <c r="F467" s="261" t="str">
        <f>TEXT(VLOOKUP(J467,'[3]1'!$B$2:$D$37,2,0),"0000")</f>
        <v>0003</v>
      </c>
      <c r="G467" s="261" t="str">
        <f t="shared" si="78"/>
        <v>0045</v>
      </c>
      <c r="H467" s="408">
        <f t="shared" si="79"/>
        <v>3</v>
      </c>
      <c r="I467" s="407" t="s">
        <v>631</v>
      </c>
      <c r="J467" s="258" t="s">
        <v>728</v>
      </c>
      <c r="K467" s="258" t="s">
        <v>3427</v>
      </c>
      <c r="L467" s="266" t="s">
        <v>3421</v>
      </c>
      <c r="M467" s="316">
        <v>37090000</v>
      </c>
      <c r="N467" s="266">
        <v>2157</v>
      </c>
      <c r="O467" s="258" t="s">
        <v>78</v>
      </c>
      <c r="P467" s="258" t="s">
        <v>1965</v>
      </c>
      <c r="Q467" s="258" t="s">
        <v>72</v>
      </c>
      <c r="R467" s="258">
        <v>5</v>
      </c>
      <c r="S467" s="410">
        <v>9</v>
      </c>
      <c r="T467" s="261">
        <v>6</v>
      </c>
      <c r="U467" s="261">
        <v>6</v>
      </c>
      <c r="V467" s="258" t="s">
        <v>71</v>
      </c>
      <c r="W467" s="261" t="str">
        <f t="shared" si="81"/>
        <v>쌍용자동차렉스턴 스포츠 쿨멘디젤2.2 4WD 프레스티지37090000</v>
      </c>
      <c r="X467" s="411">
        <f t="shared" si="82"/>
        <v>4241</v>
      </c>
      <c r="Y467" s="261">
        <v>6</v>
      </c>
      <c r="Z467" s="261">
        <v>6</v>
      </c>
      <c r="AA467" s="407" t="s">
        <v>631</v>
      </c>
      <c r="AB467" s="258" t="s">
        <v>1965</v>
      </c>
      <c r="AC467" s="258"/>
      <c r="AD467" s="258" t="s">
        <v>2132</v>
      </c>
      <c r="AE467" s="258" t="s">
        <v>2129</v>
      </c>
      <c r="AF467" s="259"/>
      <c r="AG467" s="260"/>
      <c r="AH467" s="259"/>
      <c r="AI467" s="259"/>
      <c r="AJ467" s="260"/>
      <c r="AK467" s="259">
        <v>26</v>
      </c>
      <c r="AL467" s="259"/>
      <c r="AM467" s="259" t="s">
        <v>3222</v>
      </c>
      <c r="AN467" s="449"/>
      <c r="AO467" s="449"/>
      <c r="AP467" s="449"/>
      <c r="AQ467" s="392" t="str">
        <f>IFERROR(VLOOKUP(BG467,#REF!,1,0),"")</f>
        <v/>
      </c>
      <c r="AS467" s="259" t="s">
        <v>3222</v>
      </c>
      <c r="AT467" s="392">
        <v>2024.02</v>
      </c>
      <c r="AW467" s="392" t="s">
        <v>3460</v>
      </c>
      <c r="BD467" s="202" t="str">
        <f t="shared" si="74"/>
        <v>렉스턴 스포츠 쿨멘디젤2.2 4WD 프레스티지</v>
      </c>
      <c r="BE467" s="261" t="str">
        <f t="shared" si="80"/>
        <v>0045</v>
      </c>
      <c r="BF467" s="407" t="s">
        <v>631</v>
      </c>
      <c r="BG467" s="202" t="str">
        <f t="shared" si="75"/>
        <v>0045-0466</v>
      </c>
    </row>
    <row r="468" spans="1:59">
      <c r="A468" s="405">
        <v>4242</v>
      </c>
      <c r="B468" s="406">
        <v>4242</v>
      </c>
      <c r="C468" s="261" t="str">
        <f t="shared" si="76"/>
        <v>0003-0045</v>
      </c>
      <c r="D468" s="261" t="str">
        <f t="shared" si="77"/>
        <v>0003-0045-0004</v>
      </c>
      <c r="E468" s="407" t="s">
        <v>630</v>
      </c>
      <c r="F468" s="261" t="str">
        <f>TEXT(VLOOKUP(J468,'[3]1'!$B$2:$D$37,2,0),"0000")</f>
        <v>0003</v>
      </c>
      <c r="G468" s="261" t="str">
        <f t="shared" si="78"/>
        <v>0045</v>
      </c>
      <c r="H468" s="408">
        <f t="shared" si="79"/>
        <v>4</v>
      </c>
      <c r="I468" s="407" t="s">
        <v>630</v>
      </c>
      <c r="J468" s="258" t="s">
        <v>728</v>
      </c>
      <c r="K468" s="258" t="s">
        <v>3427</v>
      </c>
      <c r="L468" s="266" t="s">
        <v>3422</v>
      </c>
      <c r="M468" s="316">
        <v>35790000</v>
      </c>
      <c r="N468" s="266">
        <v>2157</v>
      </c>
      <c r="O468" s="258" t="s">
        <v>78</v>
      </c>
      <c r="P468" s="258" t="s">
        <v>1965</v>
      </c>
      <c r="Q468" s="258" t="s">
        <v>72</v>
      </c>
      <c r="R468" s="258">
        <v>5</v>
      </c>
      <c r="S468" s="410">
        <v>9</v>
      </c>
      <c r="T468" s="261">
        <v>6</v>
      </c>
      <c r="U468" s="261">
        <v>6</v>
      </c>
      <c r="V468" s="258" t="s">
        <v>71</v>
      </c>
      <c r="W468" s="261" t="str">
        <f t="shared" si="81"/>
        <v>쌍용자동차렉스턴 스포츠 쿨멘디젤2.2 4WD 와일드 플러스35790000</v>
      </c>
      <c r="X468" s="411">
        <f t="shared" si="82"/>
        <v>4242</v>
      </c>
      <c r="Y468" s="261">
        <v>6</v>
      </c>
      <c r="Z468" s="261">
        <v>6</v>
      </c>
      <c r="AA468" s="407" t="s">
        <v>630</v>
      </c>
      <c r="AB468" s="258" t="s">
        <v>1965</v>
      </c>
      <c r="AC468" s="258"/>
      <c r="AD468" s="258" t="s">
        <v>2132</v>
      </c>
      <c r="AE468" s="258" t="s">
        <v>2129</v>
      </c>
      <c r="AF468" s="259"/>
      <c r="AG468" s="260"/>
      <c r="AH468" s="259"/>
      <c r="AI468" s="259"/>
      <c r="AJ468" s="260"/>
      <c r="AK468" s="259">
        <v>26</v>
      </c>
      <c r="AL468" s="259"/>
      <c r="AM468" s="259" t="s">
        <v>3222</v>
      </c>
      <c r="AN468" s="449"/>
      <c r="AO468" s="449"/>
      <c r="AP468" s="449"/>
      <c r="AQ468" s="392" t="str">
        <f>IFERROR(VLOOKUP(BG468,#REF!,1,0),"")</f>
        <v/>
      </c>
      <c r="AS468" s="259" t="s">
        <v>3222</v>
      </c>
      <c r="AT468" s="392">
        <v>2024.02</v>
      </c>
      <c r="AW468" s="392" t="s">
        <v>3460</v>
      </c>
      <c r="BD468" s="202" t="str">
        <f t="shared" si="74"/>
        <v>렉스턴 스포츠 쿨멘디젤2.2 4WD 와일드 플러스</v>
      </c>
      <c r="BE468" s="261" t="str">
        <f t="shared" si="80"/>
        <v>0045</v>
      </c>
      <c r="BF468" s="407" t="s">
        <v>630</v>
      </c>
      <c r="BG468" s="202" t="str">
        <f t="shared" si="75"/>
        <v>0045-0467</v>
      </c>
    </row>
    <row r="469" spans="1:59">
      <c r="A469" s="405">
        <v>4243</v>
      </c>
      <c r="B469" s="406">
        <v>4243</v>
      </c>
      <c r="C469" s="261" t="str">
        <f t="shared" si="76"/>
        <v>0003-0045</v>
      </c>
      <c r="D469" s="261" t="str">
        <f t="shared" si="77"/>
        <v>0003-0045-0005</v>
      </c>
      <c r="E469" s="407" t="s">
        <v>629</v>
      </c>
      <c r="F469" s="261" t="str">
        <f>TEXT(VLOOKUP(J469,'[3]1'!$B$2:$D$37,2,0),"0000")</f>
        <v>0003</v>
      </c>
      <c r="G469" s="261" t="str">
        <f t="shared" si="78"/>
        <v>0045</v>
      </c>
      <c r="H469" s="408">
        <f t="shared" si="79"/>
        <v>5</v>
      </c>
      <c r="I469" s="407" t="s">
        <v>629</v>
      </c>
      <c r="J469" s="258" t="s">
        <v>728</v>
      </c>
      <c r="K469" s="258" t="s">
        <v>3427</v>
      </c>
      <c r="L469" s="266" t="s">
        <v>3423</v>
      </c>
      <c r="M469" s="316">
        <v>28790000</v>
      </c>
      <c r="N469" s="266">
        <v>2157</v>
      </c>
      <c r="O469" s="258" t="s">
        <v>78</v>
      </c>
      <c r="P469" s="258" t="s">
        <v>1965</v>
      </c>
      <c r="Q469" s="258" t="s">
        <v>72</v>
      </c>
      <c r="R469" s="258">
        <v>5</v>
      </c>
      <c r="S469" s="410">
        <v>9</v>
      </c>
      <c r="T469" s="261">
        <v>6</v>
      </c>
      <c r="U469" s="261">
        <v>6</v>
      </c>
      <c r="V469" s="258" t="s">
        <v>71</v>
      </c>
      <c r="W469" s="261" t="str">
        <f t="shared" si="81"/>
        <v>쌍용자동차렉스턴 스포츠 쿨멘디젤2.2 2WD 와일드28790000</v>
      </c>
      <c r="X469" s="411">
        <f t="shared" si="82"/>
        <v>4243</v>
      </c>
      <c r="Y469" s="261">
        <v>6</v>
      </c>
      <c r="Z469" s="261">
        <v>6</v>
      </c>
      <c r="AA469" s="407" t="s">
        <v>629</v>
      </c>
      <c r="AB469" s="258" t="s">
        <v>1965</v>
      </c>
      <c r="AC469" s="258"/>
      <c r="AD469" s="258" t="s">
        <v>2132</v>
      </c>
      <c r="AE469" s="258" t="s">
        <v>2129</v>
      </c>
      <c r="AF469" s="259"/>
      <c r="AG469" s="260"/>
      <c r="AH469" s="259"/>
      <c r="AI469" s="259"/>
      <c r="AJ469" s="260"/>
      <c r="AK469" s="259">
        <v>26</v>
      </c>
      <c r="AL469" s="259"/>
      <c r="AM469" s="259" t="s">
        <v>3222</v>
      </c>
      <c r="AN469" s="449"/>
      <c r="AO469" s="449"/>
      <c r="AP469" s="449"/>
      <c r="AQ469" s="392" t="str">
        <f>IFERROR(VLOOKUP(BG469,#REF!,1,0),"")</f>
        <v/>
      </c>
      <c r="AS469" s="259" t="s">
        <v>3222</v>
      </c>
      <c r="AT469" s="392">
        <v>2024.02</v>
      </c>
      <c r="AW469" s="392" t="s">
        <v>3460</v>
      </c>
      <c r="BD469" s="202" t="str">
        <f t="shared" si="74"/>
        <v>렉스턴 스포츠 쿨멘디젤2.2 2WD 와일드</v>
      </c>
      <c r="BE469" s="261" t="str">
        <f t="shared" si="80"/>
        <v>0045</v>
      </c>
      <c r="BF469" s="407" t="s">
        <v>629</v>
      </c>
      <c r="BG469" s="202" t="str">
        <f t="shared" si="75"/>
        <v>0045-0468</v>
      </c>
    </row>
    <row r="470" spans="1:59">
      <c r="A470" s="405">
        <v>4244</v>
      </c>
      <c r="B470" s="406">
        <v>4244</v>
      </c>
      <c r="C470" s="261" t="str">
        <f t="shared" si="76"/>
        <v>0003-0045</v>
      </c>
      <c r="D470" s="261" t="str">
        <f t="shared" si="77"/>
        <v>0003-0045-0006</v>
      </c>
      <c r="E470" s="407" t="s">
        <v>628</v>
      </c>
      <c r="F470" s="261" t="str">
        <f>TEXT(VLOOKUP(J470,'[3]1'!$B$2:$D$37,2,0),"0000")</f>
        <v>0003</v>
      </c>
      <c r="G470" s="261" t="str">
        <f t="shared" si="78"/>
        <v>0045</v>
      </c>
      <c r="H470" s="408">
        <f t="shared" si="79"/>
        <v>6</v>
      </c>
      <c r="I470" s="407" t="s">
        <v>628</v>
      </c>
      <c r="J470" s="258" t="s">
        <v>728</v>
      </c>
      <c r="K470" s="258" t="s">
        <v>3427</v>
      </c>
      <c r="L470" s="266" t="s">
        <v>3424</v>
      </c>
      <c r="M470" s="316">
        <v>38310000</v>
      </c>
      <c r="N470" s="266">
        <v>2157</v>
      </c>
      <c r="O470" s="258" t="s">
        <v>78</v>
      </c>
      <c r="P470" s="258" t="s">
        <v>1965</v>
      </c>
      <c r="Q470" s="258" t="s">
        <v>72</v>
      </c>
      <c r="R470" s="258">
        <v>5</v>
      </c>
      <c r="S470" s="410">
        <v>9</v>
      </c>
      <c r="T470" s="261">
        <v>6</v>
      </c>
      <c r="U470" s="261">
        <v>6</v>
      </c>
      <c r="V470" s="258" t="s">
        <v>71</v>
      </c>
      <c r="W470" s="261" t="str">
        <f t="shared" si="81"/>
        <v>쌍용자동차렉스턴 스포츠 쿨멘디젤2.2 2WD 노블레스38310000</v>
      </c>
      <c r="X470" s="411">
        <f t="shared" si="82"/>
        <v>4244</v>
      </c>
      <c r="Y470" s="261">
        <v>6</v>
      </c>
      <c r="Z470" s="261">
        <v>6</v>
      </c>
      <c r="AA470" s="407" t="s">
        <v>628</v>
      </c>
      <c r="AB470" s="258" t="s">
        <v>1965</v>
      </c>
      <c r="AC470" s="258"/>
      <c r="AD470" s="258" t="s">
        <v>2132</v>
      </c>
      <c r="AE470" s="258" t="s">
        <v>2129</v>
      </c>
      <c r="AF470" s="259"/>
      <c r="AG470" s="260"/>
      <c r="AH470" s="259"/>
      <c r="AI470" s="259"/>
      <c r="AJ470" s="260"/>
      <c r="AK470" s="259">
        <v>26</v>
      </c>
      <c r="AL470" s="259"/>
      <c r="AM470" s="259" t="s">
        <v>3222</v>
      </c>
      <c r="AN470" s="449"/>
      <c r="AO470" s="449"/>
      <c r="AP470" s="449"/>
      <c r="AQ470" s="392" t="str">
        <f>IFERROR(VLOOKUP(BG470,#REF!,1,0),"")</f>
        <v/>
      </c>
      <c r="AS470" s="259" t="s">
        <v>3222</v>
      </c>
      <c r="AT470" s="392">
        <v>2024.02</v>
      </c>
      <c r="AW470" s="392" t="s">
        <v>3460</v>
      </c>
      <c r="BD470" s="202" t="str">
        <f t="shared" si="74"/>
        <v>렉스턴 스포츠 쿨멘디젤2.2 2WD 노블레스</v>
      </c>
      <c r="BE470" s="261" t="str">
        <f t="shared" si="80"/>
        <v>0045</v>
      </c>
      <c r="BF470" s="407" t="s">
        <v>628</v>
      </c>
      <c r="BG470" s="202" t="str">
        <f t="shared" si="75"/>
        <v>0045-0469</v>
      </c>
    </row>
    <row r="471" spans="1:59">
      <c r="A471" s="405">
        <v>4245</v>
      </c>
      <c r="B471" s="406">
        <v>4245</v>
      </c>
      <c r="C471" s="261" t="str">
        <f t="shared" si="76"/>
        <v>0003-0045</v>
      </c>
      <c r="D471" s="261" t="str">
        <f t="shared" si="77"/>
        <v>0003-0045-0007</v>
      </c>
      <c r="E471" s="407" t="s">
        <v>627</v>
      </c>
      <c r="F471" s="261" t="str">
        <f>TEXT(VLOOKUP(J471,'[3]1'!$B$2:$D$37,2,0),"0000")</f>
        <v>0003</v>
      </c>
      <c r="G471" s="261" t="str">
        <f t="shared" si="78"/>
        <v>0045</v>
      </c>
      <c r="H471" s="408">
        <f t="shared" si="79"/>
        <v>7</v>
      </c>
      <c r="I471" s="407" t="s">
        <v>627</v>
      </c>
      <c r="J471" s="258" t="s">
        <v>728</v>
      </c>
      <c r="K471" s="258" t="s">
        <v>3427</v>
      </c>
      <c r="L471" s="266" t="s">
        <v>3425</v>
      </c>
      <c r="M471" s="316">
        <v>34780000</v>
      </c>
      <c r="N471" s="266">
        <v>2157</v>
      </c>
      <c r="O471" s="258" t="s">
        <v>78</v>
      </c>
      <c r="P471" s="258" t="s">
        <v>1965</v>
      </c>
      <c r="Q471" s="258" t="s">
        <v>72</v>
      </c>
      <c r="R471" s="258">
        <v>5</v>
      </c>
      <c r="S471" s="410">
        <v>9</v>
      </c>
      <c r="T471" s="261">
        <v>6</v>
      </c>
      <c r="U471" s="261">
        <v>6</v>
      </c>
      <c r="V471" s="258" t="s">
        <v>71</v>
      </c>
      <c r="W471" s="261" t="str">
        <f t="shared" si="81"/>
        <v>쌍용자동차렉스턴 스포츠 쿨멘디젤2.2 2WD 프레스티지34780000</v>
      </c>
      <c r="X471" s="411">
        <f t="shared" si="82"/>
        <v>4245</v>
      </c>
      <c r="Y471" s="261">
        <v>6</v>
      </c>
      <c r="Z471" s="261">
        <v>6</v>
      </c>
      <c r="AA471" s="407" t="s">
        <v>627</v>
      </c>
      <c r="AB471" s="258" t="s">
        <v>1965</v>
      </c>
      <c r="AC471" s="258"/>
      <c r="AD471" s="258" t="s">
        <v>2132</v>
      </c>
      <c r="AE471" s="258" t="s">
        <v>2129</v>
      </c>
      <c r="AF471" s="259"/>
      <c r="AG471" s="260"/>
      <c r="AH471" s="259"/>
      <c r="AI471" s="259"/>
      <c r="AJ471" s="260"/>
      <c r="AK471" s="259">
        <v>26</v>
      </c>
      <c r="AL471" s="259"/>
      <c r="AM471" s="259" t="s">
        <v>3222</v>
      </c>
      <c r="AN471" s="449"/>
      <c r="AO471" s="449"/>
      <c r="AP471" s="449"/>
      <c r="AQ471" s="392" t="str">
        <f>IFERROR(VLOOKUP(BG471,#REF!,1,0),"")</f>
        <v/>
      </c>
      <c r="AS471" s="259" t="s">
        <v>3222</v>
      </c>
      <c r="AT471" s="392">
        <v>2024.02</v>
      </c>
      <c r="AW471" s="392" t="s">
        <v>3460</v>
      </c>
      <c r="BD471" s="202" t="str">
        <f t="shared" si="74"/>
        <v>렉스턴 스포츠 쿨멘디젤2.2 2WD 프레스티지</v>
      </c>
      <c r="BE471" s="261" t="str">
        <f t="shared" si="80"/>
        <v>0045</v>
      </c>
      <c r="BF471" s="407" t="s">
        <v>627</v>
      </c>
      <c r="BG471" s="202" t="str">
        <f t="shared" si="75"/>
        <v>0045-0470</v>
      </c>
    </row>
    <row r="472" spans="1:59">
      <c r="A472" s="405">
        <v>4246</v>
      </c>
      <c r="B472" s="406">
        <v>4246</v>
      </c>
      <c r="C472" s="261" t="str">
        <f t="shared" si="76"/>
        <v>0003-0045</v>
      </c>
      <c r="D472" s="261" t="str">
        <f t="shared" si="77"/>
        <v>0003-0045-0008</v>
      </c>
      <c r="E472" s="407" t="s">
        <v>626</v>
      </c>
      <c r="F472" s="261" t="str">
        <f>TEXT(VLOOKUP(J472,'[3]1'!$B$2:$D$37,2,0),"0000")</f>
        <v>0003</v>
      </c>
      <c r="G472" s="261" t="str">
        <f t="shared" si="78"/>
        <v>0045</v>
      </c>
      <c r="H472" s="408">
        <f t="shared" si="79"/>
        <v>8</v>
      </c>
      <c r="I472" s="407" t="s">
        <v>626</v>
      </c>
      <c r="J472" s="258" t="s">
        <v>728</v>
      </c>
      <c r="K472" s="258" t="s">
        <v>3427</v>
      </c>
      <c r="L472" s="266" t="s">
        <v>3426</v>
      </c>
      <c r="M472" s="316">
        <v>32280000</v>
      </c>
      <c r="N472" s="266">
        <v>2157</v>
      </c>
      <c r="O472" s="258" t="s">
        <v>78</v>
      </c>
      <c r="P472" s="258" t="s">
        <v>1965</v>
      </c>
      <c r="Q472" s="258" t="s">
        <v>72</v>
      </c>
      <c r="R472" s="258">
        <v>5</v>
      </c>
      <c r="S472" s="410">
        <v>9</v>
      </c>
      <c r="T472" s="261">
        <v>6</v>
      </c>
      <c r="U472" s="261">
        <v>6</v>
      </c>
      <c r="V472" s="258" t="s">
        <v>71</v>
      </c>
      <c r="W472" s="261" t="str">
        <f t="shared" si="81"/>
        <v>쌍용자동차렉스턴 스포츠 쿨멘디젤2.2 2WD 와일드 플러스32280000</v>
      </c>
      <c r="X472" s="411">
        <f t="shared" si="82"/>
        <v>4246</v>
      </c>
      <c r="Y472" s="261">
        <v>6</v>
      </c>
      <c r="Z472" s="261">
        <v>6</v>
      </c>
      <c r="AA472" s="407" t="s">
        <v>626</v>
      </c>
      <c r="AB472" s="258" t="s">
        <v>1965</v>
      </c>
      <c r="AC472" s="258"/>
      <c r="AD472" s="258" t="s">
        <v>2132</v>
      </c>
      <c r="AE472" s="258" t="s">
        <v>2129</v>
      </c>
      <c r="AF472" s="259"/>
      <c r="AG472" s="260"/>
      <c r="AH472" s="259"/>
      <c r="AI472" s="259"/>
      <c r="AJ472" s="260"/>
      <c r="AK472" s="259">
        <v>26</v>
      </c>
      <c r="AL472" s="259"/>
      <c r="AM472" s="259" t="s">
        <v>3222</v>
      </c>
      <c r="AN472" s="449"/>
      <c r="AO472" s="449"/>
      <c r="AP472" s="449"/>
      <c r="AQ472" s="392" t="str">
        <f>IFERROR(VLOOKUP(BG472,#REF!,1,0),"")</f>
        <v/>
      </c>
      <c r="AS472" s="259" t="s">
        <v>3222</v>
      </c>
      <c r="AT472" s="392">
        <v>2024.02</v>
      </c>
      <c r="AW472" s="392" t="s">
        <v>3460</v>
      </c>
      <c r="BD472" s="202" t="str">
        <f t="shared" si="74"/>
        <v>렉스턴 스포츠 쿨멘디젤2.2 2WD 와일드 플러스</v>
      </c>
      <c r="BE472" s="261" t="str">
        <f t="shared" si="80"/>
        <v>0045</v>
      </c>
      <c r="BF472" s="407" t="s">
        <v>626</v>
      </c>
      <c r="BG472" s="202" t="str">
        <f t="shared" si="75"/>
        <v>0045-0471</v>
      </c>
    </row>
    <row r="473" spans="1:59">
      <c r="A473" s="405">
        <v>4247</v>
      </c>
      <c r="B473" s="406">
        <v>4247</v>
      </c>
      <c r="C473" s="261" t="str">
        <f t="shared" si="76"/>
        <v>0003-0046</v>
      </c>
      <c r="D473" s="261" t="str">
        <f t="shared" si="77"/>
        <v>0003-0046-0001</v>
      </c>
      <c r="E473" s="407" t="s">
        <v>625</v>
      </c>
      <c r="F473" s="261" t="str">
        <f>TEXT(VLOOKUP(J473,'[3]1'!$B$2:$D$37,2,0),"0000")</f>
        <v>0003</v>
      </c>
      <c r="G473" s="261" t="str">
        <f t="shared" si="78"/>
        <v>0046</v>
      </c>
      <c r="H473" s="408">
        <f t="shared" si="79"/>
        <v>1</v>
      </c>
      <c r="I473" s="407" t="s">
        <v>625</v>
      </c>
      <c r="J473" s="258" t="s">
        <v>728</v>
      </c>
      <c r="K473" s="258" t="s">
        <v>2733</v>
      </c>
      <c r="L473" s="258" t="s">
        <v>2372</v>
      </c>
      <c r="M473" s="409">
        <v>25990000</v>
      </c>
      <c r="N473" s="258">
        <v>2157</v>
      </c>
      <c r="O473" s="258" t="s">
        <v>78</v>
      </c>
      <c r="P473" s="258" t="s">
        <v>86</v>
      </c>
      <c r="Q473" s="258" t="s">
        <v>88</v>
      </c>
      <c r="R473" s="258">
        <v>7</v>
      </c>
      <c r="S473" s="410">
        <v>9</v>
      </c>
      <c r="T473" s="261">
        <v>6</v>
      </c>
      <c r="U473" s="261">
        <v>6</v>
      </c>
      <c r="V473" s="258" t="s">
        <v>3329</v>
      </c>
      <c r="W473" s="261" t="str">
        <f t="shared" si="81"/>
        <v>쌍용자동차렉스턴 스포츠2.2 4WD 와일드 (M/T)25990000</v>
      </c>
      <c r="X473" s="411">
        <f t="shared" si="82"/>
        <v>4247</v>
      </c>
      <c r="Y473" s="261">
        <v>6</v>
      </c>
      <c r="Z473" s="261">
        <v>6</v>
      </c>
      <c r="AA473" s="407" t="s">
        <v>625</v>
      </c>
      <c r="AB473" s="258" t="s">
        <v>3346</v>
      </c>
      <c r="AC473" s="258"/>
      <c r="AD473" s="258" t="s">
        <v>2132</v>
      </c>
      <c r="AE473" s="258" t="s">
        <v>2129</v>
      </c>
      <c r="AF473" s="259"/>
      <c r="AG473" s="260"/>
      <c r="AH473" s="259"/>
      <c r="AI473" s="259"/>
      <c r="AJ473" s="260"/>
      <c r="AK473" s="259">
        <v>26</v>
      </c>
      <c r="AL473" s="259"/>
      <c r="AM473" s="259" t="s">
        <v>3222</v>
      </c>
      <c r="AN473" s="449"/>
      <c r="AO473" s="449"/>
      <c r="AP473" s="449"/>
      <c r="AQ473" s="392" t="str">
        <f>IFERROR(VLOOKUP(BG473,#REF!,1,0),"")</f>
        <v/>
      </c>
      <c r="AR473" s="450"/>
      <c r="AS473" s="259" t="s">
        <v>3222</v>
      </c>
      <c r="AT473" s="450"/>
      <c r="AW473" s="450"/>
      <c r="AX473" s="450"/>
      <c r="AY473" s="450"/>
      <c r="BD473" s="202" t="str">
        <f t="shared" si="74"/>
        <v>렉스턴 스포츠2.2 4WD 와일드 (M/T)</v>
      </c>
      <c r="BE473" s="261" t="str">
        <f t="shared" si="80"/>
        <v>0046</v>
      </c>
      <c r="BF473" s="407" t="s">
        <v>625</v>
      </c>
      <c r="BG473" s="202" t="str">
        <f t="shared" si="75"/>
        <v>0046-0472</v>
      </c>
    </row>
    <row r="474" spans="1:59">
      <c r="A474" s="405">
        <v>4248</v>
      </c>
      <c r="B474" s="406">
        <v>4248</v>
      </c>
      <c r="C474" s="261" t="str">
        <f t="shared" si="76"/>
        <v>0003-0046</v>
      </c>
      <c r="D474" s="261" t="str">
        <f t="shared" si="77"/>
        <v>0003-0046-0002</v>
      </c>
      <c r="E474" s="407" t="s">
        <v>624</v>
      </c>
      <c r="F474" s="261" t="str">
        <f>TEXT(VLOOKUP(J474,'[3]1'!$B$2:$D$37,2,0),"0000")</f>
        <v>0003</v>
      </c>
      <c r="G474" s="261" t="str">
        <f t="shared" si="78"/>
        <v>0046</v>
      </c>
      <c r="H474" s="408">
        <f t="shared" si="79"/>
        <v>2</v>
      </c>
      <c r="I474" s="407" t="s">
        <v>624</v>
      </c>
      <c r="J474" s="258" t="s">
        <v>728</v>
      </c>
      <c r="K474" s="258" t="s">
        <v>2733</v>
      </c>
      <c r="L474" s="258" t="s">
        <v>2373</v>
      </c>
      <c r="M474" s="409">
        <v>27690000</v>
      </c>
      <c r="N474" s="258">
        <v>2157</v>
      </c>
      <c r="O474" s="258" t="s">
        <v>78</v>
      </c>
      <c r="P474" s="258" t="s">
        <v>86</v>
      </c>
      <c r="Q474" s="258" t="s">
        <v>72</v>
      </c>
      <c r="R474" s="258">
        <v>5</v>
      </c>
      <c r="S474" s="410">
        <v>9</v>
      </c>
      <c r="T474" s="261">
        <v>6</v>
      </c>
      <c r="U474" s="261">
        <v>6</v>
      </c>
      <c r="V474" s="258" t="s">
        <v>71</v>
      </c>
      <c r="W474" s="261" t="str">
        <f t="shared" si="81"/>
        <v>쌍용자동차렉스턴 스포츠2.2 4WD 와일드 (A/T)27690000</v>
      </c>
      <c r="X474" s="411">
        <f t="shared" si="82"/>
        <v>4248</v>
      </c>
      <c r="Y474" s="261">
        <v>6</v>
      </c>
      <c r="Z474" s="261">
        <v>6</v>
      </c>
      <c r="AA474" s="407" t="s">
        <v>624</v>
      </c>
      <c r="AB474" s="258" t="s">
        <v>73</v>
      </c>
      <c r="AC474" s="258"/>
      <c r="AD474" s="258" t="s">
        <v>2132</v>
      </c>
      <c r="AE474" s="258" t="s">
        <v>2129</v>
      </c>
      <c r="AF474" s="259"/>
      <c r="AG474" s="260"/>
      <c r="AH474" s="259"/>
      <c r="AI474" s="259"/>
      <c r="AJ474" s="260"/>
      <c r="AK474" s="259">
        <v>26</v>
      </c>
      <c r="AL474" s="259"/>
      <c r="AM474" s="259" t="s">
        <v>3222</v>
      </c>
      <c r="AN474" s="449"/>
      <c r="AO474" s="449"/>
      <c r="AP474" s="449"/>
      <c r="AQ474" s="392" t="str">
        <f>IFERROR(VLOOKUP(BG474,#REF!,1,0),"")</f>
        <v/>
      </c>
      <c r="AR474" s="450"/>
      <c r="AS474" s="259" t="s">
        <v>3222</v>
      </c>
      <c r="AT474" s="450"/>
      <c r="AW474" s="450"/>
      <c r="AX474" s="450"/>
      <c r="AY474" s="450"/>
      <c r="BD474" s="202" t="str">
        <f t="shared" si="74"/>
        <v>렉스턴 스포츠2.2 4WD 와일드 (A/T)</v>
      </c>
      <c r="BE474" s="261" t="str">
        <f t="shared" si="80"/>
        <v>0046</v>
      </c>
      <c r="BF474" s="407" t="s">
        <v>624</v>
      </c>
      <c r="BG474" s="202" t="str">
        <f t="shared" si="75"/>
        <v>0046-0473</v>
      </c>
    </row>
    <row r="475" spans="1:59">
      <c r="A475" s="405">
        <v>4249</v>
      </c>
      <c r="B475" s="406">
        <v>4249</v>
      </c>
      <c r="C475" s="261" t="str">
        <f t="shared" si="76"/>
        <v>0003-0046</v>
      </c>
      <c r="D475" s="261" t="str">
        <f t="shared" si="77"/>
        <v>0003-0046-0003</v>
      </c>
      <c r="E475" s="407" t="s">
        <v>623</v>
      </c>
      <c r="F475" s="261" t="str">
        <f>TEXT(VLOOKUP(J475,'[3]1'!$B$2:$D$37,2,0),"0000")</f>
        <v>0003</v>
      </c>
      <c r="G475" s="261" t="str">
        <f t="shared" si="78"/>
        <v>0046</v>
      </c>
      <c r="H475" s="408">
        <f t="shared" si="79"/>
        <v>3</v>
      </c>
      <c r="I475" s="407" t="s">
        <v>623</v>
      </c>
      <c r="J475" s="258" t="s">
        <v>728</v>
      </c>
      <c r="K475" s="258" t="s">
        <v>2733</v>
      </c>
      <c r="L475" s="258" t="s">
        <v>2374</v>
      </c>
      <c r="M475" s="409">
        <v>32600000</v>
      </c>
      <c r="N475" s="258">
        <v>2157</v>
      </c>
      <c r="O475" s="258" t="s">
        <v>78</v>
      </c>
      <c r="P475" s="258" t="s">
        <v>86</v>
      </c>
      <c r="Q475" s="258" t="s">
        <v>72</v>
      </c>
      <c r="R475" s="258">
        <v>5</v>
      </c>
      <c r="S475" s="410">
        <v>9</v>
      </c>
      <c r="T475" s="261">
        <v>6</v>
      </c>
      <c r="U475" s="261">
        <v>6</v>
      </c>
      <c r="V475" s="258" t="s">
        <v>71</v>
      </c>
      <c r="W475" s="261" t="str">
        <f t="shared" si="81"/>
        <v>쌍용자동차렉스턴 스포츠2.2 2WD 노블레스 (A/T)32600000</v>
      </c>
      <c r="X475" s="411">
        <f t="shared" si="82"/>
        <v>4249</v>
      </c>
      <c r="Y475" s="261">
        <v>6</v>
      </c>
      <c r="Z475" s="261">
        <v>6</v>
      </c>
      <c r="AA475" s="407" t="s">
        <v>623</v>
      </c>
      <c r="AB475" s="258" t="s">
        <v>73</v>
      </c>
      <c r="AC475" s="258"/>
      <c r="AD475" s="258" t="s">
        <v>2132</v>
      </c>
      <c r="AE475" s="258" t="s">
        <v>2129</v>
      </c>
      <c r="AF475" s="259"/>
      <c r="AG475" s="260"/>
      <c r="AH475" s="259"/>
      <c r="AI475" s="259"/>
      <c r="AJ475" s="260"/>
      <c r="AK475" s="259">
        <v>26</v>
      </c>
      <c r="AL475" s="259"/>
      <c r="AM475" s="259" t="s">
        <v>3222</v>
      </c>
      <c r="AN475" s="449"/>
      <c r="AO475" s="449"/>
      <c r="AP475" s="449"/>
      <c r="AQ475" s="392" t="str">
        <f>IFERROR(VLOOKUP(BG475,#REF!,1,0),"")</f>
        <v/>
      </c>
      <c r="AR475" s="450"/>
      <c r="AS475" s="259" t="s">
        <v>3222</v>
      </c>
      <c r="AT475" s="450"/>
      <c r="AW475" s="450"/>
      <c r="AX475" s="450"/>
      <c r="AY475" s="450"/>
      <c r="BD475" s="202" t="str">
        <f t="shared" si="74"/>
        <v>렉스턴 스포츠2.2 2WD 노블레스 (A/T)</v>
      </c>
      <c r="BE475" s="261" t="str">
        <f t="shared" si="80"/>
        <v>0046</v>
      </c>
      <c r="BF475" s="407" t="s">
        <v>623</v>
      </c>
      <c r="BG475" s="202" t="str">
        <f t="shared" si="75"/>
        <v>0046-0474</v>
      </c>
    </row>
    <row r="476" spans="1:59">
      <c r="A476" s="405">
        <v>4250</v>
      </c>
      <c r="B476" s="406">
        <v>4250</v>
      </c>
      <c r="C476" s="261" t="str">
        <f t="shared" si="76"/>
        <v>0003-0046</v>
      </c>
      <c r="D476" s="261" t="str">
        <f t="shared" si="77"/>
        <v>0003-0046-0004</v>
      </c>
      <c r="E476" s="407" t="s">
        <v>622</v>
      </c>
      <c r="F476" s="261" t="str">
        <f>TEXT(VLOOKUP(J476,'[3]1'!$B$2:$D$37,2,0),"0000")</f>
        <v>0003</v>
      </c>
      <c r="G476" s="261" t="str">
        <f t="shared" si="78"/>
        <v>0046</v>
      </c>
      <c r="H476" s="408">
        <f t="shared" si="79"/>
        <v>4</v>
      </c>
      <c r="I476" s="407" t="s">
        <v>622</v>
      </c>
      <c r="J476" s="258" t="s">
        <v>728</v>
      </c>
      <c r="K476" s="258" t="s">
        <v>2733</v>
      </c>
      <c r="L476" s="258" t="s">
        <v>2375</v>
      </c>
      <c r="M476" s="409">
        <v>24190000</v>
      </c>
      <c r="N476" s="258">
        <v>2157</v>
      </c>
      <c r="O476" s="258" t="s">
        <v>78</v>
      </c>
      <c r="P476" s="258" t="s">
        <v>86</v>
      </c>
      <c r="Q476" s="258" t="s">
        <v>88</v>
      </c>
      <c r="R476" s="258">
        <v>5</v>
      </c>
      <c r="S476" s="410">
        <v>9</v>
      </c>
      <c r="T476" s="261">
        <v>6</v>
      </c>
      <c r="U476" s="261">
        <v>6</v>
      </c>
      <c r="V476" s="258" t="s">
        <v>71</v>
      </c>
      <c r="W476" s="261" t="str">
        <f t="shared" si="81"/>
        <v>쌍용자동차렉스턴 스포츠2.2 2WD 와일드 (M/T)24190000</v>
      </c>
      <c r="X476" s="411">
        <f t="shared" si="82"/>
        <v>4250</v>
      </c>
      <c r="Y476" s="261">
        <v>6</v>
      </c>
      <c r="Z476" s="261">
        <v>6</v>
      </c>
      <c r="AA476" s="407" t="s">
        <v>622</v>
      </c>
      <c r="AB476" s="258" t="s">
        <v>73</v>
      </c>
      <c r="AC476" s="258"/>
      <c r="AD476" s="258" t="s">
        <v>2132</v>
      </c>
      <c r="AE476" s="258" t="s">
        <v>2129</v>
      </c>
      <c r="AF476" s="259"/>
      <c r="AG476" s="260"/>
      <c r="AH476" s="259"/>
      <c r="AI476" s="259"/>
      <c r="AJ476" s="260"/>
      <c r="AK476" s="259">
        <v>26</v>
      </c>
      <c r="AL476" s="259"/>
      <c r="AM476" s="259" t="s">
        <v>3222</v>
      </c>
      <c r="AN476" s="449"/>
      <c r="AO476" s="449"/>
      <c r="AP476" s="449"/>
      <c r="AQ476" s="392" t="str">
        <f>IFERROR(VLOOKUP(BG476,#REF!,1,0),"")</f>
        <v/>
      </c>
      <c r="AR476" s="450"/>
      <c r="AS476" s="259" t="s">
        <v>3222</v>
      </c>
      <c r="AT476" s="450"/>
      <c r="AW476" s="450"/>
      <c r="AX476" s="450"/>
      <c r="AY476" s="450"/>
      <c r="BD476" s="202" t="str">
        <f t="shared" si="74"/>
        <v>렉스턴 스포츠2.2 2WD 와일드 (M/T)</v>
      </c>
      <c r="BE476" s="261" t="str">
        <f t="shared" si="80"/>
        <v>0046</v>
      </c>
      <c r="BF476" s="407" t="s">
        <v>622</v>
      </c>
      <c r="BG476" s="202" t="str">
        <f t="shared" si="75"/>
        <v>0046-0475</v>
      </c>
    </row>
    <row r="477" spans="1:59">
      <c r="A477" s="405">
        <v>4251</v>
      </c>
      <c r="B477" s="406">
        <v>4251</v>
      </c>
      <c r="C477" s="261" t="str">
        <f t="shared" si="76"/>
        <v>0003-0046</v>
      </c>
      <c r="D477" s="261" t="str">
        <f t="shared" si="77"/>
        <v>0003-0046-0005</v>
      </c>
      <c r="E477" s="407" t="s">
        <v>621</v>
      </c>
      <c r="F477" s="261" t="str">
        <f>TEXT(VLOOKUP(J477,'[3]1'!$B$2:$D$37,2,0),"0000")</f>
        <v>0003</v>
      </c>
      <c r="G477" s="261" t="str">
        <f t="shared" si="78"/>
        <v>0046</v>
      </c>
      <c r="H477" s="408">
        <f t="shared" si="79"/>
        <v>5</v>
      </c>
      <c r="I477" s="407" t="s">
        <v>621</v>
      </c>
      <c r="J477" s="258" t="s">
        <v>728</v>
      </c>
      <c r="K477" s="258" t="s">
        <v>2733</v>
      </c>
      <c r="L477" s="258" t="s">
        <v>2376</v>
      </c>
      <c r="M477" s="409">
        <v>28950000</v>
      </c>
      <c r="N477" s="258">
        <v>2157</v>
      </c>
      <c r="O477" s="258" t="s">
        <v>78</v>
      </c>
      <c r="P477" s="258" t="s">
        <v>86</v>
      </c>
      <c r="Q477" s="258" t="s">
        <v>72</v>
      </c>
      <c r="R477" s="258">
        <v>5</v>
      </c>
      <c r="S477" s="410">
        <v>9</v>
      </c>
      <c r="T477" s="261">
        <v>6</v>
      </c>
      <c r="U477" s="261">
        <v>6</v>
      </c>
      <c r="V477" s="258" t="s">
        <v>71</v>
      </c>
      <c r="W477" s="261" t="str">
        <f t="shared" si="81"/>
        <v>쌍용자동차렉스턴 스포츠2.2 4WD 프레스티지 (A/T)28950000</v>
      </c>
      <c r="X477" s="411">
        <f t="shared" si="82"/>
        <v>4251</v>
      </c>
      <c r="Y477" s="261">
        <v>6</v>
      </c>
      <c r="Z477" s="261">
        <v>6</v>
      </c>
      <c r="AA477" s="407" t="s">
        <v>621</v>
      </c>
      <c r="AB477" s="258" t="s">
        <v>73</v>
      </c>
      <c r="AC477" s="258"/>
      <c r="AD477" s="258" t="s">
        <v>2132</v>
      </c>
      <c r="AE477" s="258" t="s">
        <v>2129</v>
      </c>
      <c r="AF477" s="259"/>
      <c r="AG477" s="260"/>
      <c r="AH477" s="259"/>
      <c r="AI477" s="259"/>
      <c r="AJ477" s="260"/>
      <c r="AK477" s="259">
        <v>26</v>
      </c>
      <c r="AL477" s="259"/>
      <c r="AM477" s="259" t="s">
        <v>3222</v>
      </c>
      <c r="AN477" s="449"/>
      <c r="AO477" s="449"/>
      <c r="AP477" s="449"/>
      <c r="AQ477" s="392" t="str">
        <f>IFERROR(VLOOKUP(BG477,#REF!,1,0),"")</f>
        <v/>
      </c>
      <c r="AR477" s="450"/>
      <c r="AS477" s="259" t="s">
        <v>3222</v>
      </c>
      <c r="AT477" s="450"/>
      <c r="AW477" s="450"/>
      <c r="AX477" s="450"/>
      <c r="AY477" s="450"/>
      <c r="BD477" s="202" t="str">
        <f t="shared" si="74"/>
        <v>렉스턴 스포츠2.2 4WD 프레스티지 (A/T)</v>
      </c>
      <c r="BE477" s="261" t="str">
        <f t="shared" si="80"/>
        <v>0046</v>
      </c>
      <c r="BF477" s="407" t="s">
        <v>621</v>
      </c>
      <c r="BG477" s="202" t="str">
        <f t="shared" si="75"/>
        <v>0046-0476</v>
      </c>
    </row>
    <row r="478" spans="1:59">
      <c r="A478" s="405">
        <v>4252</v>
      </c>
      <c r="B478" s="406">
        <v>4252</v>
      </c>
      <c r="C478" s="261" t="str">
        <f t="shared" si="76"/>
        <v>0003-0046</v>
      </c>
      <c r="D478" s="261" t="str">
        <f t="shared" si="77"/>
        <v>0003-0046-0006</v>
      </c>
      <c r="E478" s="407" t="s">
        <v>620</v>
      </c>
      <c r="F478" s="261" t="str">
        <f>TEXT(VLOOKUP(J478,'[3]1'!$B$2:$D$37,2,0),"0000")</f>
        <v>0003</v>
      </c>
      <c r="G478" s="261" t="str">
        <f t="shared" si="78"/>
        <v>0046</v>
      </c>
      <c r="H478" s="408">
        <f t="shared" si="79"/>
        <v>6</v>
      </c>
      <c r="I478" s="407" t="s">
        <v>620</v>
      </c>
      <c r="J478" s="258" t="s">
        <v>728</v>
      </c>
      <c r="K478" s="258" t="s">
        <v>2733</v>
      </c>
      <c r="L478" s="258" t="s">
        <v>2377</v>
      </c>
      <c r="M478" s="409">
        <v>25890000</v>
      </c>
      <c r="N478" s="258">
        <v>2157</v>
      </c>
      <c r="O478" s="258" t="s">
        <v>78</v>
      </c>
      <c r="P478" s="258" t="s">
        <v>86</v>
      </c>
      <c r="Q478" s="258" t="s">
        <v>72</v>
      </c>
      <c r="R478" s="258">
        <v>7</v>
      </c>
      <c r="S478" s="410">
        <v>9</v>
      </c>
      <c r="T478" s="261">
        <v>6</v>
      </c>
      <c r="U478" s="261">
        <v>6</v>
      </c>
      <c r="V478" s="258" t="s">
        <v>3329</v>
      </c>
      <c r="W478" s="261" t="str">
        <f t="shared" si="81"/>
        <v>쌍용자동차렉스턴 스포츠2.2 2WD 와일드 (A/T)25890000</v>
      </c>
      <c r="X478" s="411">
        <f t="shared" si="82"/>
        <v>4252</v>
      </c>
      <c r="Y478" s="261">
        <v>6</v>
      </c>
      <c r="Z478" s="261">
        <v>6</v>
      </c>
      <c r="AA478" s="407" t="s">
        <v>620</v>
      </c>
      <c r="AB478" s="258" t="s">
        <v>3346</v>
      </c>
      <c r="AC478" s="258"/>
      <c r="AD478" s="258" t="s">
        <v>2132</v>
      </c>
      <c r="AE478" s="258" t="s">
        <v>2129</v>
      </c>
      <c r="AF478" s="259"/>
      <c r="AG478" s="260"/>
      <c r="AH478" s="259"/>
      <c r="AI478" s="259"/>
      <c r="AJ478" s="260"/>
      <c r="AK478" s="259">
        <v>26</v>
      </c>
      <c r="AL478" s="259"/>
      <c r="AM478" s="259" t="s">
        <v>3222</v>
      </c>
      <c r="AN478" s="449"/>
      <c r="AO478" s="449"/>
      <c r="AP478" s="449"/>
      <c r="AQ478" s="392" t="str">
        <f>IFERROR(VLOOKUP(BG478,#REF!,1,0),"")</f>
        <v/>
      </c>
      <c r="AR478" s="450"/>
      <c r="AS478" s="259" t="s">
        <v>3222</v>
      </c>
      <c r="AT478" s="450"/>
      <c r="AW478" s="450"/>
      <c r="AX478" s="450"/>
      <c r="AY478" s="450"/>
      <c r="BD478" s="202" t="str">
        <f t="shared" si="74"/>
        <v>렉스턴 스포츠2.2 2WD 와일드 (A/T)</v>
      </c>
      <c r="BE478" s="261" t="str">
        <f t="shared" si="80"/>
        <v>0046</v>
      </c>
      <c r="BF478" s="407" t="s">
        <v>620</v>
      </c>
      <c r="BG478" s="202" t="str">
        <f t="shared" si="75"/>
        <v>0046-0477</v>
      </c>
    </row>
    <row r="479" spans="1:59">
      <c r="A479" s="405">
        <v>4253</v>
      </c>
      <c r="B479" s="406">
        <v>4253</v>
      </c>
      <c r="C479" s="261" t="str">
        <f t="shared" si="76"/>
        <v>0003-0046</v>
      </c>
      <c r="D479" s="261" t="str">
        <f t="shared" si="77"/>
        <v>0003-0046-0007</v>
      </c>
      <c r="E479" s="407" t="s">
        <v>619</v>
      </c>
      <c r="F479" s="261" t="str">
        <f>TEXT(VLOOKUP(J479,'[3]1'!$B$2:$D$37,2,0),"0000")</f>
        <v>0003</v>
      </c>
      <c r="G479" s="261" t="str">
        <f t="shared" si="78"/>
        <v>0046</v>
      </c>
      <c r="H479" s="408">
        <f t="shared" si="79"/>
        <v>7</v>
      </c>
      <c r="I479" s="407" t="s">
        <v>619</v>
      </c>
      <c r="J479" s="258" t="s">
        <v>728</v>
      </c>
      <c r="K479" s="258" t="s">
        <v>2733</v>
      </c>
      <c r="L479" s="258" t="s">
        <v>2378</v>
      </c>
      <c r="M479" s="409">
        <v>27150000</v>
      </c>
      <c r="N479" s="258">
        <v>2157</v>
      </c>
      <c r="O479" s="258" t="s">
        <v>78</v>
      </c>
      <c r="P479" s="258" t="s">
        <v>86</v>
      </c>
      <c r="Q479" s="258" t="s">
        <v>72</v>
      </c>
      <c r="R479" s="258">
        <v>7</v>
      </c>
      <c r="S479" s="410">
        <v>9</v>
      </c>
      <c r="T479" s="261">
        <v>6</v>
      </c>
      <c r="U479" s="261">
        <v>6</v>
      </c>
      <c r="V479" s="258" t="s">
        <v>3329</v>
      </c>
      <c r="W479" s="261" t="str">
        <f t="shared" si="81"/>
        <v>쌍용자동차렉스턴 스포츠2.2 2WD 프레스티지 (A/T)27150000</v>
      </c>
      <c r="X479" s="411">
        <f t="shared" si="82"/>
        <v>4253</v>
      </c>
      <c r="Y479" s="261">
        <v>6</v>
      </c>
      <c r="Z479" s="261">
        <v>6</v>
      </c>
      <c r="AA479" s="407" t="s">
        <v>619</v>
      </c>
      <c r="AB479" s="258" t="s">
        <v>3346</v>
      </c>
      <c r="AC479" s="258"/>
      <c r="AD479" s="258" t="s">
        <v>2132</v>
      </c>
      <c r="AE479" s="258" t="s">
        <v>2129</v>
      </c>
      <c r="AF479" s="259"/>
      <c r="AG479" s="260"/>
      <c r="AH479" s="259"/>
      <c r="AI479" s="259"/>
      <c r="AJ479" s="260"/>
      <c r="AK479" s="259">
        <v>26</v>
      </c>
      <c r="AL479" s="259"/>
      <c r="AM479" s="259" t="s">
        <v>3222</v>
      </c>
      <c r="AN479" s="449"/>
      <c r="AO479" s="449"/>
      <c r="AP479" s="449"/>
      <c r="AQ479" s="392" t="str">
        <f>IFERROR(VLOOKUP(BG479,#REF!,1,0),"")</f>
        <v/>
      </c>
      <c r="AR479" s="450"/>
      <c r="AS479" s="259" t="s">
        <v>3222</v>
      </c>
      <c r="AT479" s="450"/>
      <c r="AW479" s="450"/>
      <c r="AX479" s="450"/>
      <c r="AY479" s="450"/>
      <c r="BD479" s="202" t="str">
        <f t="shared" si="74"/>
        <v>렉스턴 스포츠2.2 2WD 프레스티지 (A/T)</v>
      </c>
      <c r="BE479" s="261" t="str">
        <f t="shared" si="80"/>
        <v>0046</v>
      </c>
      <c r="BF479" s="407" t="s">
        <v>619</v>
      </c>
      <c r="BG479" s="202" t="str">
        <f t="shared" si="75"/>
        <v>0046-0478</v>
      </c>
    </row>
    <row r="480" spans="1:59">
      <c r="A480" s="405">
        <v>4254</v>
      </c>
      <c r="B480" s="406">
        <v>4254</v>
      </c>
      <c r="C480" s="261" t="str">
        <f t="shared" si="76"/>
        <v>0003-0046</v>
      </c>
      <c r="D480" s="261" t="str">
        <f t="shared" si="77"/>
        <v>0003-0046-0008</v>
      </c>
      <c r="E480" s="407" t="s">
        <v>618</v>
      </c>
      <c r="F480" s="261" t="str">
        <f>TEXT(VLOOKUP(J480,'[3]1'!$B$2:$D$37,2,0),"0000")</f>
        <v>0003</v>
      </c>
      <c r="G480" s="261" t="str">
        <f t="shared" si="78"/>
        <v>0046</v>
      </c>
      <c r="H480" s="408">
        <f t="shared" si="79"/>
        <v>8</v>
      </c>
      <c r="I480" s="407" t="s">
        <v>618</v>
      </c>
      <c r="J480" s="258" t="s">
        <v>728</v>
      </c>
      <c r="K480" s="258" t="s">
        <v>2733</v>
      </c>
      <c r="L480" s="258" t="s">
        <v>2379</v>
      </c>
      <c r="M480" s="409">
        <v>34400000</v>
      </c>
      <c r="N480" s="258">
        <v>2157</v>
      </c>
      <c r="O480" s="258" t="s">
        <v>78</v>
      </c>
      <c r="P480" s="258" t="s">
        <v>86</v>
      </c>
      <c r="Q480" s="258" t="s">
        <v>72</v>
      </c>
      <c r="R480" s="258">
        <v>7</v>
      </c>
      <c r="S480" s="410">
        <v>9</v>
      </c>
      <c r="T480" s="261">
        <v>6</v>
      </c>
      <c r="U480" s="261">
        <v>6</v>
      </c>
      <c r="V480" s="258" t="s">
        <v>3329</v>
      </c>
      <c r="W480" s="261" t="str">
        <f t="shared" si="81"/>
        <v>쌍용자동차렉스턴 스포츠2.2 4WD 노블레스 (A/T)34400000</v>
      </c>
      <c r="X480" s="411">
        <f t="shared" si="82"/>
        <v>4254</v>
      </c>
      <c r="Y480" s="261">
        <v>6</v>
      </c>
      <c r="Z480" s="261">
        <v>6</v>
      </c>
      <c r="AA480" s="407" t="s">
        <v>618</v>
      </c>
      <c r="AB480" s="258" t="s">
        <v>3346</v>
      </c>
      <c r="AC480" s="258"/>
      <c r="AD480" s="258" t="s">
        <v>2132</v>
      </c>
      <c r="AE480" s="258" t="s">
        <v>2129</v>
      </c>
      <c r="AF480" s="259"/>
      <c r="AG480" s="260"/>
      <c r="AH480" s="259"/>
      <c r="AI480" s="259"/>
      <c r="AJ480" s="260"/>
      <c r="AK480" s="259">
        <v>26</v>
      </c>
      <c r="AL480" s="259"/>
      <c r="AM480" s="259" t="s">
        <v>3222</v>
      </c>
      <c r="AN480" s="449"/>
      <c r="AO480" s="449"/>
      <c r="AP480" s="449"/>
      <c r="AQ480" s="392" t="str">
        <f>IFERROR(VLOOKUP(BG480,#REF!,1,0),"")</f>
        <v/>
      </c>
      <c r="AR480" s="450"/>
      <c r="AS480" s="259" t="s">
        <v>3222</v>
      </c>
      <c r="AT480" s="450"/>
      <c r="AW480" s="450"/>
      <c r="AX480" s="450"/>
      <c r="AY480" s="450"/>
      <c r="BD480" s="202" t="str">
        <f t="shared" si="74"/>
        <v>렉스턴 스포츠2.2 4WD 노블레스 (A/T)</v>
      </c>
      <c r="BE480" s="261" t="str">
        <f t="shared" si="80"/>
        <v>0046</v>
      </c>
      <c r="BF480" s="407" t="s">
        <v>618</v>
      </c>
      <c r="BG480" s="202" t="str">
        <f t="shared" si="75"/>
        <v>0046-0479</v>
      </c>
    </row>
    <row r="481" spans="1:59">
      <c r="A481" s="405">
        <v>4255</v>
      </c>
      <c r="B481" s="406">
        <v>4255</v>
      </c>
      <c r="C481" s="261" t="str">
        <f t="shared" si="76"/>
        <v>0003-0046</v>
      </c>
      <c r="D481" s="261" t="str">
        <f t="shared" si="77"/>
        <v>0003-0046-0009</v>
      </c>
      <c r="E481" s="407" t="s">
        <v>617</v>
      </c>
      <c r="F481" s="261" t="str">
        <f>TEXT(VLOOKUP(J481,'[3]1'!$B$2:$D$37,2,0),"0000")</f>
        <v>0003</v>
      </c>
      <c r="G481" s="261" t="str">
        <f t="shared" si="78"/>
        <v>0046</v>
      </c>
      <c r="H481" s="408">
        <f t="shared" si="79"/>
        <v>9</v>
      </c>
      <c r="I481" s="407" t="s">
        <v>617</v>
      </c>
      <c r="J481" s="258" t="s">
        <v>728</v>
      </c>
      <c r="K481" s="258" t="s">
        <v>2733</v>
      </c>
      <c r="L481" s="258" t="s">
        <v>2380</v>
      </c>
      <c r="M481" s="409">
        <v>35100000</v>
      </c>
      <c r="N481" s="258">
        <v>2157</v>
      </c>
      <c r="O481" s="258" t="s">
        <v>77</v>
      </c>
      <c r="P481" s="258" t="s">
        <v>86</v>
      </c>
      <c r="Q481" s="258" t="s">
        <v>72</v>
      </c>
      <c r="R481" s="258">
        <v>7</v>
      </c>
      <c r="S481" s="410">
        <v>9</v>
      </c>
      <c r="T481" s="261">
        <v>6</v>
      </c>
      <c r="U481" s="261">
        <v>6</v>
      </c>
      <c r="V481" s="258" t="s">
        <v>3329</v>
      </c>
      <c r="W481" s="261" t="str">
        <f t="shared" si="81"/>
        <v>쌍용자동차렉스턴 스포츠칸 2WD 노블레스 (다이내믹 5링크 서스펜션) (A/T)35100000</v>
      </c>
      <c r="X481" s="411">
        <f t="shared" si="82"/>
        <v>4255</v>
      </c>
      <c r="Y481" s="261">
        <v>6</v>
      </c>
      <c r="Z481" s="261">
        <v>6</v>
      </c>
      <c r="AA481" s="407" t="s">
        <v>617</v>
      </c>
      <c r="AB481" s="258" t="s">
        <v>2806</v>
      </c>
      <c r="AC481" s="258"/>
      <c r="AD481" s="258" t="s">
        <v>2132</v>
      </c>
      <c r="AE481" s="258" t="s">
        <v>2129</v>
      </c>
      <c r="AF481" s="259"/>
      <c r="AG481" s="260"/>
      <c r="AH481" s="259"/>
      <c r="AI481" s="259"/>
      <c r="AJ481" s="260"/>
      <c r="AK481" s="259">
        <v>26</v>
      </c>
      <c r="AL481" s="259"/>
      <c r="AM481" s="259" t="s">
        <v>3222</v>
      </c>
      <c r="AN481" s="449"/>
      <c r="AO481" s="449"/>
      <c r="AP481" s="449"/>
      <c r="AQ481" s="392" t="str">
        <f>IFERROR(VLOOKUP(BG481,#REF!,1,0),"")</f>
        <v/>
      </c>
      <c r="AR481" s="450"/>
      <c r="AS481" s="259" t="s">
        <v>3222</v>
      </c>
      <c r="AT481" s="450"/>
      <c r="AW481" s="450"/>
      <c r="AX481" s="450"/>
      <c r="AY481" s="450"/>
      <c r="BD481" s="202" t="str">
        <f t="shared" si="74"/>
        <v>렉스턴 스포츠칸 2WD 노블레스 (다이내믹 5링크 서스펜션) (A/T)</v>
      </c>
      <c r="BE481" s="261" t="str">
        <f t="shared" si="80"/>
        <v>0046</v>
      </c>
      <c r="BF481" s="407" t="s">
        <v>617</v>
      </c>
      <c r="BG481" s="202" t="str">
        <f t="shared" si="75"/>
        <v>0046-0480</v>
      </c>
    </row>
    <row r="482" spans="1:59">
      <c r="A482" s="405">
        <v>4256</v>
      </c>
      <c r="B482" s="406">
        <v>4256</v>
      </c>
      <c r="C482" s="261" t="str">
        <f t="shared" si="76"/>
        <v>0003-0047</v>
      </c>
      <c r="D482" s="261" t="str">
        <f t="shared" si="77"/>
        <v>0003-0047-0001</v>
      </c>
      <c r="E482" s="407" t="s">
        <v>616</v>
      </c>
      <c r="F482" s="261" t="str">
        <f>TEXT(VLOOKUP(J482,'[3]1'!$B$2:$D$37,2,0),"0000")</f>
        <v>0003</v>
      </c>
      <c r="G482" s="261" t="str">
        <f t="shared" si="78"/>
        <v>0047</v>
      </c>
      <c r="H482" s="408">
        <f t="shared" si="79"/>
        <v>1</v>
      </c>
      <c r="I482" s="407" t="s">
        <v>616</v>
      </c>
      <c r="J482" s="258" t="s">
        <v>728</v>
      </c>
      <c r="K482" s="258" t="s">
        <v>2734</v>
      </c>
      <c r="L482" s="258" t="s">
        <v>2381</v>
      </c>
      <c r="M482" s="409"/>
      <c r="N482" s="258"/>
      <c r="O482" s="258" t="s">
        <v>78</v>
      </c>
      <c r="P482" s="258" t="s">
        <v>73</v>
      </c>
      <c r="Q482" s="258" t="s">
        <v>72</v>
      </c>
      <c r="R482" s="258">
        <v>5</v>
      </c>
      <c r="S482" s="410">
        <v>5</v>
      </c>
      <c r="T482" s="261">
        <v>6</v>
      </c>
      <c r="U482" s="261">
        <v>6</v>
      </c>
      <c r="V482" s="258" t="s">
        <v>71</v>
      </c>
      <c r="W482" s="261" t="str">
        <f t="shared" si="81"/>
        <v>쌍용자동차리스펙 티볼리V1 디젤</v>
      </c>
      <c r="X482" s="411">
        <f t="shared" si="82"/>
        <v>4256</v>
      </c>
      <c r="Y482" s="261">
        <v>6</v>
      </c>
      <c r="Z482" s="261">
        <v>6</v>
      </c>
      <c r="AA482" s="407" t="s">
        <v>616</v>
      </c>
      <c r="AB482" s="258" t="s">
        <v>73</v>
      </c>
      <c r="AC482" s="258"/>
      <c r="AD482" s="258" t="s">
        <v>2130</v>
      </c>
      <c r="AE482" s="258" t="s">
        <v>2129</v>
      </c>
      <c r="AF482" s="259"/>
      <c r="AG482" s="260"/>
      <c r="AH482" s="259"/>
      <c r="AI482" s="259"/>
      <c r="AJ482" s="260"/>
      <c r="AK482" s="259">
        <v>26</v>
      </c>
      <c r="AL482" s="259"/>
      <c r="AM482" s="259" t="s">
        <v>3224</v>
      </c>
      <c r="AN482" s="449"/>
      <c r="AO482" s="449"/>
      <c r="AP482" s="449"/>
      <c r="AQ482" s="392" t="str">
        <f>IFERROR(VLOOKUP(BG482,#REF!,1,0),"")</f>
        <v/>
      </c>
      <c r="AS482" s="259" t="s">
        <v>93</v>
      </c>
      <c r="AU482" s="392" t="s">
        <v>3354</v>
      </c>
      <c r="BD482" s="202" t="str">
        <f t="shared" si="74"/>
        <v>리스펙 티볼리V1 디젤</v>
      </c>
      <c r="BE482" s="261" t="str">
        <f t="shared" si="80"/>
        <v>0047</v>
      </c>
      <c r="BF482" s="407" t="s">
        <v>616</v>
      </c>
      <c r="BG482" s="202" t="str">
        <f t="shared" si="75"/>
        <v>0047-0481</v>
      </c>
    </row>
    <row r="483" spans="1:59">
      <c r="A483" s="405">
        <v>4257</v>
      </c>
      <c r="B483" s="406">
        <v>4257</v>
      </c>
      <c r="C483" s="261" t="str">
        <f t="shared" si="76"/>
        <v>0003-0047</v>
      </c>
      <c r="D483" s="261" t="str">
        <f t="shared" si="77"/>
        <v>0003-0047-0002</v>
      </c>
      <c r="E483" s="407" t="s">
        <v>615</v>
      </c>
      <c r="F483" s="261" t="str">
        <f>TEXT(VLOOKUP(J483,'[3]1'!$B$2:$D$37,2,0),"0000")</f>
        <v>0003</v>
      </c>
      <c r="G483" s="261" t="str">
        <f t="shared" si="78"/>
        <v>0047</v>
      </c>
      <c r="H483" s="408">
        <f t="shared" si="79"/>
        <v>2</v>
      </c>
      <c r="I483" s="407" t="s">
        <v>615</v>
      </c>
      <c r="J483" s="258" t="s">
        <v>728</v>
      </c>
      <c r="K483" s="258" t="s">
        <v>2734</v>
      </c>
      <c r="L483" s="258" t="s">
        <v>2382</v>
      </c>
      <c r="M483" s="409"/>
      <c r="N483" s="258"/>
      <c r="O483" s="258" t="s">
        <v>78</v>
      </c>
      <c r="P483" s="258" t="s">
        <v>73</v>
      </c>
      <c r="Q483" s="258" t="s">
        <v>72</v>
      </c>
      <c r="R483" s="258">
        <v>5</v>
      </c>
      <c r="S483" s="410">
        <v>5</v>
      </c>
      <c r="T483" s="261">
        <v>6</v>
      </c>
      <c r="U483" s="261">
        <v>6</v>
      </c>
      <c r="V483" s="258" t="s">
        <v>71</v>
      </c>
      <c r="W483" s="261" t="str">
        <f t="shared" si="81"/>
        <v>쌍용자동차리스펙 티볼리디젤 V3</v>
      </c>
      <c r="X483" s="411">
        <f t="shared" si="82"/>
        <v>4257</v>
      </c>
      <c r="Y483" s="261">
        <v>6</v>
      </c>
      <c r="Z483" s="261">
        <v>6</v>
      </c>
      <c r="AA483" s="407" t="s">
        <v>615</v>
      </c>
      <c r="AB483" s="258" t="s">
        <v>73</v>
      </c>
      <c r="AC483" s="258"/>
      <c r="AD483" s="258" t="s">
        <v>2130</v>
      </c>
      <c r="AE483" s="258" t="s">
        <v>2129</v>
      </c>
      <c r="AF483" s="259"/>
      <c r="AG483" s="260"/>
      <c r="AH483" s="259"/>
      <c r="AI483" s="259"/>
      <c r="AJ483" s="260"/>
      <c r="AK483" s="259">
        <v>26</v>
      </c>
      <c r="AL483" s="259"/>
      <c r="AM483" s="259" t="s">
        <v>3224</v>
      </c>
      <c r="AN483" s="449"/>
      <c r="AO483" s="449"/>
      <c r="AP483" s="449"/>
      <c r="AQ483" s="392" t="str">
        <f>IFERROR(VLOOKUP(BG483,#REF!,1,0),"")</f>
        <v/>
      </c>
      <c r="AS483" s="259" t="s">
        <v>93</v>
      </c>
      <c r="AU483" s="392" t="s">
        <v>3354</v>
      </c>
      <c r="BD483" s="202" t="str">
        <f t="shared" si="74"/>
        <v>리스펙 티볼리디젤 V3</v>
      </c>
      <c r="BE483" s="261" t="str">
        <f t="shared" si="80"/>
        <v>0047</v>
      </c>
      <c r="BF483" s="407" t="s">
        <v>615</v>
      </c>
      <c r="BG483" s="202" t="str">
        <f t="shared" si="75"/>
        <v>0047-0482</v>
      </c>
    </row>
    <row r="484" spans="1:59">
      <c r="A484" s="405">
        <v>4258</v>
      </c>
      <c r="B484" s="406">
        <v>4258</v>
      </c>
      <c r="C484" s="261" t="str">
        <f t="shared" si="76"/>
        <v>0003-0047</v>
      </c>
      <c r="D484" s="261" t="str">
        <f t="shared" si="77"/>
        <v>0003-0047-0003</v>
      </c>
      <c r="E484" s="407" t="s">
        <v>614</v>
      </c>
      <c r="F484" s="261" t="str">
        <f>TEXT(VLOOKUP(J484,'[3]1'!$B$2:$D$37,2,0),"0000")</f>
        <v>0003</v>
      </c>
      <c r="G484" s="261" t="str">
        <f t="shared" si="78"/>
        <v>0047</v>
      </c>
      <c r="H484" s="408">
        <f t="shared" si="79"/>
        <v>3</v>
      </c>
      <c r="I484" s="407" t="s">
        <v>614</v>
      </c>
      <c r="J484" s="258" t="s">
        <v>728</v>
      </c>
      <c r="K484" s="258" t="s">
        <v>2734</v>
      </c>
      <c r="L484" s="258" t="s">
        <v>2383</v>
      </c>
      <c r="M484" s="409"/>
      <c r="N484" s="258"/>
      <c r="O484" s="258" t="s">
        <v>78</v>
      </c>
      <c r="P484" s="258" t="s">
        <v>73</v>
      </c>
      <c r="Q484" s="258" t="s">
        <v>72</v>
      </c>
      <c r="R484" s="258">
        <v>5</v>
      </c>
      <c r="S484" s="410">
        <v>5</v>
      </c>
      <c r="T484" s="261">
        <v>6</v>
      </c>
      <c r="U484" s="261">
        <v>6</v>
      </c>
      <c r="V484" s="258" t="s">
        <v>71</v>
      </c>
      <c r="W484" s="261" t="str">
        <f t="shared" si="81"/>
        <v>쌍용자동차리스펙 티볼리V7 디젤</v>
      </c>
      <c r="X484" s="411">
        <f t="shared" si="82"/>
        <v>4258</v>
      </c>
      <c r="Y484" s="261">
        <v>6</v>
      </c>
      <c r="Z484" s="261">
        <v>6</v>
      </c>
      <c r="AA484" s="407" t="s">
        <v>614</v>
      </c>
      <c r="AB484" s="258" t="s">
        <v>73</v>
      </c>
      <c r="AC484" s="258"/>
      <c r="AD484" s="258" t="s">
        <v>2130</v>
      </c>
      <c r="AE484" s="258" t="s">
        <v>2129</v>
      </c>
      <c r="AF484" s="259"/>
      <c r="AG484" s="260"/>
      <c r="AH484" s="259"/>
      <c r="AI484" s="259"/>
      <c r="AJ484" s="260"/>
      <c r="AK484" s="259">
        <v>26</v>
      </c>
      <c r="AL484" s="259"/>
      <c r="AM484" s="259" t="s">
        <v>3224</v>
      </c>
      <c r="AN484" s="449"/>
      <c r="AO484" s="449"/>
      <c r="AP484" s="449"/>
      <c r="AQ484" s="392" t="str">
        <f>IFERROR(VLOOKUP(BG484,#REF!,1,0),"")</f>
        <v/>
      </c>
      <c r="AS484" s="259" t="s">
        <v>93</v>
      </c>
      <c r="AU484" s="392" t="s">
        <v>3354</v>
      </c>
      <c r="BD484" s="202" t="str">
        <f t="shared" si="74"/>
        <v>리스펙 티볼리V7 디젤</v>
      </c>
      <c r="BE484" s="261" t="str">
        <f t="shared" si="80"/>
        <v>0047</v>
      </c>
      <c r="BF484" s="407" t="s">
        <v>614</v>
      </c>
      <c r="BG484" s="202" t="str">
        <f t="shared" si="75"/>
        <v>0047-0483</v>
      </c>
    </row>
    <row r="485" spans="1:59">
      <c r="A485" s="405">
        <v>4259</v>
      </c>
      <c r="B485" s="406">
        <v>4259</v>
      </c>
      <c r="C485" s="261" t="str">
        <f t="shared" si="76"/>
        <v>0003-0047</v>
      </c>
      <c r="D485" s="261" t="str">
        <f t="shared" si="77"/>
        <v>0003-0047-0004</v>
      </c>
      <c r="E485" s="407" t="s">
        <v>613</v>
      </c>
      <c r="F485" s="261" t="str">
        <f>TEXT(VLOOKUP(J485,'[3]1'!$B$2:$D$37,2,0),"0000")</f>
        <v>0003</v>
      </c>
      <c r="G485" s="261" t="str">
        <f t="shared" si="78"/>
        <v>0047</v>
      </c>
      <c r="H485" s="408">
        <f t="shared" si="79"/>
        <v>4</v>
      </c>
      <c r="I485" s="407" t="s">
        <v>613</v>
      </c>
      <c r="J485" s="258" t="s">
        <v>728</v>
      </c>
      <c r="K485" s="258" t="s">
        <v>2734</v>
      </c>
      <c r="L485" s="258" t="s">
        <v>2384</v>
      </c>
      <c r="M485" s="409"/>
      <c r="N485" s="258"/>
      <c r="O485" s="258" t="s">
        <v>78</v>
      </c>
      <c r="P485" s="258" t="s">
        <v>73</v>
      </c>
      <c r="Q485" s="258" t="s">
        <v>72</v>
      </c>
      <c r="R485" s="258">
        <v>7</v>
      </c>
      <c r="S485" s="410">
        <v>5</v>
      </c>
      <c r="T485" s="261">
        <v>6</v>
      </c>
      <c r="U485" s="261">
        <v>6</v>
      </c>
      <c r="V485" s="258" t="s">
        <v>71</v>
      </c>
      <c r="W485" s="261" t="str">
        <f t="shared" si="81"/>
        <v>쌍용자동차리스펙 티볼리디젤 V5</v>
      </c>
      <c r="X485" s="411">
        <f t="shared" si="82"/>
        <v>4259</v>
      </c>
      <c r="Y485" s="261">
        <v>6</v>
      </c>
      <c r="Z485" s="261">
        <v>6</v>
      </c>
      <c r="AA485" s="407" t="s">
        <v>613</v>
      </c>
      <c r="AB485" s="258" t="s">
        <v>73</v>
      </c>
      <c r="AC485" s="258"/>
      <c r="AD485" s="258" t="s">
        <v>2130</v>
      </c>
      <c r="AE485" s="258" t="s">
        <v>2129</v>
      </c>
      <c r="AF485" s="259"/>
      <c r="AG485" s="260"/>
      <c r="AH485" s="259"/>
      <c r="AI485" s="259"/>
      <c r="AJ485" s="260"/>
      <c r="AK485" s="259">
        <v>26</v>
      </c>
      <c r="AL485" s="259"/>
      <c r="AM485" s="259" t="s">
        <v>3224</v>
      </c>
      <c r="AN485" s="449"/>
      <c r="AO485" s="449"/>
      <c r="AP485" s="449"/>
      <c r="AQ485" s="392" t="str">
        <f>IFERROR(VLOOKUP(BG485,#REF!,1,0),"")</f>
        <v/>
      </c>
      <c r="AS485" s="259" t="s">
        <v>93</v>
      </c>
      <c r="AU485" s="392" t="s">
        <v>3354</v>
      </c>
      <c r="BD485" s="202" t="str">
        <f t="shared" si="74"/>
        <v>리스펙 티볼리디젤 V5</v>
      </c>
      <c r="BE485" s="261" t="str">
        <f t="shared" si="80"/>
        <v>0047</v>
      </c>
      <c r="BF485" s="407" t="s">
        <v>613</v>
      </c>
      <c r="BG485" s="202" t="str">
        <f t="shared" si="75"/>
        <v>0047-0484</v>
      </c>
    </row>
    <row r="486" spans="1:59">
      <c r="A486" s="405">
        <v>4260</v>
      </c>
      <c r="B486" s="406">
        <v>4260</v>
      </c>
      <c r="C486" s="261" t="str">
        <f t="shared" si="76"/>
        <v>0003-0047</v>
      </c>
      <c r="D486" s="261" t="str">
        <f t="shared" si="77"/>
        <v>0003-0047-0005</v>
      </c>
      <c r="E486" s="407" t="s">
        <v>612</v>
      </c>
      <c r="F486" s="261" t="str">
        <f>TEXT(VLOOKUP(J486,'[3]1'!$B$2:$D$37,2,0),"0000")</f>
        <v>0003</v>
      </c>
      <c r="G486" s="261" t="str">
        <f t="shared" si="78"/>
        <v>0047</v>
      </c>
      <c r="H486" s="408">
        <f t="shared" si="79"/>
        <v>5</v>
      </c>
      <c r="I486" s="407" t="s">
        <v>612</v>
      </c>
      <c r="J486" s="258" t="s">
        <v>728</v>
      </c>
      <c r="K486" s="258" t="s">
        <v>2734</v>
      </c>
      <c r="L486" s="258" t="s">
        <v>2385</v>
      </c>
      <c r="M486" s="409">
        <v>20510000</v>
      </c>
      <c r="N486" s="258">
        <v>1497</v>
      </c>
      <c r="O486" s="258" t="s">
        <v>77</v>
      </c>
      <c r="P486" s="258" t="s">
        <v>73</v>
      </c>
      <c r="Q486" s="258" t="s">
        <v>72</v>
      </c>
      <c r="R486" s="258">
        <v>7</v>
      </c>
      <c r="S486" s="410">
        <v>7</v>
      </c>
      <c r="T486" s="261">
        <v>6</v>
      </c>
      <c r="U486" s="261">
        <v>6</v>
      </c>
      <c r="V486" s="258" t="s">
        <v>71</v>
      </c>
      <c r="W486" s="261" t="str">
        <f t="shared" si="81"/>
        <v>쌍용자동차리스펙 티볼리가솔린 V320510000</v>
      </c>
      <c r="X486" s="411">
        <f t="shared" si="82"/>
        <v>4260</v>
      </c>
      <c r="Y486" s="261">
        <v>6</v>
      </c>
      <c r="Z486" s="261">
        <v>6</v>
      </c>
      <c r="AA486" s="407" t="s">
        <v>612</v>
      </c>
      <c r="AB486" s="258" t="s">
        <v>73</v>
      </c>
      <c r="AC486" s="258"/>
      <c r="AD486" s="258" t="s">
        <v>2130</v>
      </c>
      <c r="AE486" s="258" t="s">
        <v>2129</v>
      </c>
      <c r="AF486" s="259"/>
      <c r="AG486" s="260"/>
      <c r="AH486" s="259"/>
      <c r="AI486" s="259"/>
      <c r="AJ486" s="260"/>
      <c r="AK486" s="259">
        <v>26</v>
      </c>
      <c r="AL486" s="259"/>
      <c r="AM486" s="259" t="s">
        <v>3229</v>
      </c>
      <c r="AN486" s="449"/>
      <c r="AO486" s="449"/>
      <c r="AP486" s="449"/>
      <c r="AQ486" s="392" t="str">
        <f>IFERROR(VLOOKUP(BG486,#REF!,1,0),"")</f>
        <v/>
      </c>
      <c r="AS486" s="259" t="s">
        <v>3229</v>
      </c>
      <c r="BD486" s="202" t="str">
        <f t="shared" si="74"/>
        <v>리스펙 티볼리가솔린 V3</v>
      </c>
      <c r="BE486" s="261" t="str">
        <f t="shared" si="80"/>
        <v>0047</v>
      </c>
      <c r="BF486" s="407" t="s">
        <v>612</v>
      </c>
      <c r="BG486" s="202" t="str">
        <f t="shared" si="75"/>
        <v>0047-0485</v>
      </c>
    </row>
    <row r="487" spans="1:59">
      <c r="A487" s="405">
        <v>4261</v>
      </c>
      <c r="B487" s="406">
        <v>4261</v>
      </c>
      <c r="C487" s="261" t="str">
        <f t="shared" si="76"/>
        <v>0003-0047</v>
      </c>
      <c r="D487" s="261" t="str">
        <f t="shared" si="77"/>
        <v>0003-0047-0006</v>
      </c>
      <c r="E487" s="407" t="s">
        <v>611</v>
      </c>
      <c r="F487" s="261" t="str">
        <f>TEXT(VLOOKUP(J487,'[3]1'!$B$2:$D$37,2,0),"0000")</f>
        <v>0003</v>
      </c>
      <c r="G487" s="261" t="str">
        <f t="shared" si="78"/>
        <v>0047</v>
      </c>
      <c r="H487" s="408">
        <f t="shared" si="79"/>
        <v>6</v>
      </c>
      <c r="I487" s="407" t="s">
        <v>611</v>
      </c>
      <c r="J487" s="258" t="s">
        <v>728</v>
      </c>
      <c r="K487" s="258" t="s">
        <v>2734</v>
      </c>
      <c r="L487" s="258" t="s">
        <v>2386</v>
      </c>
      <c r="M487" s="409">
        <v>23550000</v>
      </c>
      <c r="N487" s="258">
        <v>1497</v>
      </c>
      <c r="O487" s="258" t="s">
        <v>77</v>
      </c>
      <c r="P487" s="258" t="s">
        <v>73</v>
      </c>
      <c r="Q487" s="258" t="s">
        <v>72</v>
      </c>
      <c r="R487" s="258">
        <v>7</v>
      </c>
      <c r="S487" s="410">
        <v>7</v>
      </c>
      <c r="T487" s="261">
        <v>6</v>
      </c>
      <c r="U487" s="261">
        <v>6</v>
      </c>
      <c r="V487" s="258" t="s">
        <v>71</v>
      </c>
      <c r="W487" s="261" t="str">
        <f t="shared" si="81"/>
        <v>쌍용자동차리스펙 티볼리V7 가솔린23550000</v>
      </c>
      <c r="X487" s="411">
        <f t="shared" si="82"/>
        <v>4261</v>
      </c>
      <c r="Y487" s="261">
        <v>6</v>
      </c>
      <c r="Z487" s="261">
        <v>6</v>
      </c>
      <c r="AA487" s="407" t="s">
        <v>611</v>
      </c>
      <c r="AB487" s="258" t="s">
        <v>73</v>
      </c>
      <c r="AC487" s="258"/>
      <c r="AD487" s="258" t="s">
        <v>2130</v>
      </c>
      <c r="AE487" s="258" t="s">
        <v>2129</v>
      </c>
      <c r="AF487" s="259"/>
      <c r="AG487" s="260"/>
      <c r="AH487" s="259"/>
      <c r="AI487" s="259"/>
      <c r="AJ487" s="260"/>
      <c r="AK487" s="259">
        <v>26</v>
      </c>
      <c r="AL487" s="259"/>
      <c r="AM487" s="259" t="s">
        <v>3229</v>
      </c>
      <c r="AN487" s="449"/>
      <c r="AO487" s="449"/>
      <c r="AP487" s="449"/>
      <c r="AQ487" s="392" t="str">
        <f>IFERROR(VLOOKUP(BG487,#REF!,1,0),"")</f>
        <v/>
      </c>
      <c r="AS487" s="259" t="s">
        <v>3229</v>
      </c>
      <c r="BD487" s="202" t="str">
        <f t="shared" si="74"/>
        <v>리스펙 티볼리V7 가솔린</v>
      </c>
      <c r="BE487" s="261" t="str">
        <f t="shared" si="80"/>
        <v>0047</v>
      </c>
      <c r="BF487" s="407" t="s">
        <v>611</v>
      </c>
      <c r="BG487" s="202" t="str">
        <f t="shared" si="75"/>
        <v>0047-0486</v>
      </c>
    </row>
    <row r="488" spans="1:59">
      <c r="A488" s="405">
        <v>4262</v>
      </c>
      <c r="B488" s="406">
        <v>4262</v>
      </c>
      <c r="C488" s="261" t="str">
        <f t="shared" si="76"/>
        <v>0003-0047</v>
      </c>
      <c r="D488" s="261" t="str">
        <f t="shared" si="77"/>
        <v>0003-0047-0007</v>
      </c>
      <c r="E488" s="407" t="s">
        <v>610</v>
      </c>
      <c r="F488" s="261" t="str">
        <f>TEXT(VLOOKUP(J488,'[3]1'!$B$2:$D$37,2,0),"0000")</f>
        <v>0003</v>
      </c>
      <c r="G488" s="261" t="str">
        <f t="shared" si="78"/>
        <v>0047</v>
      </c>
      <c r="H488" s="408">
        <f t="shared" si="79"/>
        <v>7</v>
      </c>
      <c r="I488" s="407" t="s">
        <v>610</v>
      </c>
      <c r="J488" s="258" t="s">
        <v>728</v>
      </c>
      <c r="K488" s="258" t="s">
        <v>2734</v>
      </c>
      <c r="L488" s="258" t="s">
        <v>2387</v>
      </c>
      <c r="M488" s="409">
        <v>22930000</v>
      </c>
      <c r="N488" s="258">
        <v>1497</v>
      </c>
      <c r="O488" s="258" t="s">
        <v>77</v>
      </c>
      <c r="P488" s="258" t="s">
        <v>73</v>
      </c>
      <c r="Q488" s="258" t="s">
        <v>72</v>
      </c>
      <c r="R488" s="258">
        <v>7</v>
      </c>
      <c r="S488" s="410">
        <v>7</v>
      </c>
      <c r="T488" s="261">
        <v>6</v>
      </c>
      <c r="U488" s="261">
        <v>6</v>
      </c>
      <c r="V488" s="258" t="s">
        <v>71</v>
      </c>
      <c r="W488" s="261" t="str">
        <f t="shared" si="81"/>
        <v>쌍용자동차리스펙 티볼리가솔린 V522930000</v>
      </c>
      <c r="X488" s="411">
        <f t="shared" si="82"/>
        <v>4262</v>
      </c>
      <c r="Y488" s="261">
        <v>6</v>
      </c>
      <c r="Z488" s="261">
        <v>6</v>
      </c>
      <c r="AA488" s="407" t="s">
        <v>610</v>
      </c>
      <c r="AB488" s="258" t="s">
        <v>73</v>
      </c>
      <c r="AC488" s="258"/>
      <c r="AD488" s="258" t="s">
        <v>2130</v>
      </c>
      <c r="AE488" s="258" t="s">
        <v>2129</v>
      </c>
      <c r="AF488" s="259"/>
      <c r="AG488" s="260"/>
      <c r="AH488" s="259"/>
      <c r="AI488" s="259"/>
      <c r="AJ488" s="260"/>
      <c r="AK488" s="259">
        <v>26</v>
      </c>
      <c r="AL488" s="259"/>
      <c r="AM488" s="259" t="s">
        <v>3229</v>
      </c>
      <c r="AN488" s="449"/>
      <c r="AO488" s="449"/>
      <c r="AP488" s="449"/>
      <c r="AQ488" s="392" t="str">
        <f>IFERROR(VLOOKUP(BG488,#REF!,1,0),"")</f>
        <v/>
      </c>
      <c r="AS488" s="259" t="s">
        <v>3229</v>
      </c>
      <c r="BD488" s="202" t="str">
        <f t="shared" si="74"/>
        <v>리스펙 티볼리가솔린 V5</v>
      </c>
      <c r="BE488" s="261" t="str">
        <f t="shared" si="80"/>
        <v>0047</v>
      </c>
      <c r="BF488" s="407" t="s">
        <v>610</v>
      </c>
      <c r="BG488" s="202" t="str">
        <f t="shared" si="75"/>
        <v>0047-0487</v>
      </c>
    </row>
    <row r="489" spans="1:59">
      <c r="A489" s="405">
        <v>4263</v>
      </c>
      <c r="B489" s="406">
        <v>4263</v>
      </c>
      <c r="C489" s="261" t="str">
        <f t="shared" si="76"/>
        <v>0003-0047</v>
      </c>
      <c r="D489" s="261" t="str">
        <f t="shared" si="77"/>
        <v>0003-0047-0008</v>
      </c>
      <c r="E489" s="407" t="s">
        <v>609</v>
      </c>
      <c r="F489" s="261" t="str">
        <f>TEXT(VLOOKUP(J489,'[3]1'!$B$2:$D$37,2,0),"0000")</f>
        <v>0003</v>
      </c>
      <c r="G489" s="261" t="str">
        <f t="shared" si="78"/>
        <v>0047</v>
      </c>
      <c r="H489" s="408">
        <f t="shared" si="79"/>
        <v>8</v>
      </c>
      <c r="I489" s="407" t="s">
        <v>609</v>
      </c>
      <c r="J489" s="258" t="s">
        <v>728</v>
      </c>
      <c r="K489" s="258" t="s">
        <v>2734</v>
      </c>
      <c r="L489" s="258" t="s">
        <v>2388</v>
      </c>
      <c r="M489" s="409">
        <v>18430000</v>
      </c>
      <c r="N489" s="258">
        <v>1497</v>
      </c>
      <c r="O489" s="258" t="s">
        <v>77</v>
      </c>
      <c r="P489" s="258" t="s">
        <v>73</v>
      </c>
      <c r="Q489" s="258" t="s">
        <v>72</v>
      </c>
      <c r="R489" s="258">
        <v>5</v>
      </c>
      <c r="S489" s="410">
        <v>7</v>
      </c>
      <c r="T489" s="261">
        <v>6</v>
      </c>
      <c r="U489" s="261">
        <v>6</v>
      </c>
      <c r="V489" s="258" t="s">
        <v>71</v>
      </c>
      <c r="W489" s="261" t="str">
        <f t="shared" si="81"/>
        <v>쌍용자동차리스펙 티볼리가솔린 V1(A/T)18430000</v>
      </c>
      <c r="X489" s="411">
        <f t="shared" si="82"/>
        <v>4263</v>
      </c>
      <c r="Y489" s="261">
        <v>6</v>
      </c>
      <c r="Z489" s="261">
        <v>6</v>
      </c>
      <c r="AA489" s="407" t="s">
        <v>609</v>
      </c>
      <c r="AB489" s="258" t="s">
        <v>73</v>
      </c>
      <c r="AC489" s="258"/>
      <c r="AD489" s="258" t="s">
        <v>2130</v>
      </c>
      <c r="AE489" s="258" t="s">
        <v>2129</v>
      </c>
      <c r="AF489" s="259"/>
      <c r="AG489" s="260"/>
      <c r="AH489" s="259"/>
      <c r="AI489" s="259"/>
      <c r="AJ489" s="260"/>
      <c r="AK489" s="259">
        <v>26</v>
      </c>
      <c r="AL489" s="259"/>
      <c r="AM489" s="259" t="s">
        <v>3229</v>
      </c>
      <c r="AN489" s="449"/>
      <c r="AO489" s="449"/>
      <c r="AP489" s="449"/>
      <c r="AQ489" s="392" t="str">
        <f>IFERROR(VLOOKUP(BG489,#REF!,1,0),"")</f>
        <v/>
      </c>
      <c r="AS489" s="259" t="s">
        <v>3229</v>
      </c>
      <c r="BD489" s="202" t="str">
        <f t="shared" si="74"/>
        <v>리스펙 티볼리가솔린 V1(A/T)</v>
      </c>
      <c r="BE489" s="261" t="str">
        <f t="shared" si="80"/>
        <v>0047</v>
      </c>
      <c r="BF489" s="407" t="s">
        <v>609</v>
      </c>
      <c r="BG489" s="202" t="str">
        <f t="shared" si="75"/>
        <v>0047-0488</v>
      </c>
    </row>
    <row r="490" spans="1:59">
      <c r="A490" s="405">
        <v>4264</v>
      </c>
      <c r="B490" s="406">
        <v>4264</v>
      </c>
      <c r="C490" s="261" t="str">
        <f t="shared" si="76"/>
        <v>0003-0047</v>
      </c>
      <c r="D490" s="261" t="str">
        <f t="shared" si="77"/>
        <v>0003-0047-0009</v>
      </c>
      <c r="E490" s="407" t="s">
        <v>608</v>
      </c>
      <c r="F490" s="261" t="str">
        <f>TEXT(VLOOKUP(J490,'[3]1'!$B$2:$D$37,2,0),"0000")</f>
        <v>0003</v>
      </c>
      <c r="G490" s="261" t="str">
        <f t="shared" si="78"/>
        <v>0047</v>
      </c>
      <c r="H490" s="408">
        <f t="shared" si="79"/>
        <v>9</v>
      </c>
      <c r="I490" s="407" t="s">
        <v>608</v>
      </c>
      <c r="J490" s="258" t="s">
        <v>728</v>
      </c>
      <c r="K490" s="258" t="s">
        <v>2734</v>
      </c>
      <c r="L490" s="258" t="s">
        <v>3170</v>
      </c>
      <c r="M490" s="409">
        <v>24560000</v>
      </c>
      <c r="N490" s="258">
        <v>1497</v>
      </c>
      <c r="O490" s="258" t="s">
        <v>77</v>
      </c>
      <c r="P490" s="258" t="s">
        <v>73</v>
      </c>
      <c r="Q490" s="258" t="s">
        <v>72</v>
      </c>
      <c r="R490" s="258">
        <v>5</v>
      </c>
      <c r="S490" s="410">
        <v>7</v>
      </c>
      <c r="T490" s="261">
        <v>6</v>
      </c>
      <c r="U490" s="261">
        <v>6</v>
      </c>
      <c r="V490" s="258" t="s">
        <v>1969</v>
      </c>
      <c r="W490" s="261" t="str">
        <f t="shared" si="81"/>
        <v>쌍용자동차리스펙 티볼리업비트 2WD24560000</v>
      </c>
      <c r="X490" s="411">
        <f t="shared" si="82"/>
        <v>4264</v>
      </c>
      <c r="Y490" s="261">
        <v>6</v>
      </c>
      <c r="Z490" s="261">
        <v>6</v>
      </c>
      <c r="AA490" s="407" t="s">
        <v>608</v>
      </c>
      <c r="AB490" s="258" t="s">
        <v>1965</v>
      </c>
      <c r="AC490" s="258"/>
      <c r="AD490" s="258"/>
      <c r="AE490" s="258"/>
      <c r="AF490" s="259"/>
      <c r="AG490" s="260"/>
      <c r="AH490" s="259"/>
      <c r="AI490" s="259"/>
      <c r="AJ490" s="260"/>
      <c r="AK490" s="259">
        <v>26</v>
      </c>
      <c r="AL490" s="259"/>
      <c r="AM490" s="259" t="s">
        <v>3069</v>
      </c>
      <c r="AN490" s="449"/>
      <c r="AO490" s="449"/>
      <c r="AP490" s="449"/>
      <c r="AQ490" s="392" t="str">
        <f>IFERROR(VLOOKUP(BG490,#REF!,1,0),"")</f>
        <v/>
      </c>
      <c r="AS490" s="259" t="s">
        <v>3229</v>
      </c>
      <c r="AT490" s="392" t="s">
        <v>3171</v>
      </c>
      <c r="BD490" s="202" t="str">
        <f t="shared" si="74"/>
        <v>리스펙 티볼리업비트 2WD</v>
      </c>
      <c r="BE490" s="261" t="str">
        <f t="shared" si="80"/>
        <v>0047</v>
      </c>
      <c r="BF490" s="407" t="s">
        <v>608</v>
      </c>
      <c r="BG490" s="202" t="str">
        <f t="shared" si="75"/>
        <v>0047-0489</v>
      </c>
    </row>
    <row r="491" spans="1:59">
      <c r="A491" s="405">
        <v>4265</v>
      </c>
      <c r="B491" s="406">
        <v>4265</v>
      </c>
      <c r="C491" s="261" t="str">
        <f t="shared" si="76"/>
        <v>0003-0047</v>
      </c>
      <c r="D491" s="261" t="str">
        <f t="shared" si="77"/>
        <v>0003-0047-0010</v>
      </c>
      <c r="E491" s="407" t="s">
        <v>607</v>
      </c>
      <c r="F491" s="261" t="str">
        <f>TEXT(VLOOKUP(J491,'[3]1'!$B$2:$D$37,2,0),"0000")</f>
        <v>0003</v>
      </c>
      <c r="G491" s="261" t="str">
        <f t="shared" si="78"/>
        <v>0047</v>
      </c>
      <c r="H491" s="408">
        <f t="shared" si="79"/>
        <v>10</v>
      </c>
      <c r="I491" s="407" t="s">
        <v>607</v>
      </c>
      <c r="J491" s="258" t="s">
        <v>728</v>
      </c>
      <c r="K491" s="258" t="s">
        <v>2734</v>
      </c>
      <c r="L491" s="258" t="s">
        <v>3172</v>
      </c>
      <c r="M491" s="409">
        <v>26430000</v>
      </c>
      <c r="N491" s="258">
        <v>1497</v>
      </c>
      <c r="O491" s="258" t="s">
        <v>77</v>
      </c>
      <c r="P491" s="258" t="s">
        <v>73</v>
      </c>
      <c r="Q491" s="258" t="s">
        <v>72</v>
      </c>
      <c r="R491" s="258">
        <v>5</v>
      </c>
      <c r="S491" s="410">
        <v>7</v>
      </c>
      <c r="T491" s="261">
        <v>6</v>
      </c>
      <c r="U491" s="261">
        <v>6</v>
      </c>
      <c r="V491" s="258" t="s">
        <v>1969</v>
      </c>
      <c r="W491" s="261" t="str">
        <f t="shared" si="81"/>
        <v>쌍용자동차리스펙 티볼리업비트 4WD26430000</v>
      </c>
      <c r="X491" s="411">
        <f t="shared" si="82"/>
        <v>4265</v>
      </c>
      <c r="Y491" s="261">
        <v>6</v>
      </c>
      <c r="Z491" s="261">
        <v>6</v>
      </c>
      <c r="AA491" s="407" t="s">
        <v>607</v>
      </c>
      <c r="AB491" s="258" t="s">
        <v>1965</v>
      </c>
      <c r="AC491" s="258"/>
      <c r="AD491" s="258"/>
      <c r="AE491" s="258"/>
      <c r="AF491" s="259"/>
      <c r="AG491" s="260"/>
      <c r="AH491" s="259"/>
      <c r="AI491" s="259"/>
      <c r="AJ491" s="260"/>
      <c r="AK491" s="259">
        <v>26</v>
      </c>
      <c r="AL491" s="259"/>
      <c r="AM491" s="259" t="s">
        <v>3069</v>
      </c>
      <c r="AN491" s="449"/>
      <c r="AO491" s="449"/>
      <c r="AP491" s="449"/>
      <c r="AQ491" s="392" t="str">
        <f>IFERROR(VLOOKUP(BG491,#REF!,1,0),"")</f>
        <v/>
      </c>
      <c r="AS491" s="259" t="s">
        <v>3229</v>
      </c>
      <c r="AT491" s="392" t="s">
        <v>3171</v>
      </c>
      <c r="BD491" s="202" t="str">
        <f t="shared" si="74"/>
        <v>리스펙 티볼리업비트 4WD</v>
      </c>
      <c r="BE491" s="261" t="str">
        <f t="shared" si="80"/>
        <v>0047</v>
      </c>
      <c r="BF491" s="407" t="s">
        <v>607</v>
      </c>
      <c r="BG491" s="202" t="str">
        <f t="shared" si="75"/>
        <v>0047-0490</v>
      </c>
    </row>
    <row r="492" spans="1:59">
      <c r="A492" s="405">
        <v>4266</v>
      </c>
      <c r="B492" s="406">
        <v>4266</v>
      </c>
      <c r="C492" s="261" t="str">
        <f t="shared" si="76"/>
        <v>0003-0047</v>
      </c>
      <c r="D492" s="261" t="str">
        <f t="shared" si="77"/>
        <v>0003-0047-0011</v>
      </c>
      <c r="E492" s="407" t="s">
        <v>606</v>
      </c>
      <c r="F492" s="261" t="str">
        <f>TEXT(VLOOKUP(J492,'[3]1'!$B$2:$D$37,2,0),"0000")</f>
        <v>0003</v>
      </c>
      <c r="G492" s="261" t="str">
        <f t="shared" si="78"/>
        <v>0047</v>
      </c>
      <c r="H492" s="408">
        <f t="shared" si="79"/>
        <v>11</v>
      </c>
      <c r="I492" s="407" t="s">
        <v>606</v>
      </c>
      <c r="J492" s="258" t="s">
        <v>728</v>
      </c>
      <c r="K492" s="258" t="s">
        <v>2734</v>
      </c>
      <c r="L492" s="258" t="s">
        <v>2389</v>
      </c>
      <c r="M492" s="409">
        <v>16830000</v>
      </c>
      <c r="N492" s="258">
        <v>1497</v>
      </c>
      <c r="O492" s="258" t="s">
        <v>77</v>
      </c>
      <c r="P492" s="258" t="s">
        <v>73</v>
      </c>
      <c r="Q492" s="258" t="s">
        <v>72</v>
      </c>
      <c r="R492" s="258">
        <v>5</v>
      </c>
      <c r="S492" s="410">
        <v>7</v>
      </c>
      <c r="T492" s="261">
        <v>6</v>
      </c>
      <c r="U492" s="261">
        <v>6</v>
      </c>
      <c r="V492" s="258" t="s">
        <v>71</v>
      </c>
      <c r="W492" s="261" t="str">
        <f t="shared" si="81"/>
        <v>쌍용자동차리스펙 티볼리가솔린 V1(M/T)16830000</v>
      </c>
      <c r="X492" s="411">
        <f t="shared" si="82"/>
        <v>4266</v>
      </c>
      <c r="Y492" s="261">
        <v>6</v>
      </c>
      <c r="Z492" s="261">
        <v>6</v>
      </c>
      <c r="AA492" s="407" t="s">
        <v>606</v>
      </c>
      <c r="AB492" s="258" t="s">
        <v>73</v>
      </c>
      <c r="AC492" s="258"/>
      <c r="AD492" s="258" t="s">
        <v>2130</v>
      </c>
      <c r="AE492" s="258" t="s">
        <v>2129</v>
      </c>
      <c r="AF492" s="259"/>
      <c r="AG492" s="260"/>
      <c r="AH492" s="259"/>
      <c r="AI492" s="259"/>
      <c r="AJ492" s="260"/>
      <c r="AK492" s="259">
        <v>26</v>
      </c>
      <c r="AL492" s="259"/>
      <c r="AM492" s="259" t="s">
        <v>3229</v>
      </c>
      <c r="AN492" s="449"/>
      <c r="AO492" s="449"/>
      <c r="AP492" s="449"/>
      <c r="AQ492" s="392" t="str">
        <f>IFERROR(VLOOKUP(BG492,#REF!,1,0),"")</f>
        <v/>
      </c>
      <c r="AS492" s="259" t="s">
        <v>3229</v>
      </c>
      <c r="BD492" s="202" t="str">
        <f t="shared" si="74"/>
        <v>리스펙 티볼리가솔린 V1(M/T)</v>
      </c>
      <c r="BE492" s="261" t="str">
        <f t="shared" si="80"/>
        <v>0047</v>
      </c>
      <c r="BF492" s="407" t="s">
        <v>606</v>
      </c>
      <c r="BG492" s="202" t="str">
        <f t="shared" si="75"/>
        <v>0047-0491</v>
      </c>
    </row>
    <row r="493" spans="1:59">
      <c r="A493" s="405">
        <v>4267</v>
      </c>
      <c r="B493" s="406">
        <v>4267</v>
      </c>
      <c r="C493" s="261" t="str">
        <f t="shared" si="76"/>
        <v>0003-0047</v>
      </c>
      <c r="D493" s="261" t="str">
        <f t="shared" si="77"/>
        <v>0003-0047-0012</v>
      </c>
      <c r="E493" s="407" t="s">
        <v>605</v>
      </c>
      <c r="F493" s="261" t="str">
        <f>TEXT(VLOOKUP(J493,'[3]1'!$B$2:$D$37,2,0),"0000")</f>
        <v>0003</v>
      </c>
      <c r="G493" s="261" t="str">
        <f t="shared" si="78"/>
        <v>0047</v>
      </c>
      <c r="H493" s="408">
        <f t="shared" si="79"/>
        <v>12</v>
      </c>
      <c r="I493" s="407" t="s">
        <v>605</v>
      </c>
      <c r="J493" s="258" t="s">
        <v>728</v>
      </c>
      <c r="K493" s="258" t="s">
        <v>2734</v>
      </c>
      <c r="L493" s="258" t="s">
        <v>2390</v>
      </c>
      <c r="M493" s="409">
        <v>21590000</v>
      </c>
      <c r="N493" s="258">
        <v>1497</v>
      </c>
      <c r="O493" s="258" t="s">
        <v>77</v>
      </c>
      <c r="P493" s="258" t="s">
        <v>73</v>
      </c>
      <c r="Q493" s="258" t="s">
        <v>72</v>
      </c>
      <c r="R493" s="258">
        <v>5</v>
      </c>
      <c r="S493" s="410">
        <v>7</v>
      </c>
      <c r="T493" s="261">
        <v>6</v>
      </c>
      <c r="U493" s="261">
        <v>6</v>
      </c>
      <c r="V493" s="258" t="s">
        <v>71</v>
      </c>
      <c r="W493" s="261" t="str">
        <f t="shared" si="81"/>
        <v>쌍용자동차리스펙 티볼리가솔린 V:3 스페셜21590000</v>
      </c>
      <c r="X493" s="411">
        <f t="shared" si="82"/>
        <v>4267</v>
      </c>
      <c r="Y493" s="261">
        <v>6</v>
      </c>
      <c r="Z493" s="261">
        <v>6</v>
      </c>
      <c r="AA493" s="407" t="s">
        <v>605</v>
      </c>
      <c r="AB493" s="258" t="s">
        <v>73</v>
      </c>
      <c r="AC493" s="258"/>
      <c r="AD493" s="258" t="s">
        <v>2130</v>
      </c>
      <c r="AE493" s="258" t="s">
        <v>2129</v>
      </c>
      <c r="AF493" s="259"/>
      <c r="AG493" s="260"/>
      <c r="AH493" s="259"/>
      <c r="AI493" s="259"/>
      <c r="AJ493" s="260"/>
      <c r="AK493" s="259">
        <v>26</v>
      </c>
      <c r="AL493" s="259"/>
      <c r="AM493" s="259" t="s">
        <v>3229</v>
      </c>
      <c r="AN493" s="449"/>
      <c r="AO493" s="449"/>
      <c r="AP493" s="449"/>
      <c r="AQ493" s="392" t="str">
        <f>IFERROR(VLOOKUP(BG493,#REF!,1,0),"")</f>
        <v/>
      </c>
      <c r="AS493" s="259" t="s">
        <v>3229</v>
      </c>
      <c r="BD493" s="202" t="str">
        <f t="shared" si="74"/>
        <v>리스펙 티볼리가솔린 V:3 스페셜</v>
      </c>
      <c r="BE493" s="261" t="str">
        <f t="shared" si="80"/>
        <v>0047</v>
      </c>
      <c r="BF493" s="407" t="s">
        <v>605</v>
      </c>
      <c r="BG493" s="202" t="str">
        <f t="shared" si="75"/>
        <v>0047-0492</v>
      </c>
    </row>
    <row r="494" spans="1:59">
      <c r="A494" s="405">
        <v>4268</v>
      </c>
      <c r="B494" s="406">
        <v>4268</v>
      </c>
      <c r="C494" s="261" t="str">
        <f t="shared" si="76"/>
        <v>0003-0048</v>
      </c>
      <c r="D494" s="261" t="str">
        <f t="shared" si="77"/>
        <v>0003-0048-0001</v>
      </c>
      <c r="E494" s="407" t="s">
        <v>604</v>
      </c>
      <c r="F494" s="261" t="str">
        <f>TEXT(VLOOKUP(J494,'[3]1'!$B$2:$D$37,2,0),"0000")</f>
        <v>0003</v>
      </c>
      <c r="G494" s="261" t="str">
        <f t="shared" si="78"/>
        <v>0048</v>
      </c>
      <c r="H494" s="408">
        <f t="shared" si="79"/>
        <v>1</v>
      </c>
      <c r="I494" s="407" t="s">
        <v>604</v>
      </c>
      <c r="J494" s="258" t="s">
        <v>728</v>
      </c>
      <c r="K494" s="258" t="s">
        <v>2735</v>
      </c>
      <c r="L494" s="258" t="s">
        <v>2391</v>
      </c>
      <c r="M494" s="409">
        <v>27340000</v>
      </c>
      <c r="N494" s="258">
        <v>1597</v>
      </c>
      <c r="O494" s="258" t="s">
        <v>78</v>
      </c>
      <c r="P494" s="258" t="s">
        <v>73</v>
      </c>
      <c r="Q494" s="258" t="s">
        <v>72</v>
      </c>
      <c r="R494" s="258">
        <v>5</v>
      </c>
      <c r="S494" s="410">
        <v>7</v>
      </c>
      <c r="T494" s="261">
        <v>6</v>
      </c>
      <c r="U494" s="261">
        <v>6</v>
      </c>
      <c r="V494" s="258" t="s">
        <v>71</v>
      </c>
      <c r="W494" s="261" t="str">
        <f t="shared" si="81"/>
        <v>쌍용자동차코란도디젤 2WD C5 플러스 (A/T)27340000</v>
      </c>
      <c r="X494" s="411">
        <f t="shared" si="82"/>
        <v>4268</v>
      </c>
      <c r="Y494" s="261">
        <v>6</v>
      </c>
      <c r="Z494" s="261">
        <v>6</v>
      </c>
      <c r="AA494" s="407" t="s">
        <v>604</v>
      </c>
      <c r="AB494" s="258" t="s">
        <v>73</v>
      </c>
      <c r="AC494" s="258"/>
      <c r="AD494" s="258" t="s">
        <v>2130</v>
      </c>
      <c r="AE494" s="258" t="s">
        <v>2129</v>
      </c>
      <c r="AF494" s="259"/>
      <c r="AG494" s="260"/>
      <c r="AH494" s="259"/>
      <c r="AI494" s="259"/>
      <c r="AJ494" s="260"/>
      <c r="AK494" s="259">
        <v>26</v>
      </c>
      <c r="AL494" s="259"/>
      <c r="AM494" s="259" t="s">
        <v>3224</v>
      </c>
      <c r="AN494" s="449"/>
      <c r="AO494" s="449"/>
      <c r="AP494" s="449"/>
      <c r="AQ494" s="392" t="str">
        <f>IFERROR(VLOOKUP(BG494,#REF!,1,0),"")</f>
        <v/>
      </c>
      <c r="AS494" s="259" t="s">
        <v>3229</v>
      </c>
      <c r="BD494" s="202" t="str">
        <f t="shared" si="74"/>
        <v>코란도디젤 2WD C5 플러스 (A/T)</v>
      </c>
      <c r="BE494" s="261" t="str">
        <f t="shared" si="80"/>
        <v>0048</v>
      </c>
      <c r="BF494" s="407" t="s">
        <v>604</v>
      </c>
      <c r="BG494" s="202" t="str">
        <f t="shared" si="75"/>
        <v>0048-0493</v>
      </c>
    </row>
    <row r="495" spans="1:59">
      <c r="A495" s="405">
        <v>4269</v>
      </c>
      <c r="B495" s="406">
        <v>4269</v>
      </c>
      <c r="C495" s="261" t="str">
        <f t="shared" si="76"/>
        <v>0003-0048</v>
      </c>
      <c r="D495" s="261" t="str">
        <f t="shared" si="77"/>
        <v>0003-0048-0002</v>
      </c>
      <c r="E495" s="407" t="s">
        <v>603</v>
      </c>
      <c r="F495" s="261" t="str">
        <f>TEXT(VLOOKUP(J495,'[3]1'!$B$2:$D$37,2,0),"0000")</f>
        <v>0003</v>
      </c>
      <c r="G495" s="261" t="str">
        <f t="shared" si="78"/>
        <v>0048</v>
      </c>
      <c r="H495" s="408">
        <f t="shared" si="79"/>
        <v>2</v>
      </c>
      <c r="I495" s="407" t="s">
        <v>603</v>
      </c>
      <c r="J495" s="258" t="s">
        <v>728</v>
      </c>
      <c r="K495" s="258" t="s">
        <v>2735</v>
      </c>
      <c r="L495" s="258" t="s">
        <v>2392</v>
      </c>
      <c r="M495" s="409">
        <v>27540000</v>
      </c>
      <c r="N495" s="258">
        <v>1497</v>
      </c>
      <c r="O495" s="258" t="s">
        <v>77</v>
      </c>
      <c r="P495" s="258" t="s">
        <v>73</v>
      </c>
      <c r="Q495" s="258" t="s">
        <v>72</v>
      </c>
      <c r="R495" s="258">
        <v>5</v>
      </c>
      <c r="S495" s="410">
        <v>7</v>
      </c>
      <c r="T495" s="261">
        <v>6</v>
      </c>
      <c r="U495" s="261">
        <v>6</v>
      </c>
      <c r="V495" s="258" t="s">
        <v>71</v>
      </c>
      <c r="W495" s="261" t="str">
        <f t="shared" si="81"/>
        <v>쌍용자동차코란도가솔린 AWD C5 플러스 (A/T)27540000</v>
      </c>
      <c r="X495" s="411">
        <f t="shared" si="82"/>
        <v>4269</v>
      </c>
      <c r="Y495" s="261">
        <v>6</v>
      </c>
      <c r="Z495" s="261">
        <v>6</v>
      </c>
      <c r="AA495" s="407" t="s">
        <v>603</v>
      </c>
      <c r="AB495" s="258" t="s">
        <v>73</v>
      </c>
      <c r="AC495" s="258"/>
      <c r="AD495" s="258" t="s">
        <v>2131</v>
      </c>
      <c r="AE495" s="258" t="s">
        <v>2129</v>
      </c>
      <c r="AF495" s="259"/>
      <c r="AG495" s="260"/>
      <c r="AH495" s="259"/>
      <c r="AI495" s="259"/>
      <c r="AJ495" s="260"/>
      <c r="AK495" s="259">
        <v>26</v>
      </c>
      <c r="AL495" s="259"/>
      <c r="AM495" s="259" t="s">
        <v>3227</v>
      </c>
      <c r="AN495" s="449"/>
      <c r="AO495" s="449"/>
      <c r="AP495" s="449"/>
      <c r="AQ495" s="392" t="str">
        <f>IFERROR(VLOOKUP(BG495,#REF!,1,0),"")</f>
        <v/>
      </c>
      <c r="AS495" s="259" t="s">
        <v>3229</v>
      </c>
      <c r="BD495" s="202" t="str">
        <f t="shared" si="74"/>
        <v>코란도가솔린 AWD C5 플러스 (A/T)</v>
      </c>
      <c r="BE495" s="261" t="str">
        <f t="shared" si="80"/>
        <v>0048</v>
      </c>
      <c r="BF495" s="407" t="s">
        <v>603</v>
      </c>
      <c r="BG495" s="202" t="str">
        <f t="shared" si="75"/>
        <v>0048-0494</v>
      </c>
    </row>
    <row r="496" spans="1:59">
      <c r="A496" s="405">
        <v>4270</v>
      </c>
      <c r="B496" s="406">
        <v>4270</v>
      </c>
      <c r="C496" s="261" t="str">
        <f t="shared" si="76"/>
        <v>0003-0048</v>
      </c>
      <c r="D496" s="261" t="str">
        <f t="shared" si="77"/>
        <v>0003-0048-0003</v>
      </c>
      <c r="E496" s="407" t="s">
        <v>602</v>
      </c>
      <c r="F496" s="261" t="str">
        <f>TEXT(VLOOKUP(J496,'[3]1'!$B$2:$D$37,2,0),"0000")</f>
        <v>0003</v>
      </c>
      <c r="G496" s="261" t="str">
        <f t="shared" si="78"/>
        <v>0048</v>
      </c>
      <c r="H496" s="408">
        <f t="shared" si="79"/>
        <v>3</v>
      </c>
      <c r="I496" s="407" t="s">
        <v>602</v>
      </c>
      <c r="J496" s="258" t="s">
        <v>728</v>
      </c>
      <c r="K496" s="258" t="s">
        <v>2735</v>
      </c>
      <c r="L496" s="258" t="s">
        <v>2393</v>
      </c>
      <c r="M496" s="409">
        <v>23460000</v>
      </c>
      <c r="N496" s="258">
        <v>1497</v>
      </c>
      <c r="O496" s="258" t="s">
        <v>77</v>
      </c>
      <c r="P496" s="258" t="s">
        <v>73</v>
      </c>
      <c r="Q496" s="258" t="s">
        <v>72</v>
      </c>
      <c r="R496" s="258">
        <v>5</v>
      </c>
      <c r="S496" s="410">
        <v>7</v>
      </c>
      <c r="T496" s="261">
        <v>6</v>
      </c>
      <c r="U496" s="261">
        <v>6</v>
      </c>
      <c r="V496" s="258" t="s">
        <v>71</v>
      </c>
      <c r="W496" s="261" t="str">
        <f t="shared" si="81"/>
        <v>쌍용자동차코란도가솔린 2WD C3 플러스 (A/T)23460000</v>
      </c>
      <c r="X496" s="411">
        <f t="shared" si="82"/>
        <v>4270</v>
      </c>
      <c r="Y496" s="261">
        <v>6</v>
      </c>
      <c r="Z496" s="261">
        <v>6</v>
      </c>
      <c r="AA496" s="407" t="s">
        <v>602</v>
      </c>
      <c r="AB496" s="258" t="s">
        <v>73</v>
      </c>
      <c r="AC496" s="258"/>
      <c r="AD496" s="258" t="s">
        <v>2131</v>
      </c>
      <c r="AE496" s="258" t="s">
        <v>2129</v>
      </c>
      <c r="AF496" s="259"/>
      <c r="AG496" s="260"/>
      <c r="AH496" s="259"/>
      <c r="AI496" s="259"/>
      <c r="AJ496" s="260"/>
      <c r="AK496" s="259">
        <v>26</v>
      </c>
      <c r="AL496" s="259"/>
      <c r="AM496" s="259" t="s">
        <v>3227</v>
      </c>
      <c r="AN496" s="449"/>
      <c r="AO496" s="449"/>
      <c r="AP496" s="449"/>
      <c r="AQ496" s="392" t="str">
        <f>IFERROR(VLOOKUP(BG496,#REF!,1,0),"")</f>
        <v/>
      </c>
      <c r="AS496" s="259" t="s">
        <v>3229</v>
      </c>
      <c r="BD496" s="202" t="str">
        <f t="shared" si="74"/>
        <v>코란도가솔린 2WD C3 플러스 (A/T)</v>
      </c>
      <c r="BE496" s="261" t="str">
        <f t="shared" si="80"/>
        <v>0048</v>
      </c>
      <c r="BF496" s="407" t="s">
        <v>602</v>
      </c>
      <c r="BG496" s="202" t="str">
        <f t="shared" si="75"/>
        <v>0048-0495</v>
      </c>
    </row>
    <row r="497" spans="1:59">
      <c r="A497" s="405">
        <v>4271</v>
      </c>
      <c r="B497" s="406">
        <v>4271</v>
      </c>
      <c r="C497" s="261" t="str">
        <f t="shared" si="76"/>
        <v>0003-0048</v>
      </c>
      <c r="D497" s="261" t="str">
        <f t="shared" si="77"/>
        <v>0003-0048-0004</v>
      </c>
      <c r="E497" s="407" t="s">
        <v>601</v>
      </c>
      <c r="F497" s="261" t="str">
        <f>TEXT(VLOOKUP(J497,'[3]1'!$B$2:$D$37,2,0),"0000")</f>
        <v>0003</v>
      </c>
      <c r="G497" s="261" t="str">
        <f t="shared" si="78"/>
        <v>0048</v>
      </c>
      <c r="H497" s="408">
        <f t="shared" si="79"/>
        <v>4</v>
      </c>
      <c r="I497" s="407" t="s">
        <v>601</v>
      </c>
      <c r="J497" s="258" t="s">
        <v>728</v>
      </c>
      <c r="K497" s="258" t="s">
        <v>2735</v>
      </c>
      <c r="L497" s="258" t="s">
        <v>2394</v>
      </c>
      <c r="M497" s="409">
        <v>23910000</v>
      </c>
      <c r="N497" s="258">
        <v>1497</v>
      </c>
      <c r="O497" s="258" t="s">
        <v>77</v>
      </c>
      <c r="P497" s="258" t="s">
        <v>73</v>
      </c>
      <c r="Q497" s="258" t="s">
        <v>72</v>
      </c>
      <c r="R497" s="258">
        <v>5</v>
      </c>
      <c r="S497" s="410">
        <v>7</v>
      </c>
      <c r="T497" s="261">
        <v>6</v>
      </c>
      <c r="U497" s="261">
        <v>6</v>
      </c>
      <c r="V497" s="258" t="s">
        <v>71</v>
      </c>
      <c r="W497" s="261" t="str">
        <f t="shared" si="81"/>
        <v>쌍용자동차코란도가솔린 2WD C5 (A/T)23910000</v>
      </c>
      <c r="X497" s="411">
        <f t="shared" si="82"/>
        <v>4271</v>
      </c>
      <c r="Y497" s="261">
        <v>6</v>
      </c>
      <c r="Z497" s="261">
        <v>6</v>
      </c>
      <c r="AA497" s="407" t="s">
        <v>601</v>
      </c>
      <c r="AB497" s="258" t="s">
        <v>73</v>
      </c>
      <c r="AC497" s="258"/>
      <c r="AD497" s="258" t="s">
        <v>2131</v>
      </c>
      <c r="AE497" s="258" t="s">
        <v>2129</v>
      </c>
      <c r="AF497" s="259"/>
      <c r="AG497" s="260"/>
      <c r="AH497" s="259"/>
      <c r="AI497" s="259"/>
      <c r="AJ497" s="260"/>
      <c r="AK497" s="259">
        <v>26</v>
      </c>
      <c r="AL497" s="259"/>
      <c r="AM497" s="259" t="s">
        <v>3227</v>
      </c>
      <c r="AN497" s="449"/>
      <c r="AO497" s="449"/>
      <c r="AP497" s="449"/>
      <c r="AQ497" s="392" t="str">
        <f>IFERROR(VLOOKUP(BG497,#REF!,1,0),"")</f>
        <v/>
      </c>
      <c r="AS497" s="259" t="s">
        <v>3229</v>
      </c>
      <c r="BD497" s="202" t="str">
        <f t="shared" si="74"/>
        <v>코란도가솔린 2WD C5 (A/T)</v>
      </c>
      <c r="BE497" s="261" t="str">
        <f t="shared" si="80"/>
        <v>0048</v>
      </c>
      <c r="BF497" s="407" t="s">
        <v>601</v>
      </c>
      <c r="BG497" s="202" t="str">
        <f t="shared" si="75"/>
        <v>0048-0496</v>
      </c>
    </row>
    <row r="498" spans="1:59">
      <c r="A498" s="405">
        <v>4272</v>
      </c>
      <c r="B498" s="406">
        <v>4272</v>
      </c>
      <c r="C498" s="261" t="str">
        <f t="shared" si="76"/>
        <v>0003-0048</v>
      </c>
      <c r="D498" s="261" t="str">
        <f t="shared" si="77"/>
        <v>0003-0048-0005</v>
      </c>
      <c r="E498" s="407" t="s">
        <v>600</v>
      </c>
      <c r="F498" s="261" t="str">
        <f>TEXT(VLOOKUP(J498,'[3]1'!$B$2:$D$37,2,0),"0000")</f>
        <v>0003</v>
      </c>
      <c r="G498" s="261" t="str">
        <f t="shared" si="78"/>
        <v>0048</v>
      </c>
      <c r="H498" s="408">
        <f t="shared" si="79"/>
        <v>5</v>
      </c>
      <c r="I498" s="407" t="s">
        <v>600</v>
      </c>
      <c r="J498" s="258" t="s">
        <v>728</v>
      </c>
      <c r="K498" s="258" t="s">
        <v>2735</v>
      </c>
      <c r="L498" s="258" t="s">
        <v>2395</v>
      </c>
      <c r="M498" s="409">
        <v>29030000</v>
      </c>
      <c r="N498" s="258">
        <v>1497</v>
      </c>
      <c r="O498" s="258" t="s">
        <v>77</v>
      </c>
      <c r="P498" s="258" t="s">
        <v>73</v>
      </c>
      <c r="Q498" s="258" t="s">
        <v>72</v>
      </c>
      <c r="R498" s="258">
        <v>5</v>
      </c>
      <c r="S498" s="410">
        <v>7</v>
      </c>
      <c r="T498" s="261">
        <v>6</v>
      </c>
      <c r="U498" s="261">
        <v>6</v>
      </c>
      <c r="V498" s="258" t="s">
        <v>71</v>
      </c>
      <c r="W498" s="261" t="str">
        <f t="shared" si="81"/>
        <v>쌍용자동차코란도가솔린 2WD C7 (A/T)29030000</v>
      </c>
      <c r="X498" s="411">
        <f t="shared" si="82"/>
        <v>4272</v>
      </c>
      <c r="Y498" s="261">
        <v>6</v>
      </c>
      <c r="Z498" s="261">
        <v>6</v>
      </c>
      <c r="AA498" s="407" t="s">
        <v>600</v>
      </c>
      <c r="AB498" s="258" t="s">
        <v>73</v>
      </c>
      <c r="AC498" s="258"/>
      <c r="AD498" s="258" t="s">
        <v>2131</v>
      </c>
      <c r="AE498" s="258" t="s">
        <v>2129</v>
      </c>
      <c r="AF498" s="259"/>
      <c r="AG498" s="260"/>
      <c r="AH498" s="259"/>
      <c r="AI498" s="259"/>
      <c r="AJ498" s="260"/>
      <c r="AK498" s="259">
        <v>26</v>
      </c>
      <c r="AL498" s="259"/>
      <c r="AM498" s="259" t="s">
        <v>3227</v>
      </c>
      <c r="AN498" s="449"/>
      <c r="AO498" s="449"/>
      <c r="AP498" s="449"/>
      <c r="AQ498" s="392" t="str">
        <f>IFERROR(VLOOKUP(BG498,#REF!,1,0),"")</f>
        <v/>
      </c>
      <c r="AS498" s="259" t="s">
        <v>3229</v>
      </c>
      <c r="BD498" s="202" t="str">
        <f t="shared" si="74"/>
        <v>코란도가솔린 2WD C7 (A/T)</v>
      </c>
      <c r="BE498" s="261" t="str">
        <f t="shared" si="80"/>
        <v>0048</v>
      </c>
      <c r="BF498" s="407" t="s">
        <v>600</v>
      </c>
      <c r="BG498" s="202" t="str">
        <f t="shared" si="75"/>
        <v>0048-0497</v>
      </c>
    </row>
    <row r="499" spans="1:59">
      <c r="A499" s="405">
        <v>4273</v>
      </c>
      <c r="B499" s="406">
        <v>4273</v>
      </c>
      <c r="C499" s="261" t="str">
        <f t="shared" si="76"/>
        <v>0003-0048</v>
      </c>
      <c r="D499" s="261" t="str">
        <f t="shared" si="77"/>
        <v>0003-0048-0006</v>
      </c>
      <c r="E499" s="407" t="s">
        <v>599</v>
      </c>
      <c r="F499" s="261" t="str">
        <f>TEXT(VLOOKUP(J499,'[3]1'!$B$2:$D$37,2,0),"0000")</f>
        <v>0003</v>
      </c>
      <c r="G499" s="261" t="str">
        <f t="shared" si="78"/>
        <v>0048</v>
      </c>
      <c r="H499" s="408">
        <f t="shared" si="79"/>
        <v>6</v>
      </c>
      <c r="I499" s="407" t="s">
        <v>599</v>
      </c>
      <c r="J499" s="258" t="s">
        <v>728</v>
      </c>
      <c r="K499" s="258" t="s">
        <v>2735</v>
      </c>
      <c r="L499" s="258" t="s">
        <v>2396</v>
      </c>
      <c r="M499" s="409">
        <v>22530000</v>
      </c>
      <c r="N499" s="258">
        <v>1497</v>
      </c>
      <c r="O499" s="258" t="s">
        <v>77</v>
      </c>
      <c r="P499" s="258" t="s">
        <v>73</v>
      </c>
      <c r="Q499" s="258" t="s">
        <v>72</v>
      </c>
      <c r="R499" s="258">
        <v>5</v>
      </c>
      <c r="S499" s="410">
        <v>7</v>
      </c>
      <c r="T499" s="261">
        <v>6</v>
      </c>
      <c r="U499" s="261">
        <v>6</v>
      </c>
      <c r="V499" s="258" t="s">
        <v>71</v>
      </c>
      <c r="W499" s="261" t="str">
        <f t="shared" si="81"/>
        <v>쌍용자동차코란도가솔린 2WD C3 (A/T)22530000</v>
      </c>
      <c r="X499" s="411">
        <f t="shared" si="82"/>
        <v>4273</v>
      </c>
      <c r="Y499" s="261">
        <v>6</v>
      </c>
      <c r="Z499" s="261">
        <v>6</v>
      </c>
      <c r="AA499" s="407" t="s">
        <v>599</v>
      </c>
      <c r="AB499" s="258" t="s">
        <v>73</v>
      </c>
      <c r="AC499" s="258"/>
      <c r="AD499" s="258" t="s">
        <v>2131</v>
      </c>
      <c r="AE499" s="258" t="s">
        <v>2129</v>
      </c>
      <c r="AF499" s="259"/>
      <c r="AG499" s="260"/>
      <c r="AH499" s="259"/>
      <c r="AI499" s="259"/>
      <c r="AJ499" s="260"/>
      <c r="AK499" s="259">
        <v>26</v>
      </c>
      <c r="AL499" s="259"/>
      <c r="AM499" s="259" t="s">
        <v>3227</v>
      </c>
      <c r="AN499" s="449"/>
      <c r="AO499" s="449"/>
      <c r="AP499" s="449"/>
      <c r="AQ499" s="392" t="str">
        <f>IFERROR(VLOOKUP(BG499,#REF!,1,0),"")</f>
        <v/>
      </c>
      <c r="AS499" s="259" t="s">
        <v>3229</v>
      </c>
      <c r="BD499" s="202" t="str">
        <f t="shared" si="74"/>
        <v>코란도가솔린 2WD C3 (A/T)</v>
      </c>
      <c r="BE499" s="261" t="str">
        <f t="shared" si="80"/>
        <v>0048</v>
      </c>
      <c r="BF499" s="407" t="s">
        <v>599</v>
      </c>
      <c r="BG499" s="202" t="str">
        <f t="shared" si="75"/>
        <v>0048-0498</v>
      </c>
    </row>
    <row r="500" spans="1:59">
      <c r="A500" s="405">
        <v>4274</v>
      </c>
      <c r="B500" s="406">
        <v>4274</v>
      </c>
      <c r="C500" s="261" t="str">
        <f t="shared" si="76"/>
        <v>0003-0048</v>
      </c>
      <c r="D500" s="261" t="str">
        <f t="shared" si="77"/>
        <v>0003-0048-0007</v>
      </c>
      <c r="E500" s="407" t="s">
        <v>598</v>
      </c>
      <c r="F500" s="261" t="str">
        <f>TEXT(VLOOKUP(J500,'[3]1'!$B$2:$D$37,2,0),"0000")</f>
        <v>0003</v>
      </c>
      <c r="G500" s="261" t="str">
        <f t="shared" si="78"/>
        <v>0048</v>
      </c>
      <c r="H500" s="408">
        <f t="shared" si="79"/>
        <v>7</v>
      </c>
      <c r="I500" s="407" t="s">
        <v>598</v>
      </c>
      <c r="J500" s="258" t="s">
        <v>728</v>
      </c>
      <c r="K500" s="258" t="s">
        <v>2735</v>
      </c>
      <c r="L500" s="258" t="s">
        <v>2397</v>
      </c>
      <c r="M500" s="409">
        <v>30840000</v>
      </c>
      <c r="N500" s="258">
        <v>1497</v>
      </c>
      <c r="O500" s="258" t="s">
        <v>77</v>
      </c>
      <c r="P500" s="258" t="s">
        <v>73</v>
      </c>
      <c r="Q500" s="258" t="s">
        <v>72</v>
      </c>
      <c r="R500" s="258">
        <v>5</v>
      </c>
      <c r="S500" s="410">
        <v>7</v>
      </c>
      <c r="T500" s="261">
        <v>6</v>
      </c>
      <c r="U500" s="261">
        <v>6</v>
      </c>
      <c r="V500" s="258" t="s">
        <v>71</v>
      </c>
      <c r="W500" s="261" t="str">
        <f t="shared" si="81"/>
        <v>쌍용자동차코란도가솔린 AWD C7 (A/T)30840000</v>
      </c>
      <c r="X500" s="411">
        <f t="shared" si="82"/>
        <v>4274</v>
      </c>
      <c r="Y500" s="261">
        <v>6</v>
      </c>
      <c r="Z500" s="261">
        <v>6</v>
      </c>
      <c r="AA500" s="407" t="s">
        <v>598</v>
      </c>
      <c r="AB500" s="258" t="s">
        <v>73</v>
      </c>
      <c r="AC500" s="258"/>
      <c r="AD500" s="258" t="s">
        <v>2131</v>
      </c>
      <c r="AE500" s="258" t="s">
        <v>2129</v>
      </c>
      <c r="AF500" s="259"/>
      <c r="AG500" s="260"/>
      <c r="AH500" s="259"/>
      <c r="AI500" s="259"/>
      <c r="AJ500" s="260"/>
      <c r="AK500" s="259">
        <v>26</v>
      </c>
      <c r="AL500" s="259"/>
      <c r="AM500" s="259" t="s">
        <v>3227</v>
      </c>
      <c r="AN500" s="449"/>
      <c r="AO500" s="449"/>
      <c r="AP500" s="449"/>
      <c r="AQ500" s="392" t="str">
        <f>IFERROR(VLOOKUP(BG500,#REF!,1,0),"")</f>
        <v/>
      </c>
      <c r="AS500" s="259" t="s">
        <v>3229</v>
      </c>
      <c r="BD500" s="202" t="str">
        <f t="shared" si="74"/>
        <v>코란도가솔린 AWD C7 (A/T)</v>
      </c>
      <c r="BE500" s="261" t="str">
        <f t="shared" si="80"/>
        <v>0048</v>
      </c>
      <c r="BF500" s="407" t="s">
        <v>598</v>
      </c>
      <c r="BG500" s="202" t="str">
        <f t="shared" si="75"/>
        <v>0048-0499</v>
      </c>
    </row>
    <row r="501" spans="1:59">
      <c r="A501" s="405">
        <v>4275</v>
      </c>
      <c r="B501" s="406">
        <v>4275</v>
      </c>
      <c r="C501" s="261" t="str">
        <f t="shared" si="76"/>
        <v>0003-0048</v>
      </c>
      <c r="D501" s="261" t="str">
        <f t="shared" si="77"/>
        <v>0003-0048-0008</v>
      </c>
      <c r="E501" s="407" t="s">
        <v>597</v>
      </c>
      <c r="F501" s="261" t="str">
        <f>TEXT(VLOOKUP(J501,'[3]1'!$B$2:$D$37,2,0),"0000")</f>
        <v>0003</v>
      </c>
      <c r="G501" s="261" t="str">
        <f t="shared" si="78"/>
        <v>0048</v>
      </c>
      <c r="H501" s="408">
        <f t="shared" si="79"/>
        <v>8</v>
      </c>
      <c r="I501" s="407" t="s">
        <v>597</v>
      </c>
      <c r="J501" s="258" t="s">
        <v>728</v>
      </c>
      <c r="K501" s="258" t="s">
        <v>2735</v>
      </c>
      <c r="L501" s="258" t="s">
        <v>2398</v>
      </c>
      <c r="M501" s="409">
        <v>25730000</v>
      </c>
      <c r="N501" s="258">
        <v>1497</v>
      </c>
      <c r="O501" s="258" t="s">
        <v>77</v>
      </c>
      <c r="P501" s="258" t="s">
        <v>73</v>
      </c>
      <c r="Q501" s="258" t="s">
        <v>72</v>
      </c>
      <c r="R501" s="258">
        <v>5</v>
      </c>
      <c r="S501" s="410">
        <v>7</v>
      </c>
      <c r="T501" s="261">
        <v>6</v>
      </c>
      <c r="U501" s="261">
        <v>6</v>
      </c>
      <c r="V501" s="258" t="s">
        <v>1969</v>
      </c>
      <c r="W501" s="261" t="str">
        <f t="shared" si="81"/>
        <v>쌍용자동차코란도가솔린 2WD C5 플러스 (A/T)25730000</v>
      </c>
      <c r="X501" s="411">
        <f t="shared" si="82"/>
        <v>4275</v>
      </c>
      <c r="Y501" s="261">
        <v>6</v>
      </c>
      <c r="Z501" s="261">
        <v>6</v>
      </c>
      <c r="AA501" s="407" t="s">
        <v>597</v>
      </c>
      <c r="AB501" s="258" t="s">
        <v>73</v>
      </c>
      <c r="AC501" s="258"/>
      <c r="AD501" s="258" t="s">
        <v>2131</v>
      </c>
      <c r="AE501" s="258" t="s">
        <v>2129</v>
      </c>
      <c r="AF501" s="259"/>
      <c r="AG501" s="260"/>
      <c r="AH501" s="259"/>
      <c r="AI501" s="259"/>
      <c r="AJ501" s="260"/>
      <c r="AK501" s="259">
        <v>26</v>
      </c>
      <c r="AL501" s="259"/>
      <c r="AM501" s="259" t="s">
        <v>3227</v>
      </c>
      <c r="AN501" s="449"/>
      <c r="AO501" s="449"/>
      <c r="AP501" s="449"/>
      <c r="AQ501" s="392" t="str">
        <f>IFERROR(VLOOKUP(BG501,#REF!,1,0),"")</f>
        <v/>
      </c>
      <c r="AS501" s="259" t="s">
        <v>3229</v>
      </c>
      <c r="BD501" s="202" t="str">
        <f t="shared" si="74"/>
        <v>코란도가솔린 2WD C5 플러스 (A/T)</v>
      </c>
      <c r="BE501" s="261" t="str">
        <f t="shared" si="80"/>
        <v>0048</v>
      </c>
      <c r="BF501" s="407" t="s">
        <v>597</v>
      </c>
      <c r="BG501" s="202" t="str">
        <f t="shared" si="75"/>
        <v>0048-0500</v>
      </c>
    </row>
    <row r="502" spans="1:59">
      <c r="A502" s="405">
        <v>4276</v>
      </c>
      <c r="B502" s="406">
        <v>4276</v>
      </c>
      <c r="C502" s="261" t="str">
        <f t="shared" si="76"/>
        <v>0003-0049</v>
      </c>
      <c r="D502" s="261" t="str">
        <f t="shared" si="77"/>
        <v>0003-0049-0001</v>
      </c>
      <c r="E502" s="407" t="s">
        <v>596</v>
      </c>
      <c r="F502" s="261" t="str">
        <f>TEXT(VLOOKUP(J502,'[3]1'!$B$2:$D$37,2,0),"0000")</f>
        <v>0003</v>
      </c>
      <c r="G502" s="261" t="str">
        <f t="shared" si="78"/>
        <v>0049</v>
      </c>
      <c r="H502" s="408">
        <f t="shared" si="79"/>
        <v>1</v>
      </c>
      <c r="I502" s="407" t="s">
        <v>596</v>
      </c>
      <c r="J502" s="258" t="s">
        <v>728</v>
      </c>
      <c r="K502" s="258" t="s">
        <v>3375</v>
      </c>
      <c r="L502" s="258" t="s">
        <v>3376</v>
      </c>
      <c r="M502" s="409">
        <v>33760000</v>
      </c>
      <c r="N502" s="258">
        <v>1497</v>
      </c>
      <c r="O502" s="258" t="s">
        <v>77</v>
      </c>
      <c r="P502" s="258" t="s">
        <v>73</v>
      </c>
      <c r="Q502" s="258" t="s">
        <v>72</v>
      </c>
      <c r="R502" s="258">
        <v>5</v>
      </c>
      <c r="S502" s="410">
        <v>7</v>
      </c>
      <c r="T502" s="261">
        <v>6</v>
      </c>
      <c r="U502" s="261">
        <v>6</v>
      </c>
      <c r="V502" s="258" t="s">
        <v>1969</v>
      </c>
      <c r="W502" s="261" t="str">
        <f t="shared" si="81"/>
        <v>쌍용자동차토레스T7 4WD33760000</v>
      </c>
      <c r="X502" s="411">
        <f t="shared" si="82"/>
        <v>4276</v>
      </c>
      <c r="Y502" s="261">
        <v>6</v>
      </c>
      <c r="Z502" s="261">
        <v>6</v>
      </c>
      <c r="AA502" s="407" t="s">
        <v>596</v>
      </c>
      <c r="AB502" s="258" t="s">
        <v>73</v>
      </c>
      <c r="AC502" s="258"/>
      <c r="AD502" s="258" t="s">
        <v>2131</v>
      </c>
      <c r="AE502" s="258" t="s">
        <v>2129</v>
      </c>
      <c r="AF502" s="259"/>
      <c r="AG502" s="260"/>
      <c r="AH502" s="259"/>
      <c r="AI502" s="259"/>
      <c r="AJ502" s="260"/>
      <c r="AK502" s="259">
        <v>26</v>
      </c>
      <c r="AL502" s="259"/>
      <c r="AM502" s="259" t="s">
        <v>3377</v>
      </c>
      <c r="AN502" s="449"/>
      <c r="AO502" s="449"/>
      <c r="AP502" s="449"/>
      <c r="AQ502" s="392" t="str">
        <f>IFERROR(VLOOKUP(BG502,#REF!,1,0),"")</f>
        <v/>
      </c>
      <c r="AS502" s="259" t="s">
        <v>3229</v>
      </c>
      <c r="BD502" s="202" t="str">
        <f t="shared" si="74"/>
        <v>토레스T7 4WD</v>
      </c>
      <c r="BE502" s="261" t="str">
        <f t="shared" si="80"/>
        <v>0049</v>
      </c>
      <c r="BF502" s="407" t="s">
        <v>596</v>
      </c>
      <c r="BG502" s="202" t="str">
        <f t="shared" si="75"/>
        <v>0049-0501</v>
      </c>
    </row>
    <row r="503" spans="1:59">
      <c r="A503" s="405">
        <v>4277</v>
      </c>
      <c r="B503" s="406">
        <v>4277</v>
      </c>
      <c r="C503" s="261" t="str">
        <f t="shared" si="76"/>
        <v>0003-0049</v>
      </c>
      <c r="D503" s="261" t="str">
        <f t="shared" si="77"/>
        <v>0003-0049-0002</v>
      </c>
      <c r="E503" s="407" t="s">
        <v>595</v>
      </c>
      <c r="F503" s="261" t="str">
        <f>TEXT(VLOOKUP(J503,'[3]1'!$B$2:$D$37,2,0),"0000")</f>
        <v>0003</v>
      </c>
      <c r="G503" s="261" t="str">
        <f t="shared" si="78"/>
        <v>0049</v>
      </c>
      <c r="H503" s="408">
        <f t="shared" si="79"/>
        <v>2</v>
      </c>
      <c r="I503" s="407" t="s">
        <v>595</v>
      </c>
      <c r="J503" s="258" t="s">
        <v>728</v>
      </c>
      <c r="K503" s="258" t="s">
        <v>3375</v>
      </c>
      <c r="L503" s="258" t="s">
        <v>3378</v>
      </c>
      <c r="M503" s="409">
        <v>31740000</v>
      </c>
      <c r="N503" s="258">
        <v>1497</v>
      </c>
      <c r="O503" s="258" t="s">
        <v>77</v>
      </c>
      <c r="P503" s="258" t="s">
        <v>73</v>
      </c>
      <c r="Q503" s="258" t="s">
        <v>72</v>
      </c>
      <c r="R503" s="258">
        <v>5</v>
      </c>
      <c r="S503" s="410">
        <v>7</v>
      </c>
      <c r="T503" s="261">
        <v>6</v>
      </c>
      <c r="U503" s="261">
        <v>6</v>
      </c>
      <c r="V503" s="258" t="s">
        <v>1969</v>
      </c>
      <c r="W503" s="261" t="str">
        <f t="shared" si="81"/>
        <v>쌍용자동차토레스T7 2WD31740000</v>
      </c>
      <c r="X503" s="411">
        <f t="shared" si="82"/>
        <v>4277</v>
      </c>
      <c r="Y503" s="261">
        <v>6</v>
      </c>
      <c r="Z503" s="261">
        <v>6</v>
      </c>
      <c r="AA503" s="407" t="s">
        <v>595</v>
      </c>
      <c r="AB503" s="258" t="s">
        <v>73</v>
      </c>
      <c r="AC503" s="258"/>
      <c r="AD503" s="258" t="s">
        <v>2131</v>
      </c>
      <c r="AE503" s="258" t="s">
        <v>2129</v>
      </c>
      <c r="AF503" s="259"/>
      <c r="AG503" s="260"/>
      <c r="AH503" s="259"/>
      <c r="AI503" s="259"/>
      <c r="AJ503" s="260"/>
      <c r="AK503" s="259">
        <v>26</v>
      </c>
      <c r="AL503" s="259"/>
      <c r="AM503" s="259" t="s">
        <v>3377</v>
      </c>
      <c r="AN503" s="449"/>
      <c r="AO503" s="449"/>
      <c r="AP503" s="449"/>
      <c r="AQ503" s="392" t="str">
        <f>IFERROR(VLOOKUP(BG503,#REF!,1,0),"")</f>
        <v/>
      </c>
      <c r="AS503" s="259" t="s">
        <v>3229</v>
      </c>
      <c r="BD503" s="202" t="str">
        <f t="shared" si="74"/>
        <v>토레스T7 2WD</v>
      </c>
      <c r="BE503" s="261" t="str">
        <f t="shared" si="80"/>
        <v>0049</v>
      </c>
      <c r="BF503" s="407" t="s">
        <v>595</v>
      </c>
      <c r="BG503" s="202" t="str">
        <f t="shared" si="75"/>
        <v>0049-0502</v>
      </c>
    </row>
    <row r="504" spans="1:59">
      <c r="A504" s="405">
        <v>4278</v>
      </c>
      <c r="B504" s="406">
        <v>4278</v>
      </c>
      <c r="C504" s="261" t="str">
        <f t="shared" si="76"/>
        <v>0003-0049</v>
      </c>
      <c r="D504" s="261" t="str">
        <f t="shared" si="77"/>
        <v>0003-0049-0003</v>
      </c>
      <c r="E504" s="407" t="s">
        <v>594</v>
      </c>
      <c r="F504" s="261" t="str">
        <f>TEXT(VLOOKUP(J504,'[3]1'!$B$2:$D$37,2,0),"0000")</f>
        <v>0003</v>
      </c>
      <c r="G504" s="261" t="str">
        <f t="shared" si="78"/>
        <v>0049</v>
      </c>
      <c r="H504" s="408">
        <f t="shared" si="79"/>
        <v>3</v>
      </c>
      <c r="I504" s="407" t="s">
        <v>594</v>
      </c>
      <c r="J504" s="258" t="s">
        <v>728</v>
      </c>
      <c r="K504" s="258" t="s">
        <v>3375</v>
      </c>
      <c r="L504" s="258" t="s">
        <v>3379</v>
      </c>
      <c r="M504" s="409">
        <v>30540000</v>
      </c>
      <c r="N504" s="258">
        <v>1497</v>
      </c>
      <c r="O504" s="258" t="s">
        <v>77</v>
      </c>
      <c r="P504" s="258" t="s">
        <v>73</v>
      </c>
      <c r="Q504" s="258" t="s">
        <v>72</v>
      </c>
      <c r="R504" s="258">
        <v>5</v>
      </c>
      <c r="S504" s="410">
        <v>7</v>
      </c>
      <c r="T504" s="261">
        <v>6</v>
      </c>
      <c r="U504" s="261">
        <v>6</v>
      </c>
      <c r="V504" s="258" t="s">
        <v>1969</v>
      </c>
      <c r="W504" s="261" t="str">
        <f t="shared" si="81"/>
        <v>쌍용자동차토레스T5 4WD30540000</v>
      </c>
      <c r="X504" s="411">
        <f t="shared" si="82"/>
        <v>4278</v>
      </c>
      <c r="Y504" s="261">
        <v>6</v>
      </c>
      <c r="Z504" s="261">
        <v>6</v>
      </c>
      <c r="AA504" s="407" t="s">
        <v>594</v>
      </c>
      <c r="AB504" s="258" t="s">
        <v>73</v>
      </c>
      <c r="AC504" s="258"/>
      <c r="AD504" s="258" t="s">
        <v>2131</v>
      </c>
      <c r="AE504" s="258" t="s">
        <v>2129</v>
      </c>
      <c r="AF504" s="259"/>
      <c r="AG504" s="260"/>
      <c r="AH504" s="259"/>
      <c r="AI504" s="259"/>
      <c r="AJ504" s="260"/>
      <c r="AK504" s="259">
        <v>26</v>
      </c>
      <c r="AL504" s="259"/>
      <c r="AM504" s="259" t="s">
        <v>3377</v>
      </c>
      <c r="AN504" s="449"/>
      <c r="AO504" s="449"/>
      <c r="AP504" s="449"/>
      <c r="AQ504" s="392" t="str">
        <f>IFERROR(VLOOKUP(BG504,#REF!,1,0),"")</f>
        <v/>
      </c>
      <c r="AS504" s="259" t="s">
        <v>3229</v>
      </c>
      <c r="BD504" s="202" t="str">
        <f t="shared" si="74"/>
        <v>토레스T5 4WD</v>
      </c>
      <c r="BE504" s="261" t="str">
        <f t="shared" si="80"/>
        <v>0049</v>
      </c>
      <c r="BF504" s="407" t="s">
        <v>594</v>
      </c>
      <c r="BG504" s="202" t="str">
        <f t="shared" si="75"/>
        <v>0049-0503</v>
      </c>
    </row>
    <row r="505" spans="1:59">
      <c r="A505" s="405">
        <v>4279</v>
      </c>
      <c r="B505" s="406">
        <v>4279</v>
      </c>
      <c r="C505" s="261" t="str">
        <f t="shared" si="76"/>
        <v>0003-0049</v>
      </c>
      <c r="D505" s="261" t="str">
        <f t="shared" si="77"/>
        <v>0003-0049-0004</v>
      </c>
      <c r="E505" s="407" t="s">
        <v>593</v>
      </c>
      <c r="F505" s="261" t="str">
        <f>TEXT(VLOOKUP(J505,'[3]1'!$B$2:$D$37,2,0),"0000")</f>
        <v>0003</v>
      </c>
      <c r="G505" s="261" t="str">
        <f t="shared" si="78"/>
        <v>0049</v>
      </c>
      <c r="H505" s="408">
        <f t="shared" si="79"/>
        <v>4</v>
      </c>
      <c r="I505" s="407" t="s">
        <v>593</v>
      </c>
      <c r="J505" s="258" t="s">
        <v>728</v>
      </c>
      <c r="K505" s="258" t="s">
        <v>3375</v>
      </c>
      <c r="L505" s="258" t="s">
        <v>3380</v>
      </c>
      <c r="M505" s="409">
        <v>28520000</v>
      </c>
      <c r="N505" s="258">
        <v>1497</v>
      </c>
      <c r="O505" s="258" t="s">
        <v>77</v>
      </c>
      <c r="P505" s="258" t="s">
        <v>73</v>
      </c>
      <c r="Q505" s="258" t="s">
        <v>72</v>
      </c>
      <c r="R505" s="258">
        <v>5</v>
      </c>
      <c r="S505" s="410">
        <v>7</v>
      </c>
      <c r="T505" s="261">
        <v>6</v>
      </c>
      <c r="U505" s="261">
        <v>6</v>
      </c>
      <c r="V505" s="258" t="s">
        <v>3329</v>
      </c>
      <c r="W505" s="261" t="str">
        <f t="shared" si="81"/>
        <v>쌍용자동차토레스T5 2WD28520000</v>
      </c>
      <c r="X505" s="411">
        <f t="shared" si="82"/>
        <v>4279</v>
      </c>
      <c r="Y505" s="261">
        <v>6</v>
      </c>
      <c r="Z505" s="261">
        <v>6</v>
      </c>
      <c r="AA505" s="407" t="s">
        <v>593</v>
      </c>
      <c r="AB505" s="258" t="s">
        <v>73</v>
      </c>
      <c r="AC505" s="258"/>
      <c r="AD505" s="258" t="s">
        <v>2131</v>
      </c>
      <c r="AE505" s="258" t="s">
        <v>2129</v>
      </c>
      <c r="AF505" s="259"/>
      <c r="AG505" s="260"/>
      <c r="AH505" s="259"/>
      <c r="AI505" s="259"/>
      <c r="AJ505" s="260"/>
      <c r="AK505" s="259">
        <v>26</v>
      </c>
      <c r="AL505" s="259"/>
      <c r="AM505" s="259" t="s">
        <v>3377</v>
      </c>
      <c r="AN505" s="449"/>
      <c r="AO505" s="449"/>
      <c r="AP505" s="449"/>
      <c r="AQ505" s="392" t="str">
        <f>IFERROR(VLOOKUP(BG505,#REF!,1,0),"")</f>
        <v/>
      </c>
      <c r="AS505" s="259" t="s">
        <v>3229</v>
      </c>
      <c r="BD505" s="202" t="str">
        <f t="shared" si="74"/>
        <v>토레스T5 2WD</v>
      </c>
      <c r="BE505" s="261" t="str">
        <f t="shared" si="80"/>
        <v>0049</v>
      </c>
      <c r="BF505" s="407" t="s">
        <v>593</v>
      </c>
      <c r="BG505" s="202" t="str">
        <f t="shared" si="75"/>
        <v>0049-0504</v>
      </c>
    </row>
    <row r="506" spans="1:59">
      <c r="A506" s="405">
        <v>4280</v>
      </c>
      <c r="B506" s="406">
        <v>4280</v>
      </c>
      <c r="C506" s="261" t="str">
        <f t="shared" si="76"/>
        <v>0002-0050</v>
      </c>
      <c r="D506" s="261" t="str">
        <f t="shared" si="77"/>
        <v>0002-0050-0001</v>
      </c>
      <c r="E506" s="407" t="s">
        <v>592</v>
      </c>
      <c r="F506" s="261" t="str">
        <f>TEXT(VLOOKUP(J506,'[3]1'!$B$2:$D$37,2,0),"0000")</f>
        <v>0002</v>
      </c>
      <c r="G506" s="261" t="str">
        <f t="shared" si="78"/>
        <v>0050</v>
      </c>
      <c r="H506" s="408">
        <f t="shared" si="79"/>
        <v>1</v>
      </c>
      <c r="I506" s="407" t="s">
        <v>592</v>
      </c>
      <c r="J506" s="258" t="s">
        <v>773</v>
      </c>
      <c r="K506" s="258" t="s">
        <v>2729</v>
      </c>
      <c r="L506" s="258" t="s">
        <v>2341</v>
      </c>
      <c r="M506" s="409">
        <v>27690000</v>
      </c>
      <c r="N506" s="258">
        <v>1998</v>
      </c>
      <c r="O506" s="258" t="s">
        <v>2137</v>
      </c>
      <c r="P506" s="258" t="s">
        <v>1965</v>
      </c>
      <c r="Q506" s="258" t="s">
        <v>72</v>
      </c>
      <c r="R506" s="258">
        <v>5</v>
      </c>
      <c r="S506" s="410">
        <v>17</v>
      </c>
      <c r="T506" s="261">
        <v>6</v>
      </c>
      <c r="U506" s="261">
        <v>6</v>
      </c>
      <c r="V506" s="258" t="s">
        <v>3993</v>
      </c>
      <c r="W506" s="261" t="str">
        <f t="shared" si="81"/>
        <v>삼성자동차QM62.0 LPe RE27690000</v>
      </c>
      <c r="X506" s="411">
        <f t="shared" si="82"/>
        <v>4280</v>
      </c>
      <c r="Y506" s="261">
        <v>6</v>
      </c>
      <c r="Z506" s="261">
        <v>6</v>
      </c>
      <c r="AA506" s="407" t="s">
        <v>592</v>
      </c>
      <c r="AB506" s="258" t="s">
        <v>1965</v>
      </c>
      <c r="AC506" s="258"/>
      <c r="AD506" s="258" t="s">
        <v>2132</v>
      </c>
      <c r="AE506" s="258" t="s">
        <v>2129</v>
      </c>
      <c r="AF506" s="259"/>
      <c r="AG506" s="260"/>
      <c r="AH506" s="259"/>
      <c r="AI506" s="259"/>
      <c r="AJ506" s="260"/>
      <c r="AK506" s="259">
        <v>26</v>
      </c>
      <c r="AL506" s="259"/>
      <c r="AM506" s="259" t="s">
        <v>3234</v>
      </c>
      <c r="AN506" s="449"/>
      <c r="AO506" s="449"/>
      <c r="AP506" s="449"/>
      <c r="AQ506" s="392" t="str">
        <f>IFERROR(VLOOKUP(BG506,#REF!,1,0),"")</f>
        <v/>
      </c>
      <c r="AS506" s="259" t="s">
        <v>3236</v>
      </c>
      <c r="BD506" s="202" t="str">
        <f t="shared" si="74"/>
        <v>QM62.0 LPe RE</v>
      </c>
      <c r="BE506" s="261" t="str">
        <f t="shared" si="80"/>
        <v>0050</v>
      </c>
      <c r="BF506" s="407" t="s">
        <v>592</v>
      </c>
      <c r="BG506" s="202" t="str">
        <f t="shared" si="75"/>
        <v>0050-0505</v>
      </c>
    </row>
    <row r="507" spans="1:59">
      <c r="A507" s="405">
        <v>4281</v>
      </c>
      <c r="B507" s="406">
        <v>4281</v>
      </c>
      <c r="C507" s="261" t="str">
        <f t="shared" si="76"/>
        <v>0002-0050</v>
      </c>
      <c r="D507" s="261" t="str">
        <f t="shared" si="77"/>
        <v>0002-0050-0002</v>
      </c>
      <c r="E507" s="407" t="s">
        <v>591</v>
      </c>
      <c r="F507" s="261" t="str">
        <f>TEXT(VLOOKUP(J507,'[3]1'!$B$2:$D$37,2,0),"0000")</f>
        <v>0002</v>
      </c>
      <c r="G507" s="261" t="str">
        <f t="shared" si="78"/>
        <v>0050</v>
      </c>
      <c r="H507" s="408">
        <f t="shared" si="79"/>
        <v>2</v>
      </c>
      <c r="I507" s="407" t="s">
        <v>591</v>
      </c>
      <c r="J507" s="258" t="s">
        <v>773</v>
      </c>
      <c r="K507" s="258" t="s">
        <v>2729</v>
      </c>
      <c r="L507" s="258" t="s">
        <v>2342</v>
      </c>
      <c r="M507" s="409">
        <v>29460000</v>
      </c>
      <c r="N507" s="258">
        <v>1998</v>
      </c>
      <c r="O507" s="258" t="s">
        <v>2137</v>
      </c>
      <c r="P507" s="258" t="s">
        <v>1965</v>
      </c>
      <c r="Q507" s="258" t="s">
        <v>72</v>
      </c>
      <c r="R507" s="258">
        <v>5</v>
      </c>
      <c r="S507" s="410">
        <v>17</v>
      </c>
      <c r="T507" s="261">
        <v>6</v>
      </c>
      <c r="U507" s="261">
        <v>6</v>
      </c>
      <c r="V507" s="258" t="s">
        <v>3993</v>
      </c>
      <c r="W507" s="261" t="str">
        <f t="shared" si="81"/>
        <v>삼성자동차QM62.0 LPe signature29460000</v>
      </c>
      <c r="X507" s="411">
        <f t="shared" si="82"/>
        <v>4281</v>
      </c>
      <c r="Y507" s="261">
        <v>6</v>
      </c>
      <c r="Z507" s="261">
        <v>6</v>
      </c>
      <c r="AA507" s="407" t="s">
        <v>591</v>
      </c>
      <c r="AB507" s="258" t="s">
        <v>1965</v>
      </c>
      <c r="AC507" s="258"/>
      <c r="AD507" s="258" t="s">
        <v>2132</v>
      </c>
      <c r="AE507" s="258" t="s">
        <v>2129</v>
      </c>
      <c r="AF507" s="259"/>
      <c r="AG507" s="260"/>
      <c r="AH507" s="259"/>
      <c r="AI507" s="259"/>
      <c r="AJ507" s="260"/>
      <c r="AK507" s="259">
        <v>26</v>
      </c>
      <c r="AL507" s="259"/>
      <c r="AM507" s="259" t="s">
        <v>3234</v>
      </c>
      <c r="AN507" s="449"/>
      <c r="AO507" s="449"/>
      <c r="AP507" s="449"/>
      <c r="AQ507" s="392" t="str">
        <f>IFERROR(VLOOKUP(BG507,#REF!,1,0),"")</f>
        <v/>
      </c>
      <c r="AS507" s="259" t="s">
        <v>3236</v>
      </c>
      <c r="BD507" s="202" t="str">
        <f t="shared" si="74"/>
        <v>QM62.0 LPe signature</v>
      </c>
      <c r="BE507" s="261" t="str">
        <f t="shared" si="80"/>
        <v>0050</v>
      </c>
      <c r="BF507" s="407" t="s">
        <v>591</v>
      </c>
      <c r="BG507" s="202" t="str">
        <f t="shared" si="75"/>
        <v>0050-0506</v>
      </c>
    </row>
    <row r="508" spans="1:59">
      <c r="A508" s="405">
        <v>4282</v>
      </c>
      <c r="B508" s="406">
        <v>4282</v>
      </c>
      <c r="C508" s="261" t="str">
        <f t="shared" si="76"/>
        <v>0002-0050</v>
      </c>
      <c r="D508" s="261" t="str">
        <f t="shared" si="77"/>
        <v>0002-0050-0003</v>
      </c>
      <c r="E508" s="407" t="s">
        <v>590</v>
      </c>
      <c r="F508" s="261" t="str">
        <f>TEXT(VLOOKUP(J508,'[3]1'!$B$2:$D$37,2,0),"0000")</f>
        <v>0002</v>
      </c>
      <c r="G508" s="261" t="str">
        <f t="shared" si="78"/>
        <v>0050</v>
      </c>
      <c r="H508" s="408">
        <f t="shared" si="79"/>
        <v>3</v>
      </c>
      <c r="I508" s="407" t="s">
        <v>590</v>
      </c>
      <c r="J508" s="258" t="s">
        <v>773</v>
      </c>
      <c r="K508" s="258" t="s">
        <v>2729</v>
      </c>
      <c r="L508" s="258" t="s">
        <v>2343</v>
      </c>
      <c r="M508" s="409">
        <v>25330000</v>
      </c>
      <c r="N508" s="258">
        <v>1998</v>
      </c>
      <c r="O508" s="258" t="s">
        <v>2137</v>
      </c>
      <c r="P508" s="258" t="s">
        <v>1965</v>
      </c>
      <c r="Q508" s="258" t="s">
        <v>72</v>
      </c>
      <c r="R508" s="258">
        <v>5</v>
      </c>
      <c r="S508" s="410">
        <v>17</v>
      </c>
      <c r="T508" s="261">
        <v>6</v>
      </c>
      <c r="U508" s="261">
        <v>6</v>
      </c>
      <c r="V508" s="258" t="s">
        <v>71</v>
      </c>
      <c r="W508" s="261" t="str">
        <f t="shared" si="81"/>
        <v>삼성자동차QM62.0 LPe LE25330000</v>
      </c>
      <c r="X508" s="411">
        <f t="shared" si="82"/>
        <v>4282</v>
      </c>
      <c r="Y508" s="261">
        <v>6</v>
      </c>
      <c r="Z508" s="261">
        <v>6</v>
      </c>
      <c r="AA508" s="407" t="s">
        <v>590</v>
      </c>
      <c r="AB508" s="258" t="s">
        <v>1965</v>
      </c>
      <c r="AC508" s="258"/>
      <c r="AD508" s="258" t="s">
        <v>2132</v>
      </c>
      <c r="AE508" s="258" t="s">
        <v>2129</v>
      </c>
      <c r="AF508" s="259"/>
      <c r="AG508" s="260"/>
      <c r="AH508" s="259"/>
      <c r="AI508" s="259"/>
      <c r="AJ508" s="260"/>
      <c r="AK508" s="259">
        <v>26</v>
      </c>
      <c r="AL508" s="259"/>
      <c r="AM508" s="259" t="s">
        <v>3234</v>
      </c>
      <c r="AN508" s="449"/>
      <c r="AO508" s="449"/>
      <c r="AP508" s="449"/>
      <c r="AQ508" s="392" t="str">
        <f>IFERROR(VLOOKUP(BG508,#REF!,1,0),"")</f>
        <v/>
      </c>
      <c r="AS508" s="259" t="s">
        <v>3236</v>
      </c>
      <c r="BD508" s="202" t="str">
        <f t="shared" si="74"/>
        <v>QM62.0 LPe LE</v>
      </c>
      <c r="BE508" s="261" t="str">
        <f t="shared" si="80"/>
        <v>0050</v>
      </c>
      <c r="BF508" s="407" t="s">
        <v>590</v>
      </c>
      <c r="BG508" s="202" t="str">
        <f t="shared" si="75"/>
        <v>0050-0507</v>
      </c>
    </row>
    <row r="509" spans="1:59">
      <c r="A509" s="405">
        <v>4283</v>
      </c>
      <c r="B509" s="406">
        <v>4283</v>
      </c>
      <c r="C509" s="261" t="str">
        <f t="shared" si="76"/>
        <v>0002-0050</v>
      </c>
      <c r="D509" s="261" t="str">
        <f t="shared" si="77"/>
        <v>0002-0050-0004</v>
      </c>
      <c r="E509" s="407" t="s">
        <v>589</v>
      </c>
      <c r="F509" s="261" t="str">
        <f>TEXT(VLOOKUP(J509,'[3]1'!$B$2:$D$37,2,0),"0000")</f>
        <v>0002</v>
      </c>
      <c r="G509" s="261" t="str">
        <f t="shared" si="78"/>
        <v>0050</v>
      </c>
      <c r="H509" s="408">
        <f t="shared" si="79"/>
        <v>4</v>
      </c>
      <c r="I509" s="407" t="s">
        <v>589</v>
      </c>
      <c r="J509" s="258" t="s">
        <v>773</v>
      </c>
      <c r="K509" s="258" t="s">
        <v>2729</v>
      </c>
      <c r="L509" s="258" t="s">
        <v>2344</v>
      </c>
      <c r="M509" s="409">
        <v>23760000</v>
      </c>
      <c r="N509" s="258">
        <v>1998</v>
      </c>
      <c r="O509" s="258" t="s">
        <v>2137</v>
      </c>
      <c r="P509" s="258" t="s">
        <v>1965</v>
      </c>
      <c r="Q509" s="258" t="s">
        <v>72</v>
      </c>
      <c r="R509" s="258">
        <v>5</v>
      </c>
      <c r="S509" s="410">
        <v>17</v>
      </c>
      <c r="T509" s="261">
        <v>6</v>
      </c>
      <c r="U509" s="261">
        <v>6</v>
      </c>
      <c r="V509" s="258" t="s">
        <v>71</v>
      </c>
      <c r="W509" s="261" t="str">
        <f t="shared" si="81"/>
        <v>삼성자동차QM62.0 LPe SE23760000</v>
      </c>
      <c r="X509" s="411">
        <f t="shared" si="82"/>
        <v>4283</v>
      </c>
      <c r="Y509" s="261">
        <v>6</v>
      </c>
      <c r="Z509" s="261">
        <v>6</v>
      </c>
      <c r="AA509" s="407" t="s">
        <v>589</v>
      </c>
      <c r="AB509" s="258" t="s">
        <v>1965</v>
      </c>
      <c r="AC509" s="258"/>
      <c r="AD509" s="258" t="s">
        <v>2132</v>
      </c>
      <c r="AE509" s="258" t="s">
        <v>2129</v>
      </c>
      <c r="AF509" s="259"/>
      <c r="AG509" s="260"/>
      <c r="AH509" s="259"/>
      <c r="AI509" s="259"/>
      <c r="AJ509" s="260"/>
      <c r="AK509" s="259">
        <v>26</v>
      </c>
      <c r="AL509" s="259"/>
      <c r="AM509" s="259" t="s">
        <v>3234</v>
      </c>
      <c r="AN509" s="449"/>
      <c r="AO509" s="449"/>
      <c r="AP509" s="449"/>
      <c r="AQ509" s="392" t="str">
        <f>IFERROR(VLOOKUP(BG509,#REF!,1,0),"")</f>
        <v/>
      </c>
      <c r="AS509" s="259" t="s">
        <v>3236</v>
      </c>
      <c r="BD509" s="202" t="str">
        <f t="shared" si="74"/>
        <v>QM62.0 LPe SE</v>
      </c>
      <c r="BE509" s="261" t="str">
        <f t="shared" si="80"/>
        <v>0050</v>
      </c>
      <c r="BF509" s="407" t="s">
        <v>589</v>
      </c>
      <c r="BG509" s="202" t="str">
        <f t="shared" si="75"/>
        <v>0050-0508</v>
      </c>
    </row>
    <row r="510" spans="1:59">
      <c r="A510" s="405">
        <v>4284</v>
      </c>
      <c r="B510" s="406">
        <v>4284</v>
      </c>
      <c r="C510" s="261" t="str">
        <f t="shared" si="76"/>
        <v>0002-0050</v>
      </c>
      <c r="D510" s="261" t="str">
        <f t="shared" si="77"/>
        <v>0002-0050-0005</v>
      </c>
      <c r="E510" s="407" t="s">
        <v>588</v>
      </c>
      <c r="F510" s="261" t="str">
        <f>TEXT(VLOOKUP(J510,'[3]1'!$B$2:$D$37,2,0),"0000")</f>
        <v>0002</v>
      </c>
      <c r="G510" s="261" t="str">
        <f t="shared" si="78"/>
        <v>0050</v>
      </c>
      <c r="H510" s="408">
        <f t="shared" si="79"/>
        <v>5</v>
      </c>
      <c r="I510" s="407" t="s">
        <v>588</v>
      </c>
      <c r="J510" s="258" t="s">
        <v>773</v>
      </c>
      <c r="K510" s="258" t="s">
        <v>2729</v>
      </c>
      <c r="L510" s="258" t="s">
        <v>2345</v>
      </c>
      <c r="M510" s="409">
        <v>30190000</v>
      </c>
      <c r="N510" s="258">
        <v>1749</v>
      </c>
      <c r="O510" s="258" t="s">
        <v>78</v>
      </c>
      <c r="P510" s="258" t="s">
        <v>1965</v>
      </c>
      <c r="Q510" s="258" t="s">
        <v>72</v>
      </c>
      <c r="R510" s="258">
        <v>5</v>
      </c>
      <c r="S510" s="410">
        <v>5</v>
      </c>
      <c r="T510" s="261">
        <v>6</v>
      </c>
      <c r="U510" s="261">
        <v>6</v>
      </c>
      <c r="V510" s="258" t="s">
        <v>3329</v>
      </c>
      <c r="W510" s="261" t="str">
        <f t="shared" si="81"/>
        <v>삼성자동차QM61.7 dCi RE 2WD30190000</v>
      </c>
      <c r="X510" s="411">
        <f t="shared" si="82"/>
        <v>4284</v>
      </c>
      <c r="Y510" s="261">
        <v>6</v>
      </c>
      <c r="Z510" s="261">
        <v>6</v>
      </c>
      <c r="AA510" s="407" t="s">
        <v>588</v>
      </c>
      <c r="AB510" s="258" t="s">
        <v>1965</v>
      </c>
      <c r="AC510" s="258"/>
      <c r="AD510" s="258" t="s">
        <v>2132</v>
      </c>
      <c r="AE510" s="258" t="s">
        <v>2129</v>
      </c>
      <c r="AF510" s="259"/>
      <c r="AG510" s="260"/>
      <c r="AH510" s="259"/>
      <c r="AI510" s="259"/>
      <c r="AJ510" s="260"/>
      <c r="AK510" s="259">
        <v>26</v>
      </c>
      <c r="AL510" s="259"/>
      <c r="AM510" s="259" t="s">
        <v>93</v>
      </c>
      <c r="AN510" s="449"/>
      <c r="AO510" s="449"/>
      <c r="AP510" s="449"/>
      <c r="AQ510" s="392" t="str">
        <f>IFERROR(VLOOKUP(BG510,#REF!,1,0),"")</f>
        <v/>
      </c>
      <c r="AS510" s="259" t="s">
        <v>93</v>
      </c>
      <c r="BD510" s="202" t="str">
        <f t="shared" si="74"/>
        <v>QM61.7 dCi RE 2WD</v>
      </c>
      <c r="BE510" s="261" t="str">
        <f t="shared" si="80"/>
        <v>0050</v>
      </c>
      <c r="BF510" s="407" t="s">
        <v>588</v>
      </c>
      <c r="BG510" s="202" t="str">
        <f t="shared" si="75"/>
        <v>0050-0509</v>
      </c>
    </row>
    <row r="511" spans="1:59">
      <c r="A511" s="405">
        <v>4285</v>
      </c>
      <c r="B511" s="406">
        <v>4285</v>
      </c>
      <c r="C511" s="261" t="str">
        <f t="shared" si="76"/>
        <v>0002-0050</v>
      </c>
      <c r="D511" s="261" t="str">
        <f t="shared" si="77"/>
        <v>0002-0050-0006</v>
      </c>
      <c r="E511" s="407" t="s">
        <v>587</v>
      </c>
      <c r="F511" s="261" t="str">
        <f>TEXT(VLOOKUP(J511,'[3]1'!$B$2:$D$37,2,0),"0000")</f>
        <v>0002</v>
      </c>
      <c r="G511" s="261" t="str">
        <f t="shared" si="78"/>
        <v>0050</v>
      </c>
      <c r="H511" s="408">
        <f t="shared" si="79"/>
        <v>6</v>
      </c>
      <c r="I511" s="407" t="s">
        <v>587</v>
      </c>
      <c r="J511" s="258" t="s">
        <v>773</v>
      </c>
      <c r="K511" s="258" t="s">
        <v>2729</v>
      </c>
      <c r="L511" s="258" t="s">
        <v>2346</v>
      </c>
      <c r="M511" s="409">
        <v>33190000</v>
      </c>
      <c r="N511" s="258">
        <v>1749</v>
      </c>
      <c r="O511" s="258" t="s">
        <v>78</v>
      </c>
      <c r="P511" s="258" t="s">
        <v>1965</v>
      </c>
      <c r="Q511" s="258" t="s">
        <v>72</v>
      </c>
      <c r="R511" s="258">
        <v>8</v>
      </c>
      <c r="S511" s="410">
        <v>5</v>
      </c>
      <c r="T511" s="261">
        <v>6</v>
      </c>
      <c r="U511" s="261">
        <v>6</v>
      </c>
      <c r="V511" s="258" t="s">
        <v>71</v>
      </c>
      <c r="W511" s="261" t="str">
        <f t="shared" si="81"/>
        <v>삼성자동차QM61.7 dCi RE Signature  2WD33190000</v>
      </c>
      <c r="X511" s="411">
        <f t="shared" si="82"/>
        <v>4285</v>
      </c>
      <c r="Y511" s="261">
        <v>6</v>
      </c>
      <c r="Z511" s="261">
        <v>6</v>
      </c>
      <c r="AA511" s="407" t="s">
        <v>587</v>
      </c>
      <c r="AB511" s="258" t="s">
        <v>1965</v>
      </c>
      <c r="AC511" s="258"/>
      <c r="AD511" s="258" t="s">
        <v>2132</v>
      </c>
      <c r="AE511" s="258" t="s">
        <v>2129</v>
      </c>
      <c r="AF511" s="259"/>
      <c r="AG511" s="260"/>
      <c r="AH511" s="259"/>
      <c r="AI511" s="259"/>
      <c r="AJ511" s="260"/>
      <c r="AK511" s="259">
        <v>26</v>
      </c>
      <c r="AL511" s="259"/>
      <c r="AM511" s="259" t="s">
        <v>93</v>
      </c>
      <c r="AN511" s="449"/>
      <c r="AO511" s="449"/>
      <c r="AP511" s="449"/>
      <c r="AQ511" s="392" t="str">
        <f>IFERROR(VLOOKUP(BG511,#REF!,1,0),"")</f>
        <v/>
      </c>
      <c r="AS511" s="259" t="s">
        <v>93</v>
      </c>
      <c r="BD511" s="202" t="str">
        <f t="shared" si="74"/>
        <v>QM61.7 dCi RE Signature  2WD</v>
      </c>
      <c r="BE511" s="261" t="str">
        <f t="shared" si="80"/>
        <v>0050</v>
      </c>
      <c r="BF511" s="407" t="s">
        <v>587</v>
      </c>
      <c r="BG511" s="202" t="str">
        <f t="shared" si="75"/>
        <v>0050-0510</v>
      </c>
    </row>
    <row r="512" spans="1:59">
      <c r="A512" s="405">
        <v>4286</v>
      </c>
      <c r="B512" s="406">
        <v>4286</v>
      </c>
      <c r="C512" s="261" t="str">
        <f t="shared" si="76"/>
        <v>0002-0050</v>
      </c>
      <c r="D512" s="261" t="str">
        <f t="shared" si="77"/>
        <v>0002-0050-0007</v>
      </c>
      <c r="E512" s="407" t="s">
        <v>586</v>
      </c>
      <c r="F512" s="261" t="str">
        <f>TEXT(VLOOKUP(J512,'[3]1'!$B$2:$D$37,2,0),"0000")</f>
        <v>0002</v>
      </c>
      <c r="G512" s="261" t="str">
        <f t="shared" si="78"/>
        <v>0050</v>
      </c>
      <c r="H512" s="408">
        <f t="shared" si="79"/>
        <v>7</v>
      </c>
      <c r="I512" s="407" t="s">
        <v>586</v>
      </c>
      <c r="J512" s="258" t="s">
        <v>773</v>
      </c>
      <c r="K512" s="258" t="s">
        <v>2729</v>
      </c>
      <c r="L512" s="258" t="s">
        <v>2347</v>
      </c>
      <c r="M512" s="409">
        <v>27250000</v>
      </c>
      <c r="N512" s="258">
        <v>1749</v>
      </c>
      <c r="O512" s="258" t="s">
        <v>78</v>
      </c>
      <c r="P512" s="258" t="s">
        <v>1965</v>
      </c>
      <c r="Q512" s="258" t="s">
        <v>72</v>
      </c>
      <c r="R512" s="258">
        <v>8</v>
      </c>
      <c r="S512" s="410">
        <v>5</v>
      </c>
      <c r="T512" s="261">
        <v>6</v>
      </c>
      <c r="U512" s="261">
        <v>6</v>
      </c>
      <c r="V512" s="258" t="s">
        <v>71</v>
      </c>
      <c r="W512" s="261" t="str">
        <f t="shared" si="81"/>
        <v>삼성자동차QM61.7 dCi SE 2WD27250000</v>
      </c>
      <c r="X512" s="411">
        <f t="shared" si="82"/>
        <v>4286</v>
      </c>
      <c r="Y512" s="261">
        <v>6</v>
      </c>
      <c r="Z512" s="261">
        <v>6</v>
      </c>
      <c r="AA512" s="407" t="s">
        <v>586</v>
      </c>
      <c r="AB512" s="258" t="s">
        <v>1965</v>
      </c>
      <c r="AC512" s="258"/>
      <c r="AD512" s="258" t="s">
        <v>2132</v>
      </c>
      <c r="AE512" s="258" t="s">
        <v>2129</v>
      </c>
      <c r="AF512" s="259"/>
      <c r="AG512" s="260"/>
      <c r="AH512" s="259"/>
      <c r="AI512" s="259"/>
      <c r="AJ512" s="260"/>
      <c r="AK512" s="259">
        <v>26</v>
      </c>
      <c r="AL512" s="259"/>
      <c r="AM512" s="259" t="s">
        <v>93</v>
      </c>
      <c r="AN512" s="449"/>
      <c r="AO512" s="449"/>
      <c r="AP512" s="449"/>
      <c r="AQ512" s="392" t="str">
        <f>IFERROR(VLOOKUP(BG512,#REF!,1,0),"")</f>
        <v/>
      </c>
      <c r="AS512" s="259" t="s">
        <v>93</v>
      </c>
      <c r="BD512" s="202" t="str">
        <f t="shared" si="74"/>
        <v>QM61.7 dCi SE 2WD</v>
      </c>
      <c r="BE512" s="261" t="str">
        <f t="shared" si="80"/>
        <v>0050</v>
      </c>
      <c r="BF512" s="407" t="s">
        <v>586</v>
      </c>
      <c r="BG512" s="202" t="str">
        <f t="shared" si="75"/>
        <v>0050-0511</v>
      </c>
    </row>
    <row r="513" spans="1:59">
      <c r="A513" s="405">
        <v>4287</v>
      </c>
      <c r="B513" s="406">
        <v>4287</v>
      </c>
      <c r="C513" s="261" t="str">
        <f t="shared" si="76"/>
        <v>0002-0050</v>
      </c>
      <c r="D513" s="261" t="str">
        <f t="shared" si="77"/>
        <v>0002-0050-0008</v>
      </c>
      <c r="E513" s="407" t="s">
        <v>585</v>
      </c>
      <c r="F513" s="261" t="str">
        <f>TEXT(VLOOKUP(J513,'[3]1'!$B$2:$D$37,2,0),"0000")</f>
        <v>0002</v>
      </c>
      <c r="G513" s="261" t="str">
        <f t="shared" si="78"/>
        <v>0050</v>
      </c>
      <c r="H513" s="408">
        <f t="shared" si="79"/>
        <v>8</v>
      </c>
      <c r="I513" s="407" t="s">
        <v>585</v>
      </c>
      <c r="J513" s="258" t="s">
        <v>773</v>
      </c>
      <c r="K513" s="258" t="s">
        <v>2729</v>
      </c>
      <c r="L513" s="258" t="s">
        <v>2348</v>
      </c>
      <c r="M513" s="409">
        <v>26020000</v>
      </c>
      <c r="N513" s="258">
        <v>1997</v>
      </c>
      <c r="O513" s="258" t="s">
        <v>77</v>
      </c>
      <c r="P513" s="258" t="s">
        <v>1965</v>
      </c>
      <c r="Q513" s="258" t="s">
        <v>72</v>
      </c>
      <c r="R513" s="258">
        <v>8</v>
      </c>
      <c r="S513" s="410">
        <v>15</v>
      </c>
      <c r="T513" s="261">
        <v>6</v>
      </c>
      <c r="U513" s="261">
        <v>6</v>
      </c>
      <c r="V513" s="258" t="s">
        <v>71</v>
      </c>
      <c r="W513" s="261" t="str">
        <f t="shared" si="81"/>
        <v>삼성자동차QM62.0 GDe LE26020000</v>
      </c>
      <c r="X513" s="411">
        <f t="shared" si="82"/>
        <v>4287</v>
      </c>
      <c r="Y513" s="261">
        <v>6</v>
      </c>
      <c r="Z513" s="261">
        <v>6</v>
      </c>
      <c r="AA513" s="407" t="s">
        <v>585</v>
      </c>
      <c r="AB513" s="258" t="s">
        <v>1965</v>
      </c>
      <c r="AC513" s="258"/>
      <c r="AD513" s="258" t="s">
        <v>2135</v>
      </c>
      <c r="AE513" s="258" t="s">
        <v>2129</v>
      </c>
      <c r="AF513" s="259"/>
      <c r="AG513" s="260"/>
      <c r="AH513" s="259"/>
      <c r="AI513" s="259"/>
      <c r="AJ513" s="260"/>
      <c r="AK513" s="259">
        <v>26</v>
      </c>
      <c r="AL513" s="259"/>
      <c r="AM513" s="259" t="s">
        <v>3235</v>
      </c>
      <c r="AN513" s="449"/>
      <c r="AO513" s="449"/>
      <c r="AP513" s="449"/>
      <c r="AQ513" s="392" t="str">
        <f>IFERROR(VLOOKUP(BG513,#REF!,1,0),"")</f>
        <v/>
      </c>
      <c r="AS513" s="259" t="s">
        <v>3233</v>
      </c>
      <c r="BD513" s="202" t="str">
        <f t="shared" si="74"/>
        <v>QM62.0 GDe LE</v>
      </c>
      <c r="BE513" s="261" t="str">
        <f t="shared" si="80"/>
        <v>0050</v>
      </c>
      <c r="BF513" s="407" t="s">
        <v>585</v>
      </c>
      <c r="BG513" s="202" t="str">
        <f t="shared" si="75"/>
        <v>0050-0512</v>
      </c>
    </row>
    <row r="514" spans="1:59">
      <c r="A514" s="405">
        <v>4288</v>
      </c>
      <c r="B514" s="406">
        <v>4288</v>
      </c>
      <c r="C514" s="261" t="str">
        <f t="shared" si="76"/>
        <v>0002-0050</v>
      </c>
      <c r="D514" s="261" t="str">
        <f t="shared" si="77"/>
        <v>0002-0050-0009</v>
      </c>
      <c r="E514" s="407" t="s">
        <v>584</v>
      </c>
      <c r="F514" s="261" t="str">
        <f>TEXT(VLOOKUP(J514,'[3]1'!$B$2:$D$37,2,0),"0000")</f>
        <v>0002</v>
      </c>
      <c r="G514" s="261" t="str">
        <f t="shared" si="78"/>
        <v>0050</v>
      </c>
      <c r="H514" s="408">
        <f t="shared" si="79"/>
        <v>9</v>
      </c>
      <c r="I514" s="407" t="s">
        <v>584</v>
      </c>
      <c r="J514" s="258" t="s">
        <v>773</v>
      </c>
      <c r="K514" s="258" t="s">
        <v>2729</v>
      </c>
      <c r="L514" s="258" t="s">
        <v>2349</v>
      </c>
      <c r="M514" s="409">
        <v>32890000</v>
      </c>
      <c r="N514" s="258">
        <v>1997</v>
      </c>
      <c r="O514" s="258" t="s">
        <v>77</v>
      </c>
      <c r="P514" s="258" t="s">
        <v>1965</v>
      </c>
      <c r="Q514" s="258" t="s">
        <v>72</v>
      </c>
      <c r="R514" s="258">
        <v>8</v>
      </c>
      <c r="S514" s="410">
        <v>15</v>
      </c>
      <c r="T514" s="261">
        <v>6</v>
      </c>
      <c r="U514" s="261">
        <v>6</v>
      </c>
      <c r="V514" s="258" t="s">
        <v>71</v>
      </c>
      <c r="W514" s="261" t="str">
        <f t="shared" si="81"/>
        <v>삼성자동차QM62.0 GDe premiere32890000</v>
      </c>
      <c r="X514" s="411">
        <f t="shared" si="82"/>
        <v>4288</v>
      </c>
      <c r="Y514" s="261">
        <v>6</v>
      </c>
      <c r="Z514" s="261">
        <v>6</v>
      </c>
      <c r="AA514" s="407" t="s">
        <v>584</v>
      </c>
      <c r="AB514" s="258" t="s">
        <v>1965</v>
      </c>
      <c r="AC514" s="258"/>
      <c r="AD514" s="258" t="s">
        <v>2132</v>
      </c>
      <c r="AE514" s="258" t="s">
        <v>2129</v>
      </c>
      <c r="AF514" s="259"/>
      <c r="AG514" s="260"/>
      <c r="AH514" s="259"/>
      <c r="AI514" s="259"/>
      <c r="AJ514" s="260"/>
      <c r="AK514" s="259">
        <v>26</v>
      </c>
      <c r="AL514" s="259"/>
      <c r="AM514" s="259" t="s">
        <v>3235</v>
      </c>
      <c r="AN514" s="449"/>
      <c r="AO514" s="449"/>
      <c r="AP514" s="449"/>
      <c r="AQ514" s="392" t="str">
        <f>IFERROR(VLOOKUP(BG514,#REF!,1,0),"")</f>
        <v/>
      </c>
      <c r="AS514" s="259" t="s">
        <v>3233</v>
      </c>
      <c r="BD514" s="202" t="str">
        <f t="shared" si="74"/>
        <v>QM62.0 GDe premiere</v>
      </c>
      <c r="BE514" s="261" t="str">
        <f t="shared" si="80"/>
        <v>0050</v>
      </c>
      <c r="BF514" s="407" t="s">
        <v>584</v>
      </c>
      <c r="BG514" s="202" t="str">
        <f t="shared" si="75"/>
        <v>0050-0513</v>
      </c>
    </row>
    <row r="515" spans="1:59">
      <c r="A515" s="405">
        <v>4289</v>
      </c>
      <c r="B515" s="406">
        <v>4289</v>
      </c>
      <c r="C515" s="261" t="str">
        <f t="shared" si="76"/>
        <v>0002-0050</v>
      </c>
      <c r="D515" s="261" t="str">
        <f t="shared" si="77"/>
        <v>0002-0050-0010</v>
      </c>
      <c r="E515" s="407" t="s">
        <v>583</v>
      </c>
      <c r="F515" s="261" t="str">
        <f>TEXT(VLOOKUP(J515,'[3]1'!$B$2:$D$37,2,0),"0000")</f>
        <v>0002</v>
      </c>
      <c r="G515" s="261" t="str">
        <f t="shared" si="78"/>
        <v>0050</v>
      </c>
      <c r="H515" s="408">
        <f t="shared" si="79"/>
        <v>10</v>
      </c>
      <c r="I515" s="407" t="s">
        <v>583</v>
      </c>
      <c r="J515" s="258" t="s">
        <v>773</v>
      </c>
      <c r="K515" s="258" t="s">
        <v>2729</v>
      </c>
      <c r="L515" s="258" t="s">
        <v>2350</v>
      </c>
      <c r="M515" s="409">
        <v>24450000</v>
      </c>
      <c r="N515" s="258">
        <v>1997</v>
      </c>
      <c r="O515" s="258" t="s">
        <v>77</v>
      </c>
      <c r="P515" s="258" t="s">
        <v>1965</v>
      </c>
      <c r="Q515" s="258" t="s">
        <v>72</v>
      </c>
      <c r="R515" s="258">
        <v>5</v>
      </c>
      <c r="S515" s="410">
        <v>15</v>
      </c>
      <c r="T515" s="261">
        <v>6</v>
      </c>
      <c r="U515" s="261">
        <v>6</v>
      </c>
      <c r="V515" s="258" t="s">
        <v>3329</v>
      </c>
      <c r="W515" s="261" t="str">
        <f t="shared" si="81"/>
        <v>삼성자동차QM62.0 GDe 2WD SE24450000</v>
      </c>
      <c r="X515" s="411">
        <f t="shared" si="82"/>
        <v>4289</v>
      </c>
      <c r="Y515" s="261">
        <v>6</v>
      </c>
      <c r="Z515" s="261">
        <v>6</v>
      </c>
      <c r="AA515" s="407" t="s">
        <v>583</v>
      </c>
      <c r="AB515" s="258" t="s">
        <v>1965</v>
      </c>
      <c r="AC515" s="258"/>
      <c r="AD515" s="258" t="s">
        <v>2135</v>
      </c>
      <c r="AE515" s="258" t="s">
        <v>2129</v>
      </c>
      <c r="AF515" s="259"/>
      <c r="AG515" s="260"/>
      <c r="AH515" s="259"/>
      <c r="AI515" s="259"/>
      <c r="AJ515" s="260"/>
      <c r="AK515" s="259">
        <v>26</v>
      </c>
      <c r="AL515" s="259"/>
      <c r="AM515" s="259" t="s">
        <v>3235</v>
      </c>
      <c r="AN515" s="449"/>
      <c r="AO515" s="449"/>
      <c r="AP515" s="449"/>
      <c r="AQ515" s="392" t="str">
        <f>IFERROR(VLOOKUP(BG515,#REF!,1,0),"")</f>
        <v/>
      </c>
      <c r="AS515" s="259" t="s">
        <v>3233</v>
      </c>
      <c r="BD515" s="202" t="str">
        <f t="shared" si="74"/>
        <v>QM62.0 GDe 2WD SE</v>
      </c>
      <c r="BE515" s="261" t="str">
        <f t="shared" si="80"/>
        <v>0050</v>
      </c>
      <c r="BF515" s="407" t="s">
        <v>583</v>
      </c>
      <c r="BG515" s="202" t="str">
        <f t="shared" si="75"/>
        <v>0050-0514</v>
      </c>
    </row>
    <row r="516" spans="1:59">
      <c r="A516" s="405">
        <v>4290</v>
      </c>
      <c r="B516" s="406">
        <v>4290</v>
      </c>
      <c r="C516" s="261" t="str">
        <f t="shared" si="76"/>
        <v>0002-0050</v>
      </c>
      <c r="D516" s="261" t="str">
        <f t="shared" si="77"/>
        <v>0002-0050-0011</v>
      </c>
      <c r="E516" s="407" t="s">
        <v>582</v>
      </c>
      <c r="F516" s="261" t="str">
        <f>TEXT(VLOOKUP(J516,'[3]1'!$B$2:$D$37,2,0),"0000")</f>
        <v>0002</v>
      </c>
      <c r="G516" s="261" t="str">
        <f t="shared" si="78"/>
        <v>0050</v>
      </c>
      <c r="H516" s="408">
        <f t="shared" si="79"/>
        <v>11</v>
      </c>
      <c r="I516" s="407" t="s">
        <v>582</v>
      </c>
      <c r="J516" s="258" t="s">
        <v>773</v>
      </c>
      <c r="K516" s="258" t="s">
        <v>2729</v>
      </c>
      <c r="L516" s="258" t="s">
        <v>2351</v>
      </c>
      <c r="M516" s="409">
        <v>28380000</v>
      </c>
      <c r="N516" s="258">
        <v>1997</v>
      </c>
      <c r="O516" s="258" t="s">
        <v>77</v>
      </c>
      <c r="P516" s="258" t="s">
        <v>1965</v>
      </c>
      <c r="Q516" s="258" t="s">
        <v>72</v>
      </c>
      <c r="R516" s="258">
        <v>5</v>
      </c>
      <c r="S516" s="410">
        <v>15</v>
      </c>
      <c r="T516" s="261">
        <v>6</v>
      </c>
      <c r="U516" s="261">
        <v>6</v>
      </c>
      <c r="V516" s="258" t="s">
        <v>71</v>
      </c>
      <c r="W516" s="261" t="str">
        <f t="shared" si="81"/>
        <v>삼성자동차QM62.0 GDe 2WD RE28380000</v>
      </c>
      <c r="X516" s="411">
        <f t="shared" si="82"/>
        <v>4290</v>
      </c>
      <c r="Y516" s="261">
        <v>6</v>
      </c>
      <c r="Z516" s="261">
        <v>6</v>
      </c>
      <c r="AA516" s="407" t="s">
        <v>582</v>
      </c>
      <c r="AB516" s="258" t="s">
        <v>1965</v>
      </c>
      <c r="AC516" s="258"/>
      <c r="AD516" s="258" t="s">
        <v>2135</v>
      </c>
      <c r="AE516" s="258" t="s">
        <v>2129</v>
      </c>
      <c r="AF516" s="259"/>
      <c r="AG516" s="260"/>
      <c r="AH516" s="259"/>
      <c r="AI516" s="259"/>
      <c r="AJ516" s="260"/>
      <c r="AK516" s="259">
        <v>26</v>
      </c>
      <c r="AL516" s="259"/>
      <c r="AM516" s="259" t="s">
        <v>3235</v>
      </c>
      <c r="AN516" s="449"/>
      <c r="AO516" s="449"/>
      <c r="AP516" s="449"/>
      <c r="AQ516" s="392" t="str">
        <f>IFERROR(VLOOKUP(BG516,#REF!,1,0),"")</f>
        <v/>
      </c>
      <c r="AS516" s="259" t="s">
        <v>3233</v>
      </c>
      <c r="BD516" s="202" t="str">
        <f t="shared" si="74"/>
        <v>QM62.0 GDe 2WD RE</v>
      </c>
      <c r="BE516" s="261" t="str">
        <f t="shared" si="80"/>
        <v>0050</v>
      </c>
      <c r="BF516" s="407" t="s">
        <v>582</v>
      </c>
      <c r="BG516" s="202" t="str">
        <f t="shared" si="75"/>
        <v>0050-0515</v>
      </c>
    </row>
    <row r="517" spans="1:59">
      <c r="A517" s="405">
        <v>4291</v>
      </c>
      <c r="B517" s="406">
        <v>4291</v>
      </c>
      <c r="C517" s="261" t="str">
        <f t="shared" si="76"/>
        <v>0002-0050</v>
      </c>
      <c r="D517" s="261" t="str">
        <f t="shared" si="77"/>
        <v>0002-0050-0012</v>
      </c>
      <c r="E517" s="407" t="s">
        <v>581</v>
      </c>
      <c r="F517" s="261" t="str">
        <f>TEXT(VLOOKUP(J517,'[3]1'!$B$2:$D$37,2,0),"0000")</f>
        <v>0002</v>
      </c>
      <c r="G517" s="261" t="str">
        <f t="shared" si="78"/>
        <v>0050</v>
      </c>
      <c r="H517" s="408">
        <f t="shared" si="79"/>
        <v>12</v>
      </c>
      <c r="I517" s="407" t="s">
        <v>581</v>
      </c>
      <c r="J517" s="258" t="s">
        <v>773</v>
      </c>
      <c r="K517" s="258" t="s">
        <v>2729</v>
      </c>
      <c r="L517" s="258" t="s">
        <v>2352</v>
      </c>
      <c r="M517" s="409">
        <v>30140000</v>
      </c>
      <c r="N517" s="258">
        <v>1997</v>
      </c>
      <c r="O517" s="258" t="s">
        <v>77</v>
      </c>
      <c r="P517" s="258" t="s">
        <v>1965</v>
      </c>
      <c r="Q517" s="258" t="s">
        <v>72</v>
      </c>
      <c r="R517" s="258">
        <v>5</v>
      </c>
      <c r="S517" s="410">
        <v>15</v>
      </c>
      <c r="T517" s="261">
        <v>6</v>
      </c>
      <c r="U517" s="261">
        <v>6</v>
      </c>
      <c r="V517" s="258" t="s">
        <v>71</v>
      </c>
      <c r="W517" s="261" t="str">
        <f t="shared" si="81"/>
        <v>삼성자동차QM62.0 GDe 2WD RE signature30140000</v>
      </c>
      <c r="X517" s="411">
        <f t="shared" si="82"/>
        <v>4291</v>
      </c>
      <c r="Y517" s="261">
        <v>6</v>
      </c>
      <c r="Z517" s="261">
        <v>6</v>
      </c>
      <c r="AA517" s="407" t="s">
        <v>581</v>
      </c>
      <c r="AB517" s="258" t="s">
        <v>1965</v>
      </c>
      <c r="AC517" s="258"/>
      <c r="AD517" s="258" t="s">
        <v>2135</v>
      </c>
      <c r="AE517" s="258" t="s">
        <v>2129</v>
      </c>
      <c r="AF517" s="259"/>
      <c r="AG517" s="260"/>
      <c r="AH517" s="259"/>
      <c r="AI517" s="259"/>
      <c r="AJ517" s="260"/>
      <c r="AK517" s="259">
        <v>26</v>
      </c>
      <c r="AL517" s="259"/>
      <c r="AM517" s="259" t="s">
        <v>3235</v>
      </c>
      <c r="AN517" s="449"/>
      <c r="AO517" s="449"/>
      <c r="AP517" s="449"/>
      <c r="AQ517" s="392" t="str">
        <f>IFERROR(VLOOKUP(BG517,#REF!,1,0),"")</f>
        <v/>
      </c>
      <c r="AS517" s="259" t="s">
        <v>3233</v>
      </c>
      <c r="BD517" s="202" t="str">
        <f t="shared" ref="BD517:BD580" si="83">K517&amp;L517</f>
        <v>QM62.0 GDe 2WD RE signature</v>
      </c>
      <c r="BE517" s="261" t="str">
        <f t="shared" si="80"/>
        <v>0050</v>
      </c>
      <c r="BF517" s="407" t="s">
        <v>581</v>
      </c>
      <c r="BG517" s="202" t="str">
        <f t="shared" ref="BG517:BG580" si="84">BE517&amp;"-"&amp;BF517</f>
        <v>0050-0516</v>
      </c>
    </row>
    <row r="518" spans="1:59">
      <c r="A518" s="405">
        <v>4292</v>
      </c>
      <c r="B518" s="406">
        <v>4292</v>
      </c>
      <c r="C518" s="261" t="str">
        <f t="shared" ref="C518:C581" si="85">TEXT(F518,"0000")&amp;"-"&amp;TEXT(G518,"0000")</f>
        <v>0002-0051</v>
      </c>
      <c r="D518" s="261" t="str">
        <f t="shared" ref="D518:D581" si="86">TEXT(F518,"0000")&amp;"-"&amp;TEXT(G518,"0000")&amp;"-"&amp;TEXT(H518,"0000")</f>
        <v>0002-0051-0001</v>
      </c>
      <c r="E518" s="407" t="s">
        <v>580</v>
      </c>
      <c r="F518" s="261" t="str">
        <f>TEXT(VLOOKUP(J518,'[3]1'!$B$2:$D$37,2,0),"0000")</f>
        <v>0002</v>
      </c>
      <c r="G518" s="261" t="str">
        <f t="shared" ref="G518:G581" si="87">IF(K518=K517,TEXT(G517,"0000"),TEXT(G517+1,"0000"))</f>
        <v>0051</v>
      </c>
      <c r="H518" s="408">
        <f t="shared" ref="H518:H581" si="88">IF(F518&amp;G518=F517&amp;G517,H517+1,1)</f>
        <v>1</v>
      </c>
      <c r="I518" s="407" t="s">
        <v>580</v>
      </c>
      <c r="J518" s="258" t="s">
        <v>773</v>
      </c>
      <c r="K518" s="258" t="s">
        <v>2730</v>
      </c>
      <c r="L518" s="258" t="s">
        <v>2353</v>
      </c>
      <c r="M518" s="409">
        <v>29750000</v>
      </c>
      <c r="N518" s="258">
        <v>1461</v>
      </c>
      <c r="O518" s="258" t="s">
        <v>78</v>
      </c>
      <c r="P518" s="258" t="s">
        <v>73</v>
      </c>
      <c r="Q518" s="258" t="s">
        <v>72</v>
      </c>
      <c r="R518" s="258">
        <v>5</v>
      </c>
      <c r="S518" s="410">
        <v>11</v>
      </c>
      <c r="T518" s="261">
        <v>6</v>
      </c>
      <c r="U518" s="261">
        <v>6</v>
      </c>
      <c r="V518" s="258" t="s">
        <v>71</v>
      </c>
      <c r="W518" s="261" t="str">
        <f t="shared" si="81"/>
        <v>삼성자동차SM61.5 dCi LE29750000</v>
      </c>
      <c r="X518" s="411">
        <f t="shared" si="82"/>
        <v>4292</v>
      </c>
      <c r="Y518" s="261">
        <v>6</v>
      </c>
      <c r="Z518" s="261">
        <v>6</v>
      </c>
      <c r="AA518" s="407" t="s">
        <v>580</v>
      </c>
      <c r="AB518" s="258" t="s">
        <v>73</v>
      </c>
      <c r="AC518" s="258"/>
      <c r="AD518" s="258" t="s">
        <v>2131</v>
      </c>
      <c r="AE518" s="258" t="s">
        <v>2129</v>
      </c>
      <c r="AF518" s="259"/>
      <c r="AG518" s="260"/>
      <c r="AH518" s="259"/>
      <c r="AI518" s="259"/>
      <c r="AJ518" s="260"/>
      <c r="AK518" s="259">
        <v>26</v>
      </c>
      <c r="AL518" s="259"/>
      <c r="AM518" s="259" t="s">
        <v>3222</v>
      </c>
      <c r="AN518" s="449"/>
      <c r="AO518" s="449"/>
      <c r="AP518" s="449"/>
      <c r="AQ518" s="392" t="str">
        <f>IFERROR(VLOOKUP(BG518,#REF!,1,0),"")</f>
        <v/>
      </c>
      <c r="AS518" s="259" t="s">
        <v>3232</v>
      </c>
      <c r="BD518" s="202" t="str">
        <f t="shared" si="83"/>
        <v>SM61.5 dCi LE</v>
      </c>
      <c r="BE518" s="261" t="str">
        <f t="shared" ref="BE518:BE581" si="89">IF(K517=K518,TEXT(G517,"0000"),TEXT(G517+1,"0000"))</f>
        <v>0051</v>
      </c>
      <c r="BF518" s="407" t="s">
        <v>580</v>
      </c>
      <c r="BG518" s="202" t="str">
        <f t="shared" si="84"/>
        <v>0051-0517</v>
      </c>
    </row>
    <row r="519" spans="1:59">
      <c r="A519" s="405">
        <v>4293</v>
      </c>
      <c r="B519" s="406">
        <v>4293</v>
      </c>
      <c r="C519" s="261" t="str">
        <f t="shared" si="85"/>
        <v>0002-0051</v>
      </c>
      <c r="D519" s="261" t="str">
        <f t="shared" si="86"/>
        <v>0002-0051-0002</v>
      </c>
      <c r="E519" s="407" t="s">
        <v>579</v>
      </c>
      <c r="F519" s="261" t="str">
        <f>TEXT(VLOOKUP(J519,'[3]1'!$B$2:$D$37,2,0),"0000")</f>
        <v>0002</v>
      </c>
      <c r="G519" s="261" t="str">
        <f t="shared" si="87"/>
        <v>0051</v>
      </c>
      <c r="H519" s="408">
        <f t="shared" si="88"/>
        <v>2</v>
      </c>
      <c r="I519" s="407" t="s">
        <v>579</v>
      </c>
      <c r="J519" s="258" t="s">
        <v>773</v>
      </c>
      <c r="K519" s="258" t="s">
        <v>2730</v>
      </c>
      <c r="L519" s="258" t="s">
        <v>2354</v>
      </c>
      <c r="M519" s="409">
        <v>32940000</v>
      </c>
      <c r="N519" s="258">
        <v>1997</v>
      </c>
      <c r="O519" s="258" t="s">
        <v>77</v>
      </c>
      <c r="P519" s="258" t="s">
        <v>73</v>
      </c>
      <c r="Q519" s="258" t="s">
        <v>72</v>
      </c>
      <c r="R519" s="258">
        <v>5</v>
      </c>
      <c r="S519" s="410">
        <v>9</v>
      </c>
      <c r="T519" s="261">
        <v>6</v>
      </c>
      <c r="U519" s="261">
        <v>6</v>
      </c>
      <c r="V519" s="258" t="s">
        <v>71</v>
      </c>
      <c r="W519" s="261" t="str">
        <f t="shared" ref="W519:W582" si="90">J519&amp;K519&amp;L519&amp;M519</f>
        <v>삼성자동차SM62.0 GDe PREMIERE32940000</v>
      </c>
      <c r="X519" s="411">
        <f t="shared" ref="X519:X582" si="91">B519</f>
        <v>4293</v>
      </c>
      <c r="Y519" s="261">
        <v>6</v>
      </c>
      <c r="Z519" s="261">
        <v>6</v>
      </c>
      <c r="AA519" s="407" t="s">
        <v>579</v>
      </c>
      <c r="AB519" s="258" t="s">
        <v>73</v>
      </c>
      <c r="AC519" s="258"/>
      <c r="AD519" s="258" t="s">
        <v>2131</v>
      </c>
      <c r="AE519" s="258" t="s">
        <v>2129</v>
      </c>
      <c r="AF519" s="259"/>
      <c r="AG519" s="260"/>
      <c r="AH519" s="259"/>
      <c r="AI519" s="259"/>
      <c r="AJ519" s="260"/>
      <c r="AK519" s="259">
        <v>26</v>
      </c>
      <c r="AL519" s="259"/>
      <c r="AM519" s="259" t="s">
        <v>3222</v>
      </c>
      <c r="AN519" s="449"/>
      <c r="AO519" s="449"/>
      <c r="AP519" s="449"/>
      <c r="AQ519" s="392" t="str">
        <f>IFERROR(VLOOKUP(BG519,#REF!,1,0),"")</f>
        <v/>
      </c>
      <c r="AS519" s="259" t="s">
        <v>3222</v>
      </c>
      <c r="BD519" s="202" t="str">
        <f t="shared" si="83"/>
        <v>SM62.0 GDe PREMIERE</v>
      </c>
      <c r="BE519" s="261" t="str">
        <f t="shared" si="89"/>
        <v>0051</v>
      </c>
      <c r="BF519" s="407" t="s">
        <v>579</v>
      </c>
      <c r="BG519" s="202" t="str">
        <f t="shared" si="84"/>
        <v>0051-0518</v>
      </c>
    </row>
    <row r="520" spans="1:59">
      <c r="A520" s="405">
        <v>4294</v>
      </c>
      <c r="B520" s="406">
        <v>4294</v>
      </c>
      <c r="C520" s="261" t="str">
        <f t="shared" si="85"/>
        <v>0002-0051</v>
      </c>
      <c r="D520" s="261" t="str">
        <f t="shared" si="86"/>
        <v>0002-0051-0003</v>
      </c>
      <c r="E520" s="407" t="s">
        <v>578</v>
      </c>
      <c r="F520" s="261" t="str">
        <f>TEXT(VLOOKUP(J520,'[3]1'!$B$2:$D$37,2,0),"0000")</f>
        <v>0002</v>
      </c>
      <c r="G520" s="261" t="str">
        <f t="shared" si="87"/>
        <v>0051</v>
      </c>
      <c r="H520" s="408">
        <f t="shared" si="88"/>
        <v>3</v>
      </c>
      <c r="I520" s="407" t="s">
        <v>578</v>
      </c>
      <c r="J520" s="258" t="s">
        <v>773</v>
      </c>
      <c r="K520" s="258" t="s">
        <v>2730</v>
      </c>
      <c r="L520" s="258" t="s">
        <v>2348</v>
      </c>
      <c r="M520" s="409">
        <v>28080000</v>
      </c>
      <c r="N520" s="258">
        <v>1997</v>
      </c>
      <c r="O520" s="258" t="s">
        <v>77</v>
      </c>
      <c r="P520" s="258" t="s">
        <v>73</v>
      </c>
      <c r="Q520" s="258" t="s">
        <v>72</v>
      </c>
      <c r="R520" s="258">
        <v>5</v>
      </c>
      <c r="S520" s="410">
        <v>9</v>
      </c>
      <c r="T520" s="261">
        <v>6</v>
      </c>
      <c r="U520" s="261">
        <v>6</v>
      </c>
      <c r="V520" s="258" t="s">
        <v>3329</v>
      </c>
      <c r="W520" s="261" t="str">
        <f t="shared" si="90"/>
        <v>삼성자동차SM62.0 GDe LE28080000</v>
      </c>
      <c r="X520" s="411">
        <f t="shared" si="91"/>
        <v>4294</v>
      </c>
      <c r="Y520" s="261">
        <v>6</v>
      </c>
      <c r="Z520" s="261">
        <v>6</v>
      </c>
      <c r="AA520" s="407" t="s">
        <v>578</v>
      </c>
      <c r="AB520" s="258" t="s">
        <v>3330</v>
      </c>
      <c r="AC520" s="258"/>
      <c r="AD520" s="258" t="s">
        <v>2131</v>
      </c>
      <c r="AE520" s="258" t="s">
        <v>2129</v>
      </c>
      <c r="AF520" s="259"/>
      <c r="AG520" s="260"/>
      <c r="AH520" s="259"/>
      <c r="AI520" s="259"/>
      <c r="AJ520" s="260"/>
      <c r="AK520" s="259">
        <v>26</v>
      </c>
      <c r="AL520" s="259"/>
      <c r="AM520" s="259" t="s">
        <v>3222</v>
      </c>
      <c r="AN520" s="449"/>
      <c r="AO520" s="449"/>
      <c r="AP520" s="449"/>
      <c r="AQ520" s="392" t="str">
        <f>IFERROR(VLOOKUP(BG520,#REF!,1,0),"")</f>
        <v/>
      </c>
      <c r="AS520" s="259" t="s">
        <v>3222</v>
      </c>
      <c r="BD520" s="202" t="str">
        <f t="shared" si="83"/>
        <v>SM62.0 GDe LE</v>
      </c>
      <c r="BE520" s="261" t="str">
        <f t="shared" si="89"/>
        <v>0051</v>
      </c>
      <c r="BF520" s="407" t="s">
        <v>578</v>
      </c>
      <c r="BG520" s="202" t="str">
        <f t="shared" si="84"/>
        <v>0051-0519</v>
      </c>
    </row>
    <row r="521" spans="1:59">
      <c r="A521" s="405">
        <v>4295</v>
      </c>
      <c r="B521" s="406">
        <v>4295</v>
      </c>
      <c r="C521" s="261" t="str">
        <f t="shared" si="85"/>
        <v>0002-0051</v>
      </c>
      <c r="D521" s="261" t="str">
        <f t="shared" si="86"/>
        <v>0002-0051-0004</v>
      </c>
      <c r="E521" s="407" t="s">
        <v>577</v>
      </c>
      <c r="F521" s="261" t="str">
        <f>TEXT(VLOOKUP(J521,'[3]1'!$B$2:$D$37,2,0),"0000")</f>
        <v>0002</v>
      </c>
      <c r="G521" s="261" t="str">
        <f t="shared" si="87"/>
        <v>0051</v>
      </c>
      <c r="H521" s="408">
        <f t="shared" si="88"/>
        <v>4</v>
      </c>
      <c r="I521" s="407" t="s">
        <v>577</v>
      </c>
      <c r="J521" s="258" t="s">
        <v>773</v>
      </c>
      <c r="K521" s="258" t="s">
        <v>2730</v>
      </c>
      <c r="L521" s="258" t="s">
        <v>2355</v>
      </c>
      <c r="M521" s="409">
        <v>30440000</v>
      </c>
      <c r="N521" s="258">
        <v>1997</v>
      </c>
      <c r="O521" s="258" t="s">
        <v>77</v>
      </c>
      <c r="P521" s="258" t="s">
        <v>73</v>
      </c>
      <c r="Q521" s="258" t="s">
        <v>72</v>
      </c>
      <c r="R521" s="258">
        <v>5</v>
      </c>
      <c r="S521" s="410">
        <v>9</v>
      </c>
      <c r="T521" s="261">
        <v>6</v>
      </c>
      <c r="U521" s="261">
        <v>6</v>
      </c>
      <c r="V521" s="258" t="s">
        <v>71</v>
      </c>
      <c r="W521" s="261" t="str">
        <f t="shared" si="90"/>
        <v>삼성자동차SM62.0 GDe RE30440000</v>
      </c>
      <c r="X521" s="411">
        <f t="shared" si="91"/>
        <v>4295</v>
      </c>
      <c r="Y521" s="261">
        <v>6</v>
      </c>
      <c r="Z521" s="261">
        <v>6</v>
      </c>
      <c r="AA521" s="407" t="s">
        <v>577</v>
      </c>
      <c r="AB521" s="258" t="s">
        <v>73</v>
      </c>
      <c r="AC521" s="258"/>
      <c r="AD521" s="258" t="s">
        <v>2131</v>
      </c>
      <c r="AE521" s="258" t="s">
        <v>2129</v>
      </c>
      <c r="AF521" s="259"/>
      <c r="AG521" s="260"/>
      <c r="AH521" s="259"/>
      <c r="AI521" s="259"/>
      <c r="AJ521" s="260"/>
      <c r="AK521" s="259">
        <v>26</v>
      </c>
      <c r="AL521" s="259"/>
      <c r="AM521" s="259" t="s">
        <v>3222</v>
      </c>
      <c r="AN521" s="449"/>
      <c r="AO521" s="449"/>
      <c r="AP521" s="449"/>
      <c r="AQ521" s="392" t="str">
        <f>IFERROR(VLOOKUP(BG521,#REF!,1,0),"")</f>
        <v/>
      </c>
      <c r="AS521" s="259" t="s">
        <v>3222</v>
      </c>
      <c r="BD521" s="202" t="str">
        <f t="shared" si="83"/>
        <v>SM62.0 GDe RE</v>
      </c>
      <c r="BE521" s="261" t="str">
        <f t="shared" si="89"/>
        <v>0051</v>
      </c>
      <c r="BF521" s="407" t="s">
        <v>577</v>
      </c>
      <c r="BG521" s="202" t="str">
        <f t="shared" si="84"/>
        <v>0051-0520</v>
      </c>
    </row>
    <row r="522" spans="1:59">
      <c r="A522" s="405">
        <v>4296</v>
      </c>
      <c r="B522" s="406">
        <v>4296</v>
      </c>
      <c r="C522" s="261" t="str">
        <f t="shared" si="85"/>
        <v>0002-0051</v>
      </c>
      <c r="D522" s="261" t="str">
        <f t="shared" si="86"/>
        <v>0002-0051-0005</v>
      </c>
      <c r="E522" s="407" t="s">
        <v>576</v>
      </c>
      <c r="F522" s="261" t="str">
        <f>TEXT(VLOOKUP(J522,'[3]1'!$B$2:$D$37,2,0),"0000")</f>
        <v>0002</v>
      </c>
      <c r="G522" s="261" t="str">
        <f t="shared" si="87"/>
        <v>0051</v>
      </c>
      <c r="H522" s="408">
        <f t="shared" si="88"/>
        <v>5</v>
      </c>
      <c r="I522" s="407" t="s">
        <v>576</v>
      </c>
      <c r="J522" s="258" t="s">
        <v>773</v>
      </c>
      <c r="K522" s="258" t="s">
        <v>2730</v>
      </c>
      <c r="L522" s="258" t="s">
        <v>2356</v>
      </c>
      <c r="M522" s="409">
        <v>24060000</v>
      </c>
      <c r="N522" s="258">
        <v>1997</v>
      </c>
      <c r="O522" s="258" t="s">
        <v>77</v>
      </c>
      <c r="P522" s="258" t="s">
        <v>73</v>
      </c>
      <c r="Q522" s="258" t="s">
        <v>72</v>
      </c>
      <c r="R522" s="258">
        <v>11</v>
      </c>
      <c r="S522" s="410">
        <v>9</v>
      </c>
      <c r="T522" s="261">
        <v>6</v>
      </c>
      <c r="U522" s="261">
        <v>6</v>
      </c>
      <c r="V522" s="258" t="s">
        <v>71</v>
      </c>
      <c r="W522" s="261" t="str">
        <f t="shared" si="90"/>
        <v>삼성자동차SM62.0 GDe PE24060000</v>
      </c>
      <c r="X522" s="411">
        <f t="shared" si="91"/>
        <v>4296</v>
      </c>
      <c r="Y522" s="261">
        <v>6</v>
      </c>
      <c r="Z522" s="261">
        <v>6</v>
      </c>
      <c r="AA522" s="407" t="s">
        <v>576</v>
      </c>
      <c r="AB522" s="258" t="s">
        <v>2890</v>
      </c>
      <c r="AC522" s="258"/>
      <c r="AD522" s="258" t="s">
        <v>2131</v>
      </c>
      <c r="AE522" s="258" t="s">
        <v>2129</v>
      </c>
      <c r="AF522" s="259"/>
      <c r="AG522" s="260"/>
      <c r="AH522" s="259"/>
      <c r="AI522" s="259"/>
      <c r="AJ522" s="260"/>
      <c r="AK522" s="259">
        <v>26</v>
      </c>
      <c r="AL522" s="259"/>
      <c r="AM522" s="259" t="s">
        <v>3222</v>
      </c>
      <c r="AN522" s="449"/>
      <c r="AO522" s="449"/>
      <c r="AP522" s="449"/>
      <c r="AQ522" s="392" t="str">
        <f>IFERROR(VLOOKUP(BG522,#REF!,1,0),"")</f>
        <v/>
      </c>
      <c r="AS522" s="259" t="s">
        <v>3222</v>
      </c>
      <c r="BD522" s="202" t="str">
        <f t="shared" si="83"/>
        <v>SM62.0 GDe PE</v>
      </c>
      <c r="BE522" s="261" t="str">
        <f t="shared" si="89"/>
        <v>0051</v>
      </c>
      <c r="BF522" s="407" t="s">
        <v>576</v>
      </c>
      <c r="BG522" s="202" t="str">
        <f t="shared" si="84"/>
        <v>0051-0521</v>
      </c>
    </row>
    <row r="523" spans="1:59">
      <c r="A523" s="405">
        <v>4297</v>
      </c>
      <c r="B523" s="406">
        <v>4297</v>
      </c>
      <c r="C523" s="261" t="str">
        <f t="shared" si="85"/>
        <v>0002-0051</v>
      </c>
      <c r="D523" s="261" t="str">
        <f t="shared" si="86"/>
        <v>0002-0051-0006</v>
      </c>
      <c r="E523" s="407" t="s">
        <v>575</v>
      </c>
      <c r="F523" s="261" t="str">
        <f>TEXT(VLOOKUP(J523,'[3]1'!$B$2:$D$37,2,0),"0000")</f>
        <v>0002</v>
      </c>
      <c r="G523" s="261" t="str">
        <f t="shared" si="87"/>
        <v>0051</v>
      </c>
      <c r="H523" s="408">
        <f t="shared" si="88"/>
        <v>6</v>
      </c>
      <c r="I523" s="407" t="s">
        <v>575</v>
      </c>
      <c r="J523" s="258" t="s">
        <v>773</v>
      </c>
      <c r="K523" s="258" t="s">
        <v>2730</v>
      </c>
      <c r="L523" s="258" t="s">
        <v>2357</v>
      </c>
      <c r="M523" s="409">
        <v>26360000</v>
      </c>
      <c r="N523" s="258">
        <v>1997</v>
      </c>
      <c r="O523" s="258" t="s">
        <v>77</v>
      </c>
      <c r="P523" s="258" t="s">
        <v>73</v>
      </c>
      <c r="Q523" s="258" t="s">
        <v>72</v>
      </c>
      <c r="R523" s="258">
        <v>11</v>
      </c>
      <c r="S523" s="410">
        <v>9</v>
      </c>
      <c r="T523" s="261">
        <v>6</v>
      </c>
      <c r="U523" s="261">
        <v>6</v>
      </c>
      <c r="V523" s="258" t="s">
        <v>71</v>
      </c>
      <c r="W523" s="261" t="str">
        <f t="shared" si="90"/>
        <v>삼성자동차SM62.0 GDe SE26360000</v>
      </c>
      <c r="X523" s="411">
        <f t="shared" si="91"/>
        <v>4297</v>
      </c>
      <c r="Y523" s="261">
        <v>6</v>
      </c>
      <c r="Z523" s="261">
        <v>6</v>
      </c>
      <c r="AA523" s="407" t="s">
        <v>575</v>
      </c>
      <c r="AB523" s="258" t="s">
        <v>2890</v>
      </c>
      <c r="AC523" s="258"/>
      <c r="AD523" s="258" t="s">
        <v>2131</v>
      </c>
      <c r="AE523" s="258" t="s">
        <v>2129</v>
      </c>
      <c r="AF523" s="259"/>
      <c r="AG523" s="260"/>
      <c r="AH523" s="259"/>
      <c r="AI523" s="259"/>
      <c r="AJ523" s="260"/>
      <c r="AK523" s="259">
        <v>26</v>
      </c>
      <c r="AL523" s="259"/>
      <c r="AM523" s="259" t="s">
        <v>3222</v>
      </c>
      <c r="AN523" s="449"/>
      <c r="AO523" s="449"/>
      <c r="AP523" s="449"/>
      <c r="AQ523" s="392" t="str">
        <f>IFERROR(VLOOKUP(BG523,#REF!,1,0),"")</f>
        <v/>
      </c>
      <c r="AS523" s="259" t="s">
        <v>3222</v>
      </c>
      <c r="BD523" s="202" t="str">
        <f t="shared" si="83"/>
        <v>SM62.0 GDe SE</v>
      </c>
      <c r="BE523" s="261" t="str">
        <f t="shared" si="89"/>
        <v>0051</v>
      </c>
      <c r="BF523" s="407" t="s">
        <v>575</v>
      </c>
      <c r="BG523" s="202" t="str">
        <f t="shared" si="84"/>
        <v>0051-0522</v>
      </c>
    </row>
    <row r="524" spans="1:59">
      <c r="A524" s="405">
        <v>4298</v>
      </c>
      <c r="B524" s="406">
        <v>4298</v>
      </c>
      <c r="C524" s="261" t="str">
        <f t="shared" si="85"/>
        <v>0002-0052</v>
      </c>
      <c r="D524" s="261" t="str">
        <f t="shared" si="86"/>
        <v>0002-0052-0001</v>
      </c>
      <c r="E524" s="407" t="s">
        <v>574</v>
      </c>
      <c r="F524" s="261" t="str">
        <f>TEXT(VLOOKUP(J524,'[3]1'!$B$2:$D$37,2,0),"0000")</f>
        <v>0002</v>
      </c>
      <c r="G524" s="261" t="str">
        <f t="shared" si="87"/>
        <v>0052</v>
      </c>
      <c r="H524" s="408">
        <f t="shared" si="88"/>
        <v>1</v>
      </c>
      <c r="I524" s="407" t="s">
        <v>574</v>
      </c>
      <c r="J524" s="258" t="s">
        <v>773</v>
      </c>
      <c r="K524" s="258" t="s">
        <v>2731</v>
      </c>
      <c r="L524" s="258" t="s">
        <v>2358</v>
      </c>
      <c r="M524" s="409">
        <v>21360000</v>
      </c>
      <c r="N524" s="258">
        <v>1332</v>
      </c>
      <c r="O524" s="258" t="s">
        <v>77</v>
      </c>
      <c r="P524" s="258" t="s">
        <v>73</v>
      </c>
      <c r="Q524" s="258" t="s">
        <v>72</v>
      </c>
      <c r="R524" s="258">
        <v>5</v>
      </c>
      <c r="S524" s="410">
        <v>7</v>
      </c>
      <c r="T524" s="261">
        <v>6</v>
      </c>
      <c r="U524" s="261">
        <v>6</v>
      </c>
      <c r="V524" s="258" t="s">
        <v>71</v>
      </c>
      <c r="W524" s="261" t="str">
        <f t="shared" si="90"/>
        <v>삼성자동차XM3TCe 260 LE A/T21360000</v>
      </c>
      <c r="X524" s="411">
        <f t="shared" si="91"/>
        <v>4298</v>
      </c>
      <c r="Y524" s="261">
        <v>6</v>
      </c>
      <c r="Z524" s="261">
        <v>6</v>
      </c>
      <c r="AA524" s="407" t="s">
        <v>574</v>
      </c>
      <c r="AB524" s="258" t="s">
        <v>73</v>
      </c>
      <c r="AC524" s="258"/>
      <c r="AD524" s="258" t="s">
        <v>2132</v>
      </c>
      <c r="AE524" s="258" t="s">
        <v>2130</v>
      </c>
      <c r="AF524" s="259"/>
      <c r="AG524" s="260"/>
      <c r="AH524" s="259"/>
      <c r="AI524" s="259"/>
      <c r="AJ524" s="260"/>
      <c r="AK524" s="259">
        <v>26</v>
      </c>
      <c r="AL524" s="259"/>
      <c r="AM524" s="259" t="s">
        <v>3232</v>
      </c>
      <c r="AN524" s="449"/>
      <c r="AO524" s="449"/>
      <c r="AP524" s="449"/>
      <c r="AQ524" s="392" t="str">
        <f>IFERROR(VLOOKUP(BG524,#REF!,1,0),"")</f>
        <v/>
      </c>
      <c r="AS524" s="259" t="s">
        <v>3229</v>
      </c>
      <c r="BD524" s="202" t="str">
        <f t="shared" si="83"/>
        <v>XM3TCe 260 LE A/T</v>
      </c>
      <c r="BE524" s="261" t="str">
        <f t="shared" si="89"/>
        <v>0052</v>
      </c>
      <c r="BF524" s="407" t="s">
        <v>574</v>
      </c>
      <c r="BG524" s="202" t="str">
        <f t="shared" si="84"/>
        <v>0052-0523</v>
      </c>
    </row>
    <row r="525" spans="1:59">
      <c r="A525" s="405">
        <v>4299</v>
      </c>
      <c r="B525" s="406">
        <v>4299</v>
      </c>
      <c r="C525" s="261" t="str">
        <f t="shared" si="85"/>
        <v>0002-0052</v>
      </c>
      <c r="D525" s="261" t="str">
        <f t="shared" si="86"/>
        <v>0002-0052-0002</v>
      </c>
      <c r="E525" s="407" t="s">
        <v>573</v>
      </c>
      <c r="F525" s="261" t="str">
        <f>TEXT(VLOOKUP(J525,'[3]1'!$B$2:$D$37,2,0),"0000")</f>
        <v>0002</v>
      </c>
      <c r="G525" s="261" t="str">
        <f t="shared" si="87"/>
        <v>0052</v>
      </c>
      <c r="H525" s="408">
        <f t="shared" si="88"/>
        <v>2</v>
      </c>
      <c r="I525" s="407" t="s">
        <v>573</v>
      </c>
      <c r="J525" s="258" t="s">
        <v>773</v>
      </c>
      <c r="K525" s="258" t="s">
        <v>2731</v>
      </c>
      <c r="L525" s="258" t="s">
        <v>2359</v>
      </c>
      <c r="M525" s="409">
        <v>23520000</v>
      </c>
      <c r="N525" s="258">
        <v>1332</v>
      </c>
      <c r="O525" s="258" t="s">
        <v>77</v>
      </c>
      <c r="P525" s="258" t="s">
        <v>73</v>
      </c>
      <c r="Q525" s="258" t="s">
        <v>72</v>
      </c>
      <c r="R525" s="258">
        <v>5</v>
      </c>
      <c r="S525" s="410">
        <v>7</v>
      </c>
      <c r="T525" s="261">
        <v>6</v>
      </c>
      <c r="U525" s="261">
        <v>6</v>
      </c>
      <c r="V525" s="258" t="s">
        <v>71</v>
      </c>
      <c r="W525" s="261" t="str">
        <f t="shared" si="90"/>
        <v>삼성자동차XM3TCe 260 RE A/T23520000</v>
      </c>
      <c r="X525" s="411">
        <f t="shared" si="91"/>
        <v>4299</v>
      </c>
      <c r="Y525" s="261">
        <v>6</v>
      </c>
      <c r="Z525" s="261">
        <v>6</v>
      </c>
      <c r="AA525" s="407" t="s">
        <v>573</v>
      </c>
      <c r="AB525" s="258" t="s">
        <v>73</v>
      </c>
      <c r="AC525" s="258"/>
      <c r="AD525" s="258" t="s">
        <v>2132</v>
      </c>
      <c r="AE525" s="258" t="s">
        <v>2130</v>
      </c>
      <c r="AF525" s="259"/>
      <c r="AG525" s="260"/>
      <c r="AH525" s="259"/>
      <c r="AI525" s="259"/>
      <c r="AJ525" s="260"/>
      <c r="AK525" s="259">
        <v>26</v>
      </c>
      <c r="AL525" s="259"/>
      <c r="AM525" s="259" t="s">
        <v>3232</v>
      </c>
      <c r="AN525" s="449"/>
      <c r="AO525" s="449"/>
      <c r="AP525" s="449"/>
      <c r="AQ525" s="392" t="str">
        <f>IFERROR(VLOOKUP(BG525,#REF!,1,0),"")</f>
        <v/>
      </c>
      <c r="AS525" s="259" t="s">
        <v>3229</v>
      </c>
      <c r="BD525" s="202" t="str">
        <f t="shared" si="83"/>
        <v>XM3TCe 260 RE A/T</v>
      </c>
      <c r="BE525" s="261" t="str">
        <f t="shared" si="89"/>
        <v>0052</v>
      </c>
      <c r="BF525" s="407" t="s">
        <v>573</v>
      </c>
      <c r="BG525" s="202" t="str">
        <f t="shared" si="84"/>
        <v>0052-0524</v>
      </c>
    </row>
    <row r="526" spans="1:59">
      <c r="A526" s="405">
        <v>4300</v>
      </c>
      <c r="B526" s="406">
        <v>4300</v>
      </c>
      <c r="C526" s="261" t="str">
        <f t="shared" si="85"/>
        <v>0002-0052</v>
      </c>
      <c r="D526" s="261" t="str">
        <f t="shared" si="86"/>
        <v>0002-0052-0003</v>
      </c>
      <c r="E526" s="407" t="s">
        <v>572</v>
      </c>
      <c r="F526" s="261" t="str">
        <f>TEXT(VLOOKUP(J526,'[3]1'!$B$2:$D$37,2,0),"0000")</f>
        <v>0002</v>
      </c>
      <c r="G526" s="261" t="str">
        <f t="shared" si="87"/>
        <v>0052</v>
      </c>
      <c r="H526" s="408">
        <f t="shared" si="88"/>
        <v>3</v>
      </c>
      <c r="I526" s="407" t="s">
        <v>572</v>
      </c>
      <c r="J526" s="258" t="s">
        <v>773</v>
      </c>
      <c r="K526" s="258" t="s">
        <v>2731</v>
      </c>
      <c r="L526" s="258" t="s">
        <v>2360</v>
      </c>
      <c r="M526" s="409">
        <v>25970000</v>
      </c>
      <c r="N526" s="258">
        <v>1332</v>
      </c>
      <c r="O526" s="258" t="s">
        <v>77</v>
      </c>
      <c r="P526" s="258" t="s">
        <v>73</v>
      </c>
      <c r="Q526" s="258" t="s">
        <v>72</v>
      </c>
      <c r="R526" s="258">
        <v>8</v>
      </c>
      <c r="S526" s="410">
        <v>7</v>
      </c>
      <c r="T526" s="261">
        <v>6</v>
      </c>
      <c r="U526" s="261">
        <v>6</v>
      </c>
      <c r="V526" s="258" t="s">
        <v>71</v>
      </c>
      <c r="W526" s="261" t="str">
        <f t="shared" si="90"/>
        <v>삼성자동차XM3TCe 260 RE Signature A/T25970000</v>
      </c>
      <c r="X526" s="411">
        <f t="shared" si="91"/>
        <v>4300</v>
      </c>
      <c r="Y526" s="261">
        <v>6</v>
      </c>
      <c r="Z526" s="261">
        <v>6</v>
      </c>
      <c r="AA526" s="407" t="s">
        <v>572</v>
      </c>
      <c r="AB526" s="258" t="s">
        <v>73</v>
      </c>
      <c r="AC526" s="258"/>
      <c r="AD526" s="258" t="s">
        <v>2132</v>
      </c>
      <c r="AE526" s="258" t="s">
        <v>2130</v>
      </c>
      <c r="AF526" s="259"/>
      <c r="AG526" s="260"/>
      <c r="AH526" s="259"/>
      <c r="AI526" s="259"/>
      <c r="AJ526" s="260"/>
      <c r="AK526" s="259">
        <v>26</v>
      </c>
      <c r="AL526" s="259"/>
      <c r="AM526" s="259" t="s">
        <v>3232</v>
      </c>
      <c r="AN526" s="449"/>
      <c r="AO526" s="449"/>
      <c r="AP526" s="449"/>
      <c r="AQ526" s="392" t="str">
        <f>IFERROR(VLOOKUP(BG526,#REF!,1,0),"")</f>
        <v/>
      </c>
      <c r="AS526" s="259" t="s">
        <v>3229</v>
      </c>
      <c r="BD526" s="202" t="str">
        <f t="shared" si="83"/>
        <v>XM3TCe 260 RE Signature A/T</v>
      </c>
      <c r="BE526" s="261" t="str">
        <f t="shared" si="89"/>
        <v>0052</v>
      </c>
      <c r="BF526" s="407" t="s">
        <v>572</v>
      </c>
      <c r="BG526" s="202" t="str">
        <f t="shared" si="84"/>
        <v>0052-0525</v>
      </c>
    </row>
    <row r="527" spans="1:59">
      <c r="A527" s="405">
        <v>4301</v>
      </c>
      <c r="B527" s="406">
        <v>4301</v>
      </c>
      <c r="C527" s="261" t="str">
        <f t="shared" si="85"/>
        <v>0002-0052</v>
      </c>
      <c r="D527" s="261" t="str">
        <f t="shared" si="86"/>
        <v>0002-0052-0004</v>
      </c>
      <c r="E527" s="407" t="s">
        <v>571</v>
      </c>
      <c r="F527" s="261" t="str">
        <f>TEXT(VLOOKUP(J527,'[3]1'!$B$2:$D$37,2,0),"0000")</f>
        <v>0002</v>
      </c>
      <c r="G527" s="261" t="str">
        <f t="shared" si="87"/>
        <v>0052</v>
      </c>
      <c r="H527" s="408">
        <f t="shared" si="88"/>
        <v>4</v>
      </c>
      <c r="I527" s="407" t="s">
        <v>571</v>
      </c>
      <c r="J527" s="258" t="s">
        <v>773</v>
      </c>
      <c r="K527" s="258" t="s">
        <v>2731</v>
      </c>
      <c r="L527" s="258" t="s">
        <v>2361</v>
      </c>
      <c r="M527" s="409">
        <v>17630000</v>
      </c>
      <c r="N527" s="258">
        <v>1598</v>
      </c>
      <c r="O527" s="258" t="s">
        <v>77</v>
      </c>
      <c r="P527" s="258" t="s">
        <v>73</v>
      </c>
      <c r="Q527" s="258" t="s">
        <v>72</v>
      </c>
      <c r="R527" s="258">
        <v>5</v>
      </c>
      <c r="S527" s="410">
        <v>7</v>
      </c>
      <c r="T527" s="261">
        <v>6</v>
      </c>
      <c r="U527" s="261">
        <v>6</v>
      </c>
      <c r="V527" s="258" t="s">
        <v>71</v>
      </c>
      <c r="W527" s="261" t="str">
        <f t="shared" si="90"/>
        <v>삼성자동차XM31.6 GTe SE A/T17630000</v>
      </c>
      <c r="X527" s="411">
        <f t="shared" si="91"/>
        <v>4301</v>
      </c>
      <c r="Y527" s="261">
        <v>6</v>
      </c>
      <c r="Z527" s="261">
        <v>6</v>
      </c>
      <c r="AA527" s="407" t="s">
        <v>571</v>
      </c>
      <c r="AB527" s="258" t="s">
        <v>73</v>
      </c>
      <c r="AC527" s="258"/>
      <c r="AD527" s="258" t="s">
        <v>2132</v>
      </c>
      <c r="AE527" s="258" t="s">
        <v>2130</v>
      </c>
      <c r="AF527" s="259"/>
      <c r="AG527" s="260"/>
      <c r="AH527" s="259"/>
      <c r="AI527" s="259"/>
      <c r="AJ527" s="260"/>
      <c r="AK527" s="259">
        <v>26</v>
      </c>
      <c r="AL527" s="259"/>
      <c r="AM527" s="259" t="s">
        <v>3232</v>
      </c>
      <c r="AN527" s="449"/>
      <c r="AO527" s="449"/>
      <c r="AP527" s="449"/>
      <c r="AQ527" s="392" t="str">
        <f>IFERROR(VLOOKUP(BG527,#REF!,1,0),"")</f>
        <v/>
      </c>
      <c r="AS527" s="259" t="s">
        <v>3229</v>
      </c>
      <c r="BD527" s="202" t="str">
        <f t="shared" si="83"/>
        <v>XM31.6 GTe SE A/T</v>
      </c>
      <c r="BE527" s="261" t="str">
        <f t="shared" si="89"/>
        <v>0052</v>
      </c>
      <c r="BF527" s="407" t="s">
        <v>571</v>
      </c>
      <c r="BG527" s="202" t="str">
        <f t="shared" si="84"/>
        <v>0052-0526</v>
      </c>
    </row>
    <row r="528" spans="1:59">
      <c r="A528" s="405">
        <v>4302</v>
      </c>
      <c r="B528" s="406">
        <v>4302</v>
      </c>
      <c r="C528" s="261" t="str">
        <f t="shared" si="85"/>
        <v>0002-0052</v>
      </c>
      <c r="D528" s="261" t="str">
        <f t="shared" si="86"/>
        <v>0002-0052-0005</v>
      </c>
      <c r="E528" s="407" t="s">
        <v>570</v>
      </c>
      <c r="F528" s="261" t="str">
        <f>TEXT(VLOOKUP(J528,'[3]1'!$B$2:$D$37,2,0),"0000")</f>
        <v>0002</v>
      </c>
      <c r="G528" s="261" t="str">
        <f t="shared" si="87"/>
        <v>0052</v>
      </c>
      <c r="H528" s="408">
        <f t="shared" si="88"/>
        <v>5</v>
      </c>
      <c r="I528" s="407" t="s">
        <v>570</v>
      </c>
      <c r="J528" s="258" t="s">
        <v>773</v>
      </c>
      <c r="K528" s="258" t="s">
        <v>2731</v>
      </c>
      <c r="L528" s="258" t="s">
        <v>2362</v>
      </c>
      <c r="M528" s="409">
        <v>19880000</v>
      </c>
      <c r="N528" s="258">
        <v>1598</v>
      </c>
      <c r="O528" s="258" t="s">
        <v>77</v>
      </c>
      <c r="P528" s="258" t="s">
        <v>73</v>
      </c>
      <c r="Q528" s="258" t="s">
        <v>72</v>
      </c>
      <c r="R528" s="258">
        <v>5</v>
      </c>
      <c r="S528" s="410">
        <v>7</v>
      </c>
      <c r="T528" s="261">
        <v>6</v>
      </c>
      <c r="U528" s="261">
        <v>6</v>
      </c>
      <c r="V528" s="258" t="s">
        <v>3329</v>
      </c>
      <c r="W528" s="261" t="str">
        <f t="shared" si="90"/>
        <v>삼성자동차XM31.6 GTe LE A/T19880000</v>
      </c>
      <c r="X528" s="411">
        <f t="shared" si="91"/>
        <v>4302</v>
      </c>
      <c r="Y528" s="261">
        <v>6</v>
      </c>
      <c r="Z528" s="261">
        <v>6</v>
      </c>
      <c r="AA528" s="407" t="s">
        <v>570</v>
      </c>
      <c r="AB528" s="258" t="s">
        <v>3330</v>
      </c>
      <c r="AC528" s="258"/>
      <c r="AD528" s="258" t="s">
        <v>2132</v>
      </c>
      <c r="AE528" s="258" t="s">
        <v>2130</v>
      </c>
      <c r="AF528" s="259"/>
      <c r="AG528" s="260"/>
      <c r="AH528" s="259"/>
      <c r="AI528" s="259"/>
      <c r="AJ528" s="260"/>
      <c r="AK528" s="259">
        <v>26</v>
      </c>
      <c r="AL528" s="259"/>
      <c r="AM528" s="259" t="s">
        <v>3232</v>
      </c>
      <c r="AN528" s="449"/>
      <c r="AO528" s="449"/>
      <c r="AP528" s="449"/>
      <c r="AQ528" s="392" t="str">
        <f>IFERROR(VLOOKUP(BG528,#REF!,1,0),"")</f>
        <v/>
      </c>
      <c r="AS528" s="259" t="s">
        <v>3229</v>
      </c>
      <c r="BD528" s="202" t="str">
        <f t="shared" si="83"/>
        <v>XM31.6 GTe LE A/T</v>
      </c>
      <c r="BE528" s="261" t="str">
        <f t="shared" si="89"/>
        <v>0052</v>
      </c>
      <c r="BF528" s="407" t="s">
        <v>570</v>
      </c>
      <c r="BG528" s="202" t="str">
        <f t="shared" si="84"/>
        <v>0052-0527</v>
      </c>
    </row>
    <row r="529" spans="1:59">
      <c r="A529" s="405">
        <v>4303</v>
      </c>
      <c r="B529" s="406">
        <v>4303</v>
      </c>
      <c r="C529" s="261" t="str">
        <f t="shared" si="85"/>
        <v>0002-0052</v>
      </c>
      <c r="D529" s="261" t="str">
        <f t="shared" si="86"/>
        <v>0002-0052-0006</v>
      </c>
      <c r="E529" s="407" t="s">
        <v>569</v>
      </c>
      <c r="F529" s="261" t="str">
        <f>TEXT(VLOOKUP(J529,'[3]1'!$B$2:$D$37,2,0),"0000")</f>
        <v>0002</v>
      </c>
      <c r="G529" s="261" t="str">
        <f t="shared" si="87"/>
        <v>0052</v>
      </c>
      <c r="H529" s="408">
        <f t="shared" si="88"/>
        <v>6</v>
      </c>
      <c r="I529" s="407" t="s">
        <v>569</v>
      </c>
      <c r="J529" s="258" t="s">
        <v>773</v>
      </c>
      <c r="K529" s="258" t="s">
        <v>2731</v>
      </c>
      <c r="L529" s="258" t="s">
        <v>2363</v>
      </c>
      <c r="M529" s="409">
        <v>21950000</v>
      </c>
      <c r="N529" s="258">
        <v>1598</v>
      </c>
      <c r="O529" s="258" t="s">
        <v>77</v>
      </c>
      <c r="P529" s="258" t="s">
        <v>73</v>
      </c>
      <c r="Q529" s="258" t="s">
        <v>72</v>
      </c>
      <c r="R529" s="258">
        <v>5</v>
      </c>
      <c r="S529" s="410">
        <v>7</v>
      </c>
      <c r="T529" s="261">
        <v>6</v>
      </c>
      <c r="U529" s="261">
        <v>6</v>
      </c>
      <c r="V529" s="258" t="s">
        <v>71</v>
      </c>
      <c r="W529" s="261" t="str">
        <f t="shared" si="90"/>
        <v>삼성자동차XM31.6 GTe LE+ A/T21950000</v>
      </c>
      <c r="X529" s="411">
        <f t="shared" si="91"/>
        <v>4303</v>
      </c>
      <c r="Y529" s="261">
        <v>6</v>
      </c>
      <c r="Z529" s="261">
        <v>6</v>
      </c>
      <c r="AA529" s="407" t="s">
        <v>569</v>
      </c>
      <c r="AB529" s="258" t="s">
        <v>73</v>
      </c>
      <c r="AC529" s="258"/>
      <c r="AD529" s="258" t="s">
        <v>2132</v>
      </c>
      <c r="AE529" s="258" t="s">
        <v>2130</v>
      </c>
      <c r="AF529" s="259"/>
      <c r="AG529" s="260"/>
      <c r="AH529" s="259"/>
      <c r="AI529" s="259"/>
      <c r="AJ529" s="260"/>
      <c r="AK529" s="259">
        <v>26</v>
      </c>
      <c r="AL529" s="259"/>
      <c r="AM529" s="259" t="s">
        <v>3232</v>
      </c>
      <c r="AN529" s="449"/>
      <c r="AO529" s="449"/>
      <c r="AP529" s="449"/>
      <c r="AQ529" s="392" t="str">
        <f>IFERROR(VLOOKUP(BG529,#REF!,1,0),"")</f>
        <v/>
      </c>
      <c r="AS529" s="259" t="s">
        <v>3229</v>
      </c>
      <c r="BD529" s="202" t="str">
        <f t="shared" si="83"/>
        <v>XM31.6 GTe LE+ A/T</v>
      </c>
      <c r="BE529" s="261" t="str">
        <f t="shared" si="89"/>
        <v>0052</v>
      </c>
      <c r="BF529" s="407" t="s">
        <v>569</v>
      </c>
      <c r="BG529" s="202" t="str">
        <f t="shared" si="84"/>
        <v>0052-0528</v>
      </c>
    </row>
    <row r="530" spans="1:59">
      <c r="A530" s="405">
        <v>4304</v>
      </c>
      <c r="B530" s="406">
        <v>4304</v>
      </c>
      <c r="C530" s="261" t="str">
        <f t="shared" si="85"/>
        <v>0001-0053</v>
      </c>
      <c r="D530" s="261" t="str">
        <f t="shared" si="86"/>
        <v>0001-0053-0001</v>
      </c>
      <c r="E530" s="407" t="s">
        <v>568</v>
      </c>
      <c r="F530" s="261" t="str">
        <f>TEXT(VLOOKUP(J530,'[3]1'!$B$2:$D$37,2,0),"0000")</f>
        <v>0001</v>
      </c>
      <c r="G530" s="261" t="str">
        <f t="shared" si="87"/>
        <v>0053</v>
      </c>
      <c r="H530" s="408">
        <f t="shared" si="88"/>
        <v>1</v>
      </c>
      <c r="I530" s="407" t="s">
        <v>568</v>
      </c>
      <c r="J530" s="258" t="s">
        <v>828</v>
      </c>
      <c r="K530" s="258" t="s">
        <v>1047</v>
      </c>
      <c r="L530" s="258" t="s">
        <v>2138</v>
      </c>
      <c r="M530" s="409">
        <v>21400000</v>
      </c>
      <c r="N530" s="258">
        <v>1598</v>
      </c>
      <c r="O530" s="258" t="s">
        <v>77</v>
      </c>
      <c r="P530" s="258" t="s">
        <v>73</v>
      </c>
      <c r="Q530" s="258" t="s">
        <v>72</v>
      </c>
      <c r="R530" s="258">
        <v>5</v>
      </c>
      <c r="S530" s="410">
        <v>2</v>
      </c>
      <c r="T530" s="261">
        <v>6</v>
      </c>
      <c r="U530" s="261">
        <v>6</v>
      </c>
      <c r="V530" s="258" t="s">
        <v>3329</v>
      </c>
      <c r="W530" s="261" t="str">
        <f t="shared" si="90"/>
        <v>기아자동차K31.6 가솔린 시그니처21400000</v>
      </c>
      <c r="X530" s="411">
        <f t="shared" si="91"/>
        <v>4304</v>
      </c>
      <c r="Y530" s="261">
        <v>6</v>
      </c>
      <c r="Z530" s="261">
        <v>6</v>
      </c>
      <c r="AA530" s="407" t="s">
        <v>568</v>
      </c>
      <c r="AB530" s="258" t="s">
        <v>3330</v>
      </c>
      <c r="AC530" s="258"/>
      <c r="AD530" s="258" t="s">
        <v>2131</v>
      </c>
      <c r="AE530" s="258" t="s">
        <v>2129</v>
      </c>
      <c r="AF530" s="259"/>
      <c r="AG530" s="260"/>
      <c r="AH530" s="259"/>
      <c r="AI530" s="259"/>
      <c r="AJ530" s="260"/>
      <c r="AK530" s="259">
        <v>26</v>
      </c>
      <c r="AL530" s="259"/>
      <c r="AM530" s="259" t="s">
        <v>3223</v>
      </c>
      <c r="AN530" s="449">
        <v>2</v>
      </c>
      <c r="AO530" s="449" t="s">
        <v>1958</v>
      </c>
      <c r="AP530" s="449">
        <v>2</v>
      </c>
      <c r="AQ530" s="392" t="str">
        <f>IFERROR(VLOOKUP(BG530,#REF!,1,0),"")</f>
        <v/>
      </c>
      <c r="AS530" s="259" t="s">
        <v>3223</v>
      </c>
      <c r="BD530" s="202" t="str">
        <f t="shared" si="83"/>
        <v>K31.6 가솔린 시그니처</v>
      </c>
      <c r="BE530" s="261" t="str">
        <f t="shared" si="89"/>
        <v>0053</v>
      </c>
      <c r="BF530" s="407" t="s">
        <v>568</v>
      </c>
      <c r="BG530" s="202" t="str">
        <f t="shared" si="84"/>
        <v>0053-0529</v>
      </c>
    </row>
    <row r="531" spans="1:59">
      <c r="A531" s="405">
        <v>4305</v>
      </c>
      <c r="B531" s="406">
        <v>4305</v>
      </c>
      <c r="C531" s="261" t="str">
        <f t="shared" si="85"/>
        <v>0001-0053</v>
      </c>
      <c r="D531" s="261" t="str">
        <f t="shared" si="86"/>
        <v>0001-0053-0002</v>
      </c>
      <c r="E531" s="407" t="s">
        <v>567</v>
      </c>
      <c r="F531" s="261" t="str">
        <f>TEXT(VLOOKUP(J531,'[3]1'!$B$2:$D$37,2,0),"0000")</f>
        <v>0001</v>
      </c>
      <c r="G531" s="261" t="str">
        <f t="shared" si="87"/>
        <v>0053</v>
      </c>
      <c r="H531" s="408">
        <f t="shared" si="88"/>
        <v>2</v>
      </c>
      <c r="I531" s="407" t="s">
        <v>567</v>
      </c>
      <c r="J531" s="258" t="s">
        <v>828</v>
      </c>
      <c r="K531" s="258" t="s">
        <v>1047</v>
      </c>
      <c r="L531" s="258" t="s">
        <v>2139</v>
      </c>
      <c r="M531" s="409">
        <v>17570000</v>
      </c>
      <c r="N531" s="258">
        <v>1598</v>
      </c>
      <c r="O531" s="258" t="s">
        <v>77</v>
      </c>
      <c r="P531" s="258" t="s">
        <v>73</v>
      </c>
      <c r="Q531" s="258" t="s">
        <v>72</v>
      </c>
      <c r="R531" s="258">
        <v>5</v>
      </c>
      <c r="S531" s="410">
        <v>2</v>
      </c>
      <c r="T531" s="261">
        <v>6</v>
      </c>
      <c r="U531" s="261">
        <v>6</v>
      </c>
      <c r="V531" s="258" t="s">
        <v>3329</v>
      </c>
      <c r="W531" s="261" t="str">
        <f t="shared" si="90"/>
        <v>기아자동차K31.6 가솔린 스탠다드17570000</v>
      </c>
      <c r="X531" s="411">
        <f t="shared" si="91"/>
        <v>4305</v>
      </c>
      <c r="Y531" s="261">
        <v>6</v>
      </c>
      <c r="Z531" s="261">
        <v>6</v>
      </c>
      <c r="AA531" s="407" t="s">
        <v>567</v>
      </c>
      <c r="AB531" s="258" t="s">
        <v>3330</v>
      </c>
      <c r="AC531" s="258"/>
      <c r="AD531" s="258" t="s">
        <v>2131</v>
      </c>
      <c r="AE531" s="258" t="s">
        <v>2129</v>
      </c>
      <c r="AF531" s="259"/>
      <c r="AG531" s="260"/>
      <c r="AH531" s="259"/>
      <c r="AI531" s="259"/>
      <c r="AJ531" s="260"/>
      <c r="AK531" s="259">
        <v>26</v>
      </c>
      <c r="AL531" s="259"/>
      <c r="AM531" s="259" t="s">
        <v>3223</v>
      </c>
      <c r="AN531" s="449">
        <v>4</v>
      </c>
      <c r="AO531" s="449" t="s">
        <v>1982</v>
      </c>
      <c r="AP531" s="449">
        <v>4</v>
      </c>
      <c r="AQ531" s="392" t="str">
        <f>IFERROR(VLOOKUP(BG531,#REF!,1,0),"")</f>
        <v/>
      </c>
      <c r="AS531" s="259" t="s">
        <v>3223</v>
      </c>
      <c r="BD531" s="202" t="str">
        <f t="shared" si="83"/>
        <v>K31.6 가솔린 스탠다드</v>
      </c>
      <c r="BE531" s="261" t="str">
        <f t="shared" si="89"/>
        <v>0053</v>
      </c>
      <c r="BF531" s="407" t="s">
        <v>567</v>
      </c>
      <c r="BG531" s="202" t="str">
        <f t="shared" si="84"/>
        <v>0053-0530</v>
      </c>
    </row>
    <row r="532" spans="1:59">
      <c r="A532" s="405">
        <v>4306</v>
      </c>
      <c r="B532" s="406">
        <v>4306</v>
      </c>
      <c r="C532" s="261" t="str">
        <f t="shared" si="85"/>
        <v>0001-0053</v>
      </c>
      <c r="D532" s="261" t="str">
        <f t="shared" si="86"/>
        <v>0001-0053-0003</v>
      </c>
      <c r="E532" s="407" t="s">
        <v>566</v>
      </c>
      <c r="F532" s="261" t="str">
        <f>TEXT(VLOOKUP(J532,'[3]1'!$B$2:$D$37,2,0),"0000")</f>
        <v>0001</v>
      </c>
      <c r="G532" s="261" t="str">
        <f t="shared" si="87"/>
        <v>0053</v>
      </c>
      <c r="H532" s="408">
        <f t="shared" si="88"/>
        <v>3</v>
      </c>
      <c r="I532" s="407" t="s">
        <v>566</v>
      </c>
      <c r="J532" s="258" t="s">
        <v>828</v>
      </c>
      <c r="K532" s="258" t="s">
        <v>1047</v>
      </c>
      <c r="L532" s="258" t="s">
        <v>2140</v>
      </c>
      <c r="M532" s="409">
        <v>19440000</v>
      </c>
      <c r="N532" s="258">
        <v>1598</v>
      </c>
      <c r="O532" s="258" t="s">
        <v>77</v>
      </c>
      <c r="P532" s="258" t="s">
        <v>73</v>
      </c>
      <c r="Q532" s="258" t="s">
        <v>72</v>
      </c>
      <c r="R532" s="258">
        <v>5</v>
      </c>
      <c r="S532" s="410">
        <v>2</v>
      </c>
      <c r="T532" s="261">
        <v>6</v>
      </c>
      <c r="U532" s="261">
        <v>6</v>
      </c>
      <c r="V532" s="258" t="s">
        <v>3329</v>
      </c>
      <c r="W532" s="261" t="str">
        <f t="shared" si="90"/>
        <v>기아자동차K31.6 가솔린 프레스티지19440000</v>
      </c>
      <c r="X532" s="411">
        <f t="shared" si="91"/>
        <v>4306</v>
      </c>
      <c r="Y532" s="261">
        <v>6</v>
      </c>
      <c r="Z532" s="261">
        <v>6</v>
      </c>
      <c r="AA532" s="407" t="s">
        <v>566</v>
      </c>
      <c r="AB532" s="258" t="s">
        <v>3330</v>
      </c>
      <c r="AC532" s="258"/>
      <c r="AD532" s="258" t="s">
        <v>2131</v>
      </c>
      <c r="AE532" s="258" t="s">
        <v>2129</v>
      </c>
      <c r="AF532" s="259"/>
      <c r="AG532" s="260"/>
      <c r="AH532" s="259"/>
      <c r="AI532" s="259"/>
      <c r="AJ532" s="260"/>
      <c r="AK532" s="259">
        <v>26</v>
      </c>
      <c r="AL532" s="259"/>
      <c r="AM532" s="259" t="s">
        <v>3223</v>
      </c>
      <c r="AN532" s="449">
        <v>5</v>
      </c>
      <c r="AO532" s="449" t="s">
        <v>1983</v>
      </c>
      <c r="AP532" s="449">
        <v>5</v>
      </c>
      <c r="AQ532" s="392" t="str">
        <f>IFERROR(VLOOKUP(BG532,#REF!,1,0),"")</f>
        <v/>
      </c>
      <c r="AS532" s="259" t="s">
        <v>3223</v>
      </c>
      <c r="BD532" s="202" t="str">
        <f t="shared" si="83"/>
        <v>K31.6 가솔린 프레스티지</v>
      </c>
      <c r="BE532" s="261" t="str">
        <f t="shared" si="89"/>
        <v>0053</v>
      </c>
      <c r="BF532" s="407" t="s">
        <v>566</v>
      </c>
      <c r="BG532" s="202" t="str">
        <f t="shared" si="84"/>
        <v>0053-0531</v>
      </c>
    </row>
    <row r="533" spans="1:59">
      <c r="A533" s="405">
        <v>4307</v>
      </c>
      <c r="B533" s="406">
        <v>4307</v>
      </c>
      <c r="C533" s="261" t="str">
        <f t="shared" si="85"/>
        <v>0001-0053</v>
      </c>
      <c r="D533" s="261" t="str">
        <f t="shared" si="86"/>
        <v>0001-0053-0004</v>
      </c>
      <c r="E533" s="407" t="s">
        <v>565</v>
      </c>
      <c r="F533" s="261" t="str">
        <f>TEXT(VLOOKUP(J533,'[3]1'!$B$2:$D$37,2,0),"0000")</f>
        <v>0001</v>
      </c>
      <c r="G533" s="261" t="str">
        <f t="shared" si="87"/>
        <v>0053</v>
      </c>
      <c r="H533" s="408">
        <f t="shared" si="88"/>
        <v>4</v>
      </c>
      <c r="I533" s="407" t="s">
        <v>565</v>
      </c>
      <c r="J533" s="258" t="s">
        <v>828</v>
      </c>
      <c r="K533" s="258" t="s">
        <v>1047</v>
      </c>
      <c r="L533" s="258" t="s">
        <v>1286</v>
      </c>
      <c r="M533" s="409">
        <v>22100000</v>
      </c>
      <c r="N533" s="258">
        <v>1591</v>
      </c>
      <c r="O533" s="258" t="s">
        <v>77</v>
      </c>
      <c r="P533" s="258" t="s">
        <v>73</v>
      </c>
      <c r="Q533" s="258" t="s">
        <v>72</v>
      </c>
      <c r="R533" s="258">
        <v>5</v>
      </c>
      <c r="S533" s="410">
        <v>4</v>
      </c>
      <c r="T533" s="261">
        <v>6</v>
      </c>
      <c r="U533" s="261">
        <v>6</v>
      </c>
      <c r="V533" s="258" t="s">
        <v>1969</v>
      </c>
      <c r="W533" s="261" t="str">
        <f t="shared" si="90"/>
        <v>기아자동차K34도어 GT 베이직22100000</v>
      </c>
      <c r="X533" s="411">
        <f t="shared" si="91"/>
        <v>4307</v>
      </c>
      <c r="Y533" s="261">
        <v>6</v>
      </c>
      <c r="Z533" s="261">
        <v>6</v>
      </c>
      <c r="AA533" s="407" t="s">
        <v>565</v>
      </c>
      <c r="AB533" s="258" t="s">
        <v>1431</v>
      </c>
      <c r="AC533" s="258"/>
      <c r="AD533" s="258">
        <v>6</v>
      </c>
      <c r="AE533" s="258">
        <v>0</v>
      </c>
      <c r="AF533" s="259"/>
      <c r="AG533" s="260"/>
      <c r="AH533" s="259"/>
      <c r="AI533" s="259"/>
      <c r="AJ533" s="260"/>
      <c r="AK533" s="259">
        <v>26</v>
      </c>
      <c r="AL533" s="259"/>
      <c r="AM533" s="259" t="s">
        <v>3226</v>
      </c>
      <c r="AN533" s="449">
        <v>1</v>
      </c>
      <c r="AO533" s="449" t="s">
        <v>1957</v>
      </c>
      <c r="AP533" s="449">
        <v>1</v>
      </c>
      <c r="AQ533" s="392" t="str">
        <f>IFERROR(VLOOKUP(BG533,#REF!,1,0),"")</f>
        <v/>
      </c>
      <c r="AS533" s="259" t="s">
        <v>3226</v>
      </c>
      <c r="BD533" s="202" t="str">
        <f t="shared" si="83"/>
        <v>K34도어 GT 베이직</v>
      </c>
      <c r="BE533" s="261" t="str">
        <f t="shared" si="89"/>
        <v>0053</v>
      </c>
      <c r="BF533" s="407" t="s">
        <v>565</v>
      </c>
      <c r="BG533" s="202" t="str">
        <f t="shared" si="84"/>
        <v>0053-0532</v>
      </c>
    </row>
    <row r="534" spans="1:59">
      <c r="A534" s="405">
        <v>4308</v>
      </c>
      <c r="B534" s="406">
        <v>4308</v>
      </c>
      <c r="C534" s="261" t="str">
        <f t="shared" si="85"/>
        <v>0001-0053</v>
      </c>
      <c r="D534" s="261" t="str">
        <f t="shared" si="86"/>
        <v>0001-0053-0005</v>
      </c>
      <c r="E534" s="407" t="s">
        <v>564</v>
      </c>
      <c r="F534" s="261" t="str">
        <f>TEXT(VLOOKUP(J534,'[3]1'!$B$2:$D$37,2,0),"0000")</f>
        <v>0001</v>
      </c>
      <c r="G534" s="261" t="str">
        <f t="shared" si="87"/>
        <v>0053</v>
      </c>
      <c r="H534" s="408">
        <f t="shared" si="88"/>
        <v>5</v>
      </c>
      <c r="I534" s="407" t="s">
        <v>564</v>
      </c>
      <c r="J534" s="258" t="s">
        <v>828</v>
      </c>
      <c r="K534" s="413" t="s">
        <v>1047</v>
      </c>
      <c r="L534" s="413" t="s">
        <v>2112</v>
      </c>
      <c r="M534" s="415">
        <v>25130000</v>
      </c>
      <c r="N534" s="416">
        <v>1591</v>
      </c>
      <c r="O534" s="258" t="s">
        <v>77</v>
      </c>
      <c r="P534" s="413" t="s">
        <v>73</v>
      </c>
      <c r="Q534" s="413" t="s">
        <v>72</v>
      </c>
      <c r="R534" s="416">
        <v>5</v>
      </c>
      <c r="S534" s="410">
        <v>7</v>
      </c>
      <c r="T534" s="261">
        <v>6</v>
      </c>
      <c r="U534" s="261">
        <v>6</v>
      </c>
      <c r="V534" s="258" t="s">
        <v>1969</v>
      </c>
      <c r="W534" s="261" t="str">
        <f t="shared" si="90"/>
        <v>기아자동차K31.6 GT 가솔린 터보(5도어) 시그니처25130000</v>
      </c>
      <c r="X534" s="411">
        <f t="shared" si="91"/>
        <v>4308</v>
      </c>
      <c r="Y534" s="261">
        <v>6</v>
      </c>
      <c r="Z534" s="261">
        <v>6</v>
      </c>
      <c r="AA534" s="407" t="s">
        <v>564</v>
      </c>
      <c r="AB534" s="258" t="s">
        <v>1431</v>
      </c>
      <c r="AC534" s="258"/>
      <c r="AD534" s="258">
        <v>6</v>
      </c>
      <c r="AE534" s="258">
        <v>0</v>
      </c>
      <c r="AF534" s="259"/>
      <c r="AG534" s="260"/>
      <c r="AH534" s="259"/>
      <c r="AI534" s="259"/>
      <c r="AJ534" s="260"/>
      <c r="AK534" s="259">
        <v>26</v>
      </c>
      <c r="AL534" s="259"/>
      <c r="AM534" s="259" t="s">
        <v>3229</v>
      </c>
      <c r="AN534" s="449">
        <v>3</v>
      </c>
      <c r="AO534" s="449" t="s">
        <v>1959</v>
      </c>
      <c r="AP534" s="449">
        <v>3</v>
      </c>
      <c r="AQ534" s="392" t="str">
        <f>IFERROR(VLOOKUP(BG534,#REF!,1,0),"")</f>
        <v/>
      </c>
      <c r="AS534" s="259" t="s">
        <v>3229</v>
      </c>
      <c r="BD534" s="202" t="str">
        <f t="shared" si="83"/>
        <v>K31.6 GT 가솔린 터보(5도어) 시그니처</v>
      </c>
      <c r="BE534" s="261" t="str">
        <f t="shared" si="89"/>
        <v>0053</v>
      </c>
      <c r="BF534" s="407" t="s">
        <v>564</v>
      </c>
      <c r="BG534" s="202" t="str">
        <f t="shared" si="84"/>
        <v>0053-0533</v>
      </c>
    </row>
    <row r="535" spans="1:59">
      <c r="A535" s="405">
        <v>4309</v>
      </c>
      <c r="B535" s="406">
        <v>4309</v>
      </c>
      <c r="C535" s="261" t="str">
        <f t="shared" si="85"/>
        <v>0001-0053</v>
      </c>
      <c r="D535" s="261" t="str">
        <f t="shared" si="86"/>
        <v>0001-0053-0006</v>
      </c>
      <c r="E535" s="407" t="s">
        <v>563</v>
      </c>
      <c r="F535" s="261" t="str">
        <f>TEXT(VLOOKUP(J535,'[3]1'!$B$2:$D$37,2,0),"0000")</f>
        <v>0001</v>
      </c>
      <c r="G535" s="261" t="str">
        <f t="shared" si="87"/>
        <v>0053</v>
      </c>
      <c r="H535" s="408">
        <f t="shared" si="88"/>
        <v>6</v>
      </c>
      <c r="I535" s="407" t="s">
        <v>563</v>
      </c>
      <c r="J535" s="258" t="s">
        <v>828</v>
      </c>
      <c r="K535" s="413" t="s">
        <v>1047</v>
      </c>
      <c r="L535" s="413" t="s">
        <v>2113</v>
      </c>
      <c r="M535" s="415">
        <v>22430000</v>
      </c>
      <c r="N535" s="416">
        <v>1591</v>
      </c>
      <c r="O535" s="258" t="s">
        <v>77</v>
      </c>
      <c r="P535" s="413" t="s">
        <v>73</v>
      </c>
      <c r="Q535" s="413" t="s">
        <v>72</v>
      </c>
      <c r="R535" s="416">
        <v>5</v>
      </c>
      <c r="S535" s="410">
        <v>7</v>
      </c>
      <c r="T535" s="261">
        <v>6</v>
      </c>
      <c r="U535" s="261">
        <v>6</v>
      </c>
      <c r="V535" s="258" t="s">
        <v>1969</v>
      </c>
      <c r="W535" s="261" t="str">
        <f t="shared" si="90"/>
        <v>기아자동차K31.6 GT 가솔린 터보(5도어) 프레스티지22430000</v>
      </c>
      <c r="X535" s="411">
        <f t="shared" si="91"/>
        <v>4309</v>
      </c>
      <c r="Y535" s="261">
        <v>6</v>
      </c>
      <c r="Z535" s="261">
        <v>6</v>
      </c>
      <c r="AA535" s="407" t="s">
        <v>563</v>
      </c>
      <c r="AB535" s="258" t="s">
        <v>1431</v>
      </c>
      <c r="AC535" s="258"/>
      <c r="AD535" s="258">
        <v>6</v>
      </c>
      <c r="AE535" s="258">
        <v>0</v>
      </c>
      <c r="AF535" s="259"/>
      <c r="AG535" s="260"/>
      <c r="AH535" s="259"/>
      <c r="AI535" s="259"/>
      <c r="AJ535" s="260"/>
      <c r="AK535" s="259">
        <v>26</v>
      </c>
      <c r="AL535" s="259"/>
      <c r="AM535" s="259" t="s">
        <v>3229</v>
      </c>
      <c r="AN535" s="449">
        <v>6</v>
      </c>
      <c r="AO535" s="449" t="s">
        <v>1984</v>
      </c>
      <c r="AP535" s="449">
        <v>6</v>
      </c>
      <c r="AQ535" s="392" t="str">
        <f>IFERROR(VLOOKUP(BG535,#REF!,1,0),"")</f>
        <v/>
      </c>
      <c r="AS535" s="259" t="s">
        <v>3229</v>
      </c>
      <c r="BD535" s="202" t="str">
        <f t="shared" si="83"/>
        <v>K31.6 GT 가솔린 터보(5도어) 프레스티지</v>
      </c>
      <c r="BE535" s="261" t="str">
        <f t="shared" si="89"/>
        <v>0053</v>
      </c>
      <c r="BF535" s="407" t="s">
        <v>563</v>
      </c>
      <c r="BG535" s="202" t="str">
        <f t="shared" si="84"/>
        <v>0053-0534</v>
      </c>
    </row>
    <row r="536" spans="1:59">
      <c r="A536" s="405">
        <v>4310</v>
      </c>
      <c r="B536" s="406">
        <v>4310</v>
      </c>
      <c r="C536" s="261" t="str">
        <f t="shared" si="85"/>
        <v>0001-0054</v>
      </c>
      <c r="D536" s="261" t="str">
        <f t="shared" si="86"/>
        <v>0001-0054-0001</v>
      </c>
      <c r="E536" s="407" t="s">
        <v>562</v>
      </c>
      <c r="F536" s="261" t="str">
        <f>TEXT(VLOOKUP(J536,'[3]1'!$B$2:$D$37,2,0),"0000")</f>
        <v>0001</v>
      </c>
      <c r="G536" s="261" t="str">
        <f t="shared" si="87"/>
        <v>0054</v>
      </c>
      <c r="H536" s="408">
        <f t="shared" si="88"/>
        <v>1</v>
      </c>
      <c r="I536" s="407" t="s">
        <v>562</v>
      </c>
      <c r="J536" s="258" t="s">
        <v>828</v>
      </c>
      <c r="K536" s="258" t="s">
        <v>2710</v>
      </c>
      <c r="L536" s="258" t="s">
        <v>2146</v>
      </c>
      <c r="M536" s="409">
        <v>27090000</v>
      </c>
      <c r="N536" s="258">
        <v>1598</v>
      </c>
      <c r="O536" s="258" t="s">
        <v>77</v>
      </c>
      <c r="P536" s="258" t="s">
        <v>73</v>
      </c>
      <c r="Q536" s="258" t="s">
        <v>72</v>
      </c>
      <c r="R536" s="258">
        <v>5</v>
      </c>
      <c r="S536" s="410">
        <v>3</v>
      </c>
      <c r="T536" s="261">
        <v>6</v>
      </c>
      <c r="U536" s="261">
        <v>6</v>
      </c>
      <c r="V536" s="258" t="s">
        <v>3329</v>
      </c>
      <c r="W536" s="261" t="str">
        <f t="shared" si="90"/>
        <v>기아자동차K5DL3 1.6 가솔린 터보 프레스티지27090000</v>
      </c>
      <c r="X536" s="411">
        <f t="shared" si="91"/>
        <v>4310</v>
      </c>
      <c r="Y536" s="261">
        <v>6</v>
      </c>
      <c r="Z536" s="261">
        <v>6</v>
      </c>
      <c r="AA536" s="407" t="s">
        <v>562</v>
      </c>
      <c r="AB536" s="258" t="s">
        <v>3330</v>
      </c>
      <c r="AC536" s="258"/>
      <c r="AD536" s="258" t="s">
        <v>2130</v>
      </c>
      <c r="AE536" s="258" t="s">
        <v>2129</v>
      </c>
      <c r="AF536" s="259"/>
      <c r="AG536" s="260"/>
      <c r="AH536" s="259"/>
      <c r="AI536" s="259"/>
      <c r="AJ536" s="260"/>
      <c r="AK536" s="259">
        <v>26</v>
      </c>
      <c r="AL536" s="259"/>
      <c r="AM536" s="259" t="s">
        <v>1262</v>
      </c>
      <c r="AN536" s="449">
        <v>12</v>
      </c>
      <c r="AO536" s="449" t="s">
        <v>1990</v>
      </c>
      <c r="AP536" s="449">
        <v>12</v>
      </c>
      <c r="AQ536" s="392" t="str">
        <f>IFERROR(VLOOKUP(BG536,#REF!,1,0),"")</f>
        <v/>
      </c>
      <c r="AS536" s="259" t="s">
        <v>3237</v>
      </c>
      <c r="BD536" s="202" t="str">
        <f t="shared" si="83"/>
        <v>K5DL3 1.6 가솔린 터보 프레스티지</v>
      </c>
      <c r="BE536" s="261" t="str">
        <f t="shared" si="89"/>
        <v>0054</v>
      </c>
      <c r="BF536" s="407" t="s">
        <v>562</v>
      </c>
      <c r="BG536" s="202" t="str">
        <f t="shared" si="84"/>
        <v>0054-0535</v>
      </c>
    </row>
    <row r="537" spans="1:59">
      <c r="A537" s="405">
        <v>4311</v>
      </c>
      <c r="B537" s="406">
        <v>4311</v>
      </c>
      <c r="C537" s="261" t="str">
        <f t="shared" si="85"/>
        <v>0001-0054</v>
      </c>
      <c r="D537" s="261" t="str">
        <f t="shared" si="86"/>
        <v>0001-0054-0002</v>
      </c>
      <c r="E537" s="407" t="s">
        <v>561</v>
      </c>
      <c r="F537" s="261" t="str">
        <f>TEXT(VLOOKUP(J537,'[3]1'!$B$2:$D$37,2,0),"0000")</f>
        <v>0001</v>
      </c>
      <c r="G537" s="261" t="str">
        <f t="shared" si="87"/>
        <v>0054</v>
      </c>
      <c r="H537" s="408">
        <f t="shared" si="88"/>
        <v>2</v>
      </c>
      <c r="I537" s="407" t="s">
        <v>561</v>
      </c>
      <c r="J537" s="258" t="s">
        <v>828</v>
      </c>
      <c r="K537" s="258" t="s">
        <v>2710</v>
      </c>
      <c r="L537" s="258" t="s">
        <v>2147</v>
      </c>
      <c r="M537" s="409">
        <v>25920000</v>
      </c>
      <c r="N537" s="258">
        <v>1999</v>
      </c>
      <c r="O537" s="258" t="s">
        <v>77</v>
      </c>
      <c r="P537" s="258" t="s">
        <v>73</v>
      </c>
      <c r="Q537" s="258" t="s">
        <v>72</v>
      </c>
      <c r="R537" s="258">
        <v>5</v>
      </c>
      <c r="S537" s="410">
        <v>3</v>
      </c>
      <c r="T537" s="261">
        <v>6</v>
      </c>
      <c r="U537" s="261">
        <v>6</v>
      </c>
      <c r="V537" s="258" t="s">
        <v>3329</v>
      </c>
      <c r="W537" s="261" t="str">
        <f t="shared" si="90"/>
        <v>기아자동차K5DL3 2.0 가솔린 프레스티지25920000</v>
      </c>
      <c r="X537" s="411">
        <f t="shared" si="91"/>
        <v>4311</v>
      </c>
      <c r="Y537" s="261">
        <v>6</v>
      </c>
      <c r="Z537" s="261">
        <v>6</v>
      </c>
      <c r="AA537" s="407" t="s">
        <v>561</v>
      </c>
      <c r="AB537" s="258" t="s">
        <v>3330</v>
      </c>
      <c r="AC537" s="258"/>
      <c r="AD537" s="258" t="s">
        <v>2130</v>
      </c>
      <c r="AE537" s="258" t="s">
        <v>2129</v>
      </c>
      <c r="AF537" s="259"/>
      <c r="AG537" s="260"/>
      <c r="AH537" s="259"/>
      <c r="AI537" s="259"/>
      <c r="AJ537" s="260"/>
      <c r="AK537" s="259">
        <v>26</v>
      </c>
      <c r="AL537" s="259"/>
      <c r="AM537" s="259" t="s">
        <v>1262</v>
      </c>
      <c r="AN537" s="449">
        <v>13</v>
      </c>
      <c r="AO537" s="449" t="s">
        <v>1991</v>
      </c>
      <c r="AP537" s="449">
        <v>13</v>
      </c>
      <c r="AQ537" s="392" t="str">
        <f>IFERROR(VLOOKUP(BG537,#REF!,1,0),"")</f>
        <v/>
      </c>
      <c r="AS537" s="259" t="s">
        <v>3237</v>
      </c>
      <c r="BD537" s="202" t="str">
        <f t="shared" si="83"/>
        <v>K5DL3 2.0 가솔린 프레스티지</v>
      </c>
      <c r="BE537" s="261" t="str">
        <f t="shared" si="89"/>
        <v>0054</v>
      </c>
      <c r="BF537" s="407" t="s">
        <v>561</v>
      </c>
      <c r="BG537" s="202" t="str">
        <f t="shared" si="84"/>
        <v>0054-0536</v>
      </c>
    </row>
    <row r="538" spans="1:59">
      <c r="A538" s="405">
        <v>4312</v>
      </c>
      <c r="B538" s="406">
        <v>4312</v>
      </c>
      <c r="C538" s="261" t="str">
        <f t="shared" si="85"/>
        <v>0001-0054</v>
      </c>
      <c r="D538" s="261" t="str">
        <f t="shared" si="86"/>
        <v>0001-0054-0003</v>
      </c>
      <c r="E538" s="407" t="s">
        <v>560</v>
      </c>
      <c r="F538" s="261" t="str">
        <f>TEXT(VLOOKUP(J538,'[3]1'!$B$2:$D$37,2,0),"0000")</f>
        <v>0001</v>
      </c>
      <c r="G538" s="261" t="str">
        <f t="shared" si="87"/>
        <v>0054</v>
      </c>
      <c r="H538" s="408">
        <f t="shared" si="88"/>
        <v>3</v>
      </c>
      <c r="I538" s="407" t="s">
        <v>560</v>
      </c>
      <c r="J538" s="258" t="s">
        <v>828</v>
      </c>
      <c r="K538" s="258" t="s">
        <v>2710</v>
      </c>
      <c r="L538" s="258" t="s">
        <v>2148</v>
      </c>
      <c r="M538" s="409">
        <v>31410000</v>
      </c>
      <c r="N538" s="258">
        <v>1598</v>
      </c>
      <c r="O538" s="258" t="s">
        <v>77</v>
      </c>
      <c r="P538" s="258" t="s">
        <v>73</v>
      </c>
      <c r="Q538" s="258" t="s">
        <v>72</v>
      </c>
      <c r="R538" s="258">
        <v>5</v>
      </c>
      <c r="S538" s="410">
        <v>3</v>
      </c>
      <c r="T538" s="261">
        <v>6</v>
      </c>
      <c r="U538" s="261">
        <v>6</v>
      </c>
      <c r="V538" s="258" t="s">
        <v>3329</v>
      </c>
      <c r="W538" s="261" t="str">
        <f t="shared" si="90"/>
        <v>기아자동차K5DL3 1.6 가솔린 터보 시그니처31410000</v>
      </c>
      <c r="X538" s="411">
        <f t="shared" si="91"/>
        <v>4312</v>
      </c>
      <c r="Y538" s="261">
        <v>6</v>
      </c>
      <c r="Z538" s="261">
        <v>6</v>
      </c>
      <c r="AA538" s="407" t="s">
        <v>560</v>
      </c>
      <c r="AB538" s="258" t="s">
        <v>3330</v>
      </c>
      <c r="AC538" s="258"/>
      <c r="AD538" s="258" t="s">
        <v>2130</v>
      </c>
      <c r="AE538" s="258" t="s">
        <v>2129</v>
      </c>
      <c r="AF538" s="259"/>
      <c r="AG538" s="260"/>
      <c r="AH538" s="259"/>
      <c r="AI538" s="259"/>
      <c r="AJ538" s="260"/>
      <c r="AK538" s="259">
        <v>26</v>
      </c>
      <c r="AL538" s="259"/>
      <c r="AM538" s="259" t="s">
        <v>1262</v>
      </c>
      <c r="AN538" s="449">
        <v>14</v>
      </c>
      <c r="AO538" s="449" t="s">
        <v>1969</v>
      </c>
      <c r="AP538" s="449">
        <v>14</v>
      </c>
      <c r="AQ538" s="392" t="str">
        <f>IFERROR(VLOOKUP(BG538,#REF!,1,0),"")</f>
        <v/>
      </c>
      <c r="AS538" s="259" t="s">
        <v>3237</v>
      </c>
      <c r="BD538" s="202" t="str">
        <f t="shared" si="83"/>
        <v>K5DL3 1.6 가솔린 터보 시그니처</v>
      </c>
      <c r="BE538" s="261" t="str">
        <f t="shared" si="89"/>
        <v>0054</v>
      </c>
      <c r="BF538" s="407" t="s">
        <v>560</v>
      </c>
      <c r="BG538" s="202" t="str">
        <f t="shared" si="84"/>
        <v>0054-0537</v>
      </c>
    </row>
    <row r="539" spans="1:59">
      <c r="A539" s="405">
        <v>4313</v>
      </c>
      <c r="B539" s="406">
        <v>4313</v>
      </c>
      <c r="C539" s="261" t="str">
        <f t="shared" si="85"/>
        <v>0001-0054</v>
      </c>
      <c r="D539" s="261" t="str">
        <f t="shared" si="86"/>
        <v>0001-0054-0004</v>
      </c>
      <c r="E539" s="407" t="s">
        <v>559</v>
      </c>
      <c r="F539" s="261" t="str">
        <f>TEXT(VLOOKUP(J539,'[3]1'!$B$2:$D$37,2,0),"0000")</f>
        <v>0001</v>
      </c>
      <c r="G539" s="261" t="str">
        <f t="shared" si="87"/>
        <v>0054</v>
      </c>
      <c r="H539" s="408">
        <f t="shared" si="88"/>
        <v>4</v>
      </c>
      <c r="I539" s="407" t="s">
        <v>559</v>
      </c>
      <c r="J539" s="258" t="s">
        <v>828</v>
      </c>
      <c r="K539" s="258" t="s">
        <v>2710</v>
      </c>
      <c r="L539" s="258" t="s">
        <v>2149</v>
      </c>
      <c r="M539" s="409">
        <v>29010000</v>
      </c>
      <c r="N539" s="258">
        <v>1598</v>
      </c>
      <c r="O539" s="258" t="s">
        <v>77</v>
      </c>
      <c r="P539" s="258" t="s">
        <v>73</v>
      </c>
      <c r="Q539" s="258" t="s">
        <v>72</v>
      </c>
      <c r="R539" s="258">
        <v>5</v>
      </c>
      <c r="S539" s="410">
        <v>3</v>
      </c>
      <c r="T539" s="261">
        <v>6</v>
      </c>
      <c r="U539" s="261">
        <v>6</v>
      </c>
      <c r="V539" s="258" t="s">
        <v>3329</v>
      </c>
      <c r="W539" s="261" t="str">
        <f t="shared" si="90"/>
        <v>기아자동차K5DL3 1.6 가솔린 터보 노블레스29010000</v>
      </c>
      <c r="X539" s="411">
        <f t="shared" si="91"/>
        <v>4313</v>
      </c>
      <c r="Y539" s="261">
        <v>6</v>
      </c>
      <c r="Z539" s="261">
        <v>6</v>
      </c>
      <c r="AA539" s="407" t="s">
        <v>559</v>
      </c>
      <c r="AB539" s="258" t="s">
        <v>3330</v>
      </c>
      <c r="AC539" s="258"/>
      <c r="AD539" s="258" t="s">
        <v>2130</v>
      </c>
      <c r="AE539" s="258" t="s">
        <v>2129</v>
      </c>
      <c r="AF539" s="259"/>
      <c r="AG539" s="260"/>
      <c r="AH539" s="259"/>
      <c r="AI539" s="259"/>
      <c r="AJ539" s="260"/>
      <c r="AK539" s="259">
        <v>26</v>
      </c>
      <c r="AL539" s="259"/>
      <c r="AM539" s="259" t="s">
        <v>1262</v>
      </c>
      <c r="AN539" s="449">
        <v>15</v>
      </c>
      <c r="AO539" s="449" t="s">
        <v>1992</v>
      </c>
      <c r="AP539" s="449">
        <v>15</v>
      </c>
      <c r="AQ539" s="392" t="str">
        <f>IFERROR(VLOOKUP(BG539,#REF!,1,0),"")</f>
        <v/>
      </c>
      <c r="AS539" s="259" t="s">
        <v>3237</v>
      </c>
      <c r="BD539" s="202" t="str">
        <f t="shared" si="83"/>
        <v>K5DL3 1.6 가솔린 터보 노블레스</v>
      </c>
      <c r="BE539" s="261" t="str">
        <f t="shared" si="89"/>
        <v>0054</v>
      </c>
      <c r="BF539" s="407" t="s">
        <v>559</v>
      </c>
      <c r="BG539" s="202" t="str">
        <f t="shared" si="84"/>
        <v>0054-0538</v>
      </c>
    </row>
    <row r="540" spans="1:59">
      <c r="A540" s="405">
        <v>4314</v>
      </c>
      <c r="B540" s="406">
        <v>4314</v>
      </c>
      <c r="C540" s="261" t="str">
        <f t="shared" si="85"/>
        <v>0001-0054</v>
      </c>
      <c r="D540" s="261" t="str">
        <f t="shared" si="86"/>
        <v>0001-0054-0005</v>
      </c>
      <c r="E540" s="407" t="s">
        <v>558</v>
      </c>
      <c r="F540" s="261" t="str">
        <f>TEXT(VLOOKUP(J540,'[3]1'!$B$2:$D$37,2,0),"0000")</f>
        <v>0001</v>
      </c>
      <c r="G540" s="261" t="str">
        <f t="shared" si="87"/>
        <v>0054</v>
      </c>
      <c r="H540" s="408">
        <f t="shared" si="88"/>
        <v>5</v>
      </c>
      <c r="I540" s="407" t="s">
        <v>558</v>
      </c>
      <c r="J540" s="258" t="s">
        <v>828</v>
      </c>
      <c r="K540" s="258" t="s">
        <v>2710</v>
      </c>
      <c r="L540" s="258" t="s">
        <v>2150</v>
      </c>
      <c r="M540" s="409">
        <v>27830000</v>
      </c>
      <c r="N540" s="258">
        <v>1999</v>
      </c>
      <c r="O540" s="258" t="s">
        <v>77</v>
      </c>
      <c r="P540" s="258" t="s">
        <v>73</v>
      </c>
      <c r="Q540" s="258" t="s">
        <v>72</v>
      </c>
      <c r="R540" s="258">
        <v>5</v>
      </c>
      <c r="S540" s="410">
        <v>3</v>
      </c>
      <c r="T540" s="261">
        <v>6</v>
      </c>
      <c r="U540" s="261">
        <v>6</v>
      </c>
      <c r="V540" s="258" t="s">
        <v>3329</v>
      </c>
      <c r="W540" s="261" t="str">
        <f t="shared" si="90"/>
        <v>기아자동차K5DL3 2.0 가솔린 노블레스27830000</v>
      </c>
      <c r="X540" s="411">
        <f t="shared" si="91"/>
        <v>4314</v>
      </c>
      <c r="Y540" s="261">
        <v>6</v>
      </c>
      <c r="Z540" s="261">
        <v>6</v>
      </c>
      <c r="AA540" s="407" t="s">
        <v>558</v>
      </c>
      <c r="AB540" s="258" t="s">
        <v>3330</v>
      </c>
      <c r="AC540" s="258"/>
      <c r="AD540" s="258" t="s">
        <v>2130</v>
      </c>
      <c r="AE540" s="258" t="s">
        <v>2129</v>
      </c>
      <c r="AF540" s="259"/>
      <c r="AG540" s="260"/>
      <c r="AH540" s="259"/>
      <c r="AI540" s="259"/>
      <c r="AJ540" s="260"/>
      <c r="AK540" s="259">
        <v>26</v>
      </c>
      <c r="AL540" s="259"/>
      <c r="AM540" s="259" t="s">
        <v>1262</v>
      </c>
      <c r="AN540" s="449">
        <v>16</v>
      </c>
      <c r="AO540" s="449" t="s">
        <v>1993</v>
      </c>
      <c r="AP540" s="449">
        <v>16</v>
      </c>
      <c r="AQ540" s="392" t="str">
        <f>IFERROR(VLOOKUP(BG540,#REF!,1,0),"")</f>
        <v/>
      </c>
      <c r="AS540" s="259" t="s">
        <v>3237</v>
      </c>
      <c r="BD540" s="202" t="str">
        <f t="shared" si="83"/>
        <v>K5DL3 2.0 가솔린 노블레스</v>
      </c>
      <c r="BE540" s="261" t="str">
        <f t="shared" si="89"/>
        <v>0054</v>
      </c>
      <c r="BF540" s="407" t="s">
        <v>558</v>
      </c>
      <c r="BG540" s="202" t="str">
        <f t="shared" si="84"/>
        <v>0054-0539</v>
      </c>
    </row>
    <row r="541" spans="1:59">
      <c r="A541" s="405">
        <v>4315</v>
      </c>
      <c r="B541" s="406">
        <v>4315</v>
      </c>
      <c r="C541" s="261" t="str">
        <f t="shared" si="85"/>
        <v>0001-0054</v>
      </c>
      <c r="D541" s="261" t="str">
        <f t="shared" si="86"/>
        <v>0001-0054-0006</v>
      </c>
      <c r="E541" s="407" t="s">
        <v>557</v>
      </c>
      <c r="F541" s="261" t="str">
        <f>TEXT(VLOOKUP(J541,'[3]1'!$B$2:$D$37,2,0),"0000")</f>
        <v>0001</v>
      </c>
      <c r="G541" s="261" t="str">
        <f t="shared" si="87"/>
        <v>0054</v>
      </c>
      <c r="H541" s="408">
        <f t="shared" si="88"/>
        <v>6</v>
      </c>
      <c r="I541" s="407" t="s">
        <v>557</v>
      </c>
      <c r="J541" s="258" t="s">
        <v>828</v>
      </c>
      <c r="K541" s="258" t="s">
        <v>2710</v>
      </c>
      <c r="L541" s="258" t="s">
        <v>2151</v>
      </c>
      <c r="M541" s="409">
        <v>24300000</v>
      </c>
      <c r="N541" s="258">
        <v>1598</v>
      </c>
      <c r="O541" s="258" t="s">
        <v>77</v>
      </c>
      <c r="P541" s="258" t="s">
        <v>73</v>
      </c>
      <c r="Q541" s="258" t="s">
        <v>72</v>
      </c>
      <c r="R541" s="258">
        <v>5</v>
      </c>
      <c r="S541" s="410">
        <v>3</v>
      </c>
      <c r="T541" s="261">
        <v>6</v>
      </c>
      <c r="U541" s="261">
        <v>6</v>
      </c>
      <c r="V541" s="258" t="s">
        <v>3329</v>
      </c>
      <c r="W541" s="261" t="str">
        <f t="shared" si="90"/>
        <v>기아자동차K5DL3 1.6 가솔린 터보 트렌디24300000</v>
      </c>
      <c r="X541" s="411">
        <f t="shared" si="91"/>
        <v>4315</v>
      </c>
      <c r="Y541" s="261">
        <v>6</v>
      </c>
      <c r="Z541" s="261">
        <v>6</v>
      </c>
      <c r="AA541" s="407" t="s">
        <v>557</v>
      </c>
      <c r="AB541" s="258" t="s">
        <v>3330</v>
      </c>
      <c r="AC541" s="258"/>
      <c r="AD541" s="258" t="s">
        <v>2130</v>
      </c>
      <c r="AE541" s="258" t="s">
        <v>2129</v>
      </c>
      <c r="AF541" s="259"/>
      <c r="AG541" s="260"/>
      <c r="AH541" s="259"/>
      <c r="AI541" s="259"/>
      <c r="AJ541" s="260"/>
      <c r="AK541" s="259">
        <v>26</v>
      </c>
      <c r="AL541" s="259"/>
      <c r="AM541" s="259" t="s">
        <v>1262</v>
      </c>
      <c r="AN541" s="449">
        <v>17</v>
      </c>
      <c r="AO541" s="449" t="s">
        <v>1994</v>
      </c>
      <c r="AP541" s="449">
        <v>17</v>
      </c>
      <c r="AQ541" s="392" t="str">
        <f>IFERROR(VLOOKUP(BG541,#REF!,1,0),"")</f>
        <v/>
      </c>
      <c r="AS541" s="259" t="s">
        <v>3237</v>
      </c>
      <c r="BD541" s="202" t="str">
        <f t="shared" si="83"/>
        <v>K5DL3 1.6 가솔린 터보 트렌디</v>
      </c>
      <c r="BE541" s="261" t="str">
        <f t="shared" si="89"/>
        <v>0054</v>
      </c>
      <c r="BF541" s="407" t="s">
        <v>557</v>
      </c>
      <c r="BG541" s="202" t="str">
        <f t="shared" si="84"/>
        <v>0054-0540</v>
      </c>
    </row>
    <row r="542" spans="1:59">
      <c r="A542" s="405">
        <v>4316</v>
      </c>
      <c r="B542" s="406">
        <v>4316</v>
      </c>
      <c r="C542" s="261" t="str">
        <f t="shared" si="85"/>
        <v>0001-0054</v>
      </c>
      <c r="D542" s="261" t="str">
        <f t="shared" si="86"/>
        <v>0001-0054-0007</v>
      </c>
      <c r="E542" s="407" t="s">
        <v>556</v>
      </c>
      <c r="F542" s="261" t="str">
        <f>TEXT(VLOOKUP(J542,'[3]1'!$B$2:$D$37,2,0),"0000")</f>
        <v>0001</v>
      </c>
      <c r="G542" s="261" t="str">
        <f t="shared" si="87"/>
        <v>0054</v>
      </c>
      <c r="H542" s="408">
        <f t="shared" si="88"/>
        <v>7</v>
      </c>
      <c r="I542" s="407" t="s">
        <v>556</v>
      </c>
      <c r="J542" s="258" t="s">
        <v>828</v>
      </c>
      <c r="K542" s="258" t="s">
        <v>2710</v>
      </c>
      <c r="L542" s="258" t="s">
        <v>2152</v>
      </c>
      <c r="M542" s="409">
        <v>23510000</v>
      </c>
      <c r="N542" s="258">
        <v>1999</v>
      </c>
      <c r="O542" s="258" t="s">
        <v>77</v>
      </c>
      <c r="P542" s="258" t="s">
        <v>73</v>
      </c>
      <c r="Q542" s="258" t="s">
        <v>72</v>
      </c>
      <c r="R542" s="258">
        <v>5</v>
      </c>
      <c r="S542" s="410">
        <v>3</v>
      </c>
      <c r="T542" s="261">
        <v>6</v>
      </c>
      <c r="U542" s="261">
        <v>6</v>
      </c>
      <c r="V542" s="258" t="s">
        <v>3329</v>
      </c>
      <c r="W542" s="261" t="str">
        <f t="shared" si="90"/>
        <v>기아자동차K5DL3 2.0 가솔린 트렌디23510000</v>
      </c>
      <c r="X542" s="411">
        <f t="shared" si="91"/>
        <v>4316</v>
      </c>
      <c r="Y542" s="261">
        <v>6</v>
      </c>
      <c r="Z542" s="261">
        <v>6</v>
      </c>
      <c r="AA542" s="407" t="s">
        <v>556</v>
      </c>
      <c r="AB542" s="258" t="s">
        <v>3330</v>
      </c>
      <c r="AC542" s="258"/>
      <c r="AD542" s="258" t="s">
        <v>2130</v>
      </c>
      <c r="AE542" s="258" t="s">
        <v>2129</v>
      </c>
      <c r="AF542" s="259"/>
      <c r="AG542" s="260"/>
      <c r="AH542" s="259"/>
      <c r="AI542" s="259"/>
      <c r="AJ542" s="260"/>
      <c r="AK542" s="259">
        <v>26</v>
      </c>
      <c r="AL542" s="259"/>
      <c r="AM542" s="259" t="s">
        <v>1262</v>
      </c>
      <c r="AN542" s="449">
        <v>18</v>
      </c>
      <c r="AO542" s="449" t="s">
        <v>1995</v>
      </c>
      <c r="AP542" s="449">
        <v>18</v>
      </c>
      <c r="AQ542" s="392" t="str">
        <f>IFERROR(VLOOKUP(BG542,#REF!,1,0),"")</f>
        <v/>
      </c>
      <c r="AS542" s="259" t="s">
        <v>3237</v>
      </c>
      <c r="BD542" s="202" t="str">
        <f t="shared" si="83"/>
        <v>K5DL3 2.0 가솔린 트렌디</v>
      </c>
      <c r="BE542" s="261" t="str">
        <f t="shared" si="89"/>
        <v>0054</v>
      </c>
      <c r="BF542" s="407" t="s">
        <v>556</v>
      </c>
      <c r="BG542" s="202" t="str">
        <f t="shared" si="84"/>
        <v>0054-0541</v>
      </c>
    </row>
    <row r="543" spans="1:59">
      <c r="A543" s="405">
        <v>4317</v>
      </c>
      <c r="B543" s="406">
        <v>4317</v>
      </c>
      <c r="C543" s="261" t="str">
        <f t="shared" si="85"/>
        <v>0001-0054</v>
      </c>
      <c r="D543" s="261" t="str">
        <f t="shared" si="86"/>
        <v>0001-0054-0008</v>
      </c>
      <c r="E543" s="407" t="s">
        <v>555</v>
      </c>
      <c r="F543" s="261" t="str">
        <f>TEXT(VLOOKUP(J543,'[3]1'!$B$2:$D$37,2,0),"0000")</f>
        <v>0001</v>
      </c>
      <c r="G543" s="261" t="str">
        <f t="shared" si="87"/>
        <v>0054</v>
      </c>
      <c r="H543" s="408">
        <f t="shared" si="88"/>
        <v>8</v>
      </c>
      <c r="I543" s="407" t="s">
        <v>555</v>
      </c>
      <c r="J543" s="258" t="s">
        <v>828</v>
      </c>
      <c r="K543" s="258" t="s">
        <v>2710</v>
      </c>
      <c r="L543" s="258" t="s">
        <v>2153</v>
      </c>
      <c r="M543" s="409">
        <v>30630000</v>
      </c>
      <c r="N543" s="258">
        <v>1999</v>
      </c>
      <c r="O543" s="258" t="s">
        <v>77</v>
      </c>
      <c r="P543" s="258" t="s">
        <v>73</v>
      </c>
      <c r="Q543" s="258" t="s">
        <v>72</v>
      </c>
      <c r="R543" s="258">
        <v>5</v>
      </c>
      <c r="S543" s="410">
        <v>3</v>
      </c>
      <c r="T543" s="261">
        <v>6</v>
      </c>
      <c r="U543" s="261">
        <v>6</v>
      </c>
      <c r="V543" s="258" t="s">
        <v>3329</v>
      </c>
      <c r="W543" s="261" t="str">
        <f t="shared" si="90"/>
        <v>기아자동차K5DL3 2.0 가솔린 시그니처30630000</v>
      </c>
      <c r="X543" s="411">
        <f t="shared" si="91"/>
        <v>4317</v>
      </c>
      <c r="Y543" s="261">
        <v>6</v>
      </c>
      <c r="Z543" s="261">
        <v>6</v>
      </c>
      <c r="AA543" s="407" t="s">
        <v>555</v>
      </c>
      <c r="AB543" s="258" t="s">
        <v>3330</v>
      </c>
      <c r="AC543" s="258"/>
      <c r="AD543" s="258" t="s">
        <v>2130</v>
      </c>
      <c r="AE543" s="258" t="s">
        <v>2129</v>
      </c>
      <c r="AF543" s="259"/>
      <c r="AG543" s="260"/>
      <c r="AH543" s="259"/>
      <c r="AI543" s="259"/>
      <c r="AJ543" s="260"/>
      <c r="AK543" s="259">
        <v>26</v>
      </c>
      <c r="AL543" s="259"/>
      <c r="AM543" s="259" t="s">
        <v>1262</v>
      </c>
      <c r="AN543" s="449">
        <v>19</v>
      </c>
      <c r="AO543" s="449" t="s">
        <v>1996</v>
      </c>
      <c r="AP543" s="449">
        <v>19</v>
      </c>
      <c r="AQ543" s="392" t="str">
        <f>IFERROR(VLOOKUP(BG543,#REF!,1,0),"")</f>
        <v/>
      </c>
      <c r="AS543" s="259" t="s">
        <v>3237</v>
      </c>
      <c r="BD543" s="202" t="str">
        <f t="shared" si="83"/>
        <v>K5DL3 2.0 가솔린 시그니처</v>
      </c>
      <c r="BE543" s="261" t="str">
        <f t="shared" si="89"/>
        <v>0054</v>
      </c>
      <c r="BF543" s="407" t="s">
        <v>555</v>
      </c>
      <c r="BG543" s="202" t="str">
        <f t="shared" si="84"/>
        <v>0054-0542</v>
      </c>
    </row>
    <row r="544" spans="1:59">
      <c r="A544" s="405">
        <v>4318</v>
      </c>
      <c r="B544" s="406">
        <v>4318</v>
      </c>
      <c r="C544" s="261" t="str">
        <f t="shared" si="85"/>
        <v>0001-0054</v>
      </c>
      <c r="D544" s="261" t="str">
        <f t="shared" si="86"/>
        <v>0001-0054-0009</v>
      </c>
      <c r="E544" s="407" t="s">
        <v>554</v>
      </c>
      <c r="F544" s="261" t="str">
        <f>TEXT(VLOOKUP(J544,'[3]1'!$B$2:$D$37,2,0),"0000")</f>
        <v>0001</v>
      </c>
      <c r="G544" s="261" t="str">
        <f t="shared" si="87"/>
        <v>0054</v>
      </c>
      <c r="H544" s="408">
        <f t="shared" si="88"/>
        <v>9</v>
      </c>
      <c r="I544" s="407" t="s">
        <v>554</v>
      </c>
      <c r="J544" s="258" t="s">
        <v>828</v>
      </c>
      <c r="K544" s="258" t="s">
        <v>2710</v>
      </c>
      <c r="L544" s="258" t="s">
        <v>2141</v>
      </c>
      <c r="M544" s="409">
        <v>23750000</v>
      </c>
      <c r="N544" s="258">
        <v>1999</v>
      </c>
      <c r="O544" s="258" t="s">
        <v>2137</v>
      </c>
      <c r="P544" s="258" t="s">
        <v>73</v>
      </c>
      <c r="Q544" s="258" t="s">
        <v>72</v>
      </c>
      <c r="R544" s="258">
        <v>5</v>
      </c>
      <c r="S544" s="410">
        <v>13</v>
      </c>
      <c r="T544" s="261">
        <v>6</v>
      </c>
      <c r="U544" s="261">
        <v>6</v>
      </c>
      <c r="V544" s="258" t="s">
        <v>1969</v>
      </c>
      <c r="W544" s="261" t="str">
        <f t="shared" si="90"/>
        <v>기아자동차K5DL3 2.0 LPI 트렌디(렌터카)23750000</v>
      </c>
      <c r="X544" s="411">
        <f t="shared" si="91"/>
        <v>4318</v>
      </c>
      <c r="Y544" s="261">
        <v>6</v>
      </c>
      <c r="Z544" s="261">
        <v>6</v>
      </c>
      <c r="AA544" s="407" t="s">
        <v>554</v>
      </c>
      <c r="AB544" s="258" t="s">
        <v>3330</v>
      </c>
      <c r="AC544" s="258"/>
      <c r="AD544" s="258" t="s">
        <v>2132</v>
      </c>
      <c r="AE544" s="258" t="s">
        <v>2129</v>
      </c>
      <c r="AF544" s="259"/>
      <c r="AG544" s="260"/>
      <c r="AH544" s="259"/>
      <c r="AI544" s="259"/>
      <c r="AJ544" s="260"/>
      <c r="AK544" s="259">
        <v>26</v>
      </c>
      <c r="AL544" s="259"/>
      <c r="AM544" s="259" t="s">
        <v>3227</v>
      </c>
      <c r="AN544" s="449">
        <v>7</v>
      </c>
      <c r="AO544" s="449" t="s">
        <v>1985</v>
      </c>
      <c r="AP544" s="449">
        <v>7</v>
      </c>
      <c r="AQ544" s="392" t="str">
        <f>IFERROR(VLOOKUP(BG544,#REF!,1,0),"")</f>
        <v/>
      </c>
      <c r="AS544" s="259" t="s">
        <v>3227</v>
      </c>
      <c r="BD544" s="202" t="str">
        <f t="shared" si="83"/>
        <v>K5DL3 2.0 LPI 트렌디(렌터카)</v>
      </c>
      <c r="BE544" s="261" t="str">
        <f t="shared" si="89"/>
        <v>0054</v>
      </c>
      <c r="BF544" s="407" t="s">
        <v>554</v>
      </c>
      <c r="BG544" s="202" t="str">
        <f t="shared" si="84"/>
        <v>0054-0543</v>
      </c>
    </row>
    <row r="545" spans="1:59">
      <c r="A545" s="405">
        <v>4319</v>
      </c>
      <c r="B545" s="406">
        <v>4319</v>
      </c>
      <c r="C545" s="261" t="str">
        <f t="shared" si="85"/>
        <v>0001-0054</v>
      </c>
      <c r="D545" s="261" t="str">
        <f t="shared" si="86"/>
        <v>0001-0054-0010</v>
      </c>
      <c r="E545" s="407" t="s">
        <v>553</v>
      </c>
      <c r="F545" s="261" t="str">
        <f>TEXT(VLOOKUP(J545,'[3]1'!$B$2:$D$37,2,0),"0000")</f>
        <v>0001</v>
      </c>
      <c r="G545" s="261" t="str">
        <f t="shared" si="87"/>
        <v>0054</v>
      </c>
      <c r="H545" s="408">
        <f t="shared" si="88"/>
        <v>10</v>
      </c>
      <c r="I545" s="407" t="s">
        <v>553</v>
      </c>
      <c r="J545" s="258" t="s">
        <v>828</v>
      </c>
      <c r="K545" s="258" t="s">
        <v>2710</v>
      </c>
      <c r="L545" s="258" t="s">
        <v>2142</v>
      </c>
      <c r="M545" s="409">
        <v>26360000</v>
      </c>
      <c r="N545" s="258">
        <v>1999</v>
      </c>
      <c r="O545" s="258" t="s">
        <v>2137</v>
      </c>
      <c r="P545" s="258" t="s">
        <v>73</v>
      </c>
      <c r="Q545" s="258" t="s">
        <v>72</v>
      </c>
      <c r="R545" s="258">
        <v>5</v>
      </c>
      <c r="S545" s="410">
        <v>13</v>
      </c>
      <c r="T545" s="261">
        <v>6</v>
      </c>
      <c r="U545" s="261">
        <v>6</v>
      </c>
      <c r="V545" s="258" t="s">
        <v>1969</v>
      </c>
      <c r="W545" s="261" t="str">
        <f t="shared" si="90"/>
        <v>기아자동차K5DL3 2.0 LPI 프레스티지26360000</v>
      </c>
      <c r="X545" s="411">
        <f t="shared" si="91"/>
        <v>4319</v>
      </c>
      <c r="Y545" s="261">
        <v>6</v>
      </c>
      <c r="Z545" s="261">
        <v>6</v>
      </c>
      <c r="AA545" s="407" t="s">
        <v>553</v>
      </c>
      <c r="AB545" s="258" t="s">
        <v>73</v>
      </c>
      <c r="AC545" s="258"/>
      <c r="AD545" s="258" t="s">
        <v>2132</v>
      </c>
      <c r="AE545" s="258">
        <v>0</v>
      </c>
      <c r="AF545" s="259"/>
      <c r="AG545" s="260"/>
      <c r="AH545" s="259"/>
      <c r="AI545" s="259"/>
      <c r="AJ545" s="260"/>
      <c r="AK545" s="259">
        <v>26</v>
      </c>
      <c r="AL545" s="259"/>
      <c r="AM545" s="259" t="s">
        <v>3227</v>
      </c>
      <c r="AN545" s="449">
        <v>8</v>
      </c>
      <c r="AO545" s="449" t="s">
        <v>1986</v>
      </c>
      <c r="AP545" s="449">
        <v>8</v>
      </c>
      <c r="AQ545" s="392" t="str">
        <f>IFERROR(VLOOKUP(BG545,#REF!,1,0),"")</f>
        <v/>
      </c>
      <c r="AS545" s="259" t="s">
        <v>3227</v>
      </c>
      <c r="BD545" s="202" t="str">
        <f t="shared" si="83"/>
        <v>K5DL3 2.0 LPI 프레스티지</v>
      </c>
      <c r="BE545" s="261" t="str">
        <f t="shared" si="89"/>
        <v>0054</v>
      </c>
      <c r="BF545" s="407" t="s">
        <v>553</v>
      </c>
      <c r="BG545" s="202" t="str">
        <f t="shared" si="84"/>
        <v>0054-0544</v>
      </c>
    </row>
    <row r="546" spans="1:59">
      <c r="A546" s="405">
        <v>4320</v>
      </c>
      <c r="B546" s="406">
        <v>4320</v>
      </c>
      <c r="C546" s="261" t="str">
        <f t="shared" si="85"/>
        <v>0001-0054</v>
      </c>
      <c r="D546" s="261" t="str">
        <f t="shared" si="86"/>
        <v>0001-0054-0011</v>
      </c>
      <c r="E546" s="407" t="s">
        <v>552</v>
      </c>
      <c r="F546" s="261" t="str">
        <f>TEXT(VLOOKUP(J546,'[3]1'!$B$2:$D$37,2,0),"0000")</f>
        <v>0001</v>
      </c>
      <c r="G546" s="261" t="str">
        <f t="shared" si="87"/>
        <v>0054</v>
      </c>
      <c r="H546" s="408">
        <f t="shared" si="88"/>
        <v>11</v>
      </c>
      <c r="I546" s="407" t="s">
        <v>552</v>
      </c>
      <c r="J546" s="258" t="s">
        <v>828</v>
      </c>
      <c r="K546" s="258" t="s">
        <v>2710</v>
      </c>
      <c r="L546" s="258" t="s">
        <v>2143</v>
      </c>
      <c r="M546" s="409">
        <v>30580000</v>
      </c>
      <c r="N546" s="258">
        <v>1999</v>
      </c>
      <c r="O546" s="258" t="s">
        <v>2137</v>
      </c>
      <c r="P546" s="258" t="s">
        <v>73</v>
      </c>
      <c r="Q546" s="258" t="s">
        <v>72</v>
      </c>
      <c r="R546" s="258">
        <v>5</v>
      </c>
      <c r="S546" s="410">
        <v>13</v>
      </c>
      <c r="T546" s="261">
        <v>6</v>
      </c>
      <c r="U546" s="261">
        <v>6</v>
      </c>
      <c r="V546" s="258" t="s">
        <v>1969</v>
      </c>
      <c r="W546" s="261" t="str">
        <f t="shared" si="90"/>
        <v>기아자동차K5DL3 2.0 LPI 시그니처30580000</v>
      </c>
      <c r="X546" s="411">
        <f t="shared" si="91"/>
        <v>4320</v>
      </c>
      <c r="Y546" s="261">
        <v>6</v>
      </c>
      <c r="Z546" s="261">
        <v>6</v>
      </c>
      <c r="AA546" s="407" t="s">
        <v>552</v>
      </c>
      <c r="AB546" s="258" t="s">
        <v>3330</v>
      </c>
      <c r="AC546" s="258"/>
      <c r="AD546" s="258" t="s">
        <v>2132</v>
      </c>
      <c r="AE546" s="258" t="s">
        <v>2129</v>
      </c>
      <c r="AF546" s="259"/>
      <c r="AG546" s="260"/>
      <c r="AH546" s="259"/>
      <c r="AI546" s="259"/>
      <c r="AJ546" s="260"/>
      <c r="AK546" s="259">
        <v>26</v>
      </c>
      <c r="AL546" s="259"/>
      <c r="AM546" s="259" t="s">
        <v>3227</v>
      </c>
      <c r="AN546" s="449">
        <v>9</v>
      </c>
      <c r="AO546" s="449" t="s">
        <v>1987</v>
      </c>
      <c r="AP546" s="449">
        <v>9</v>
      </c>
      <c r="AQ546" s="392" t="str">
        <f>IFERROR(VLOOKUP(BG546,#REF!,1,0),"")</f>
        <v/>
      </c>
      <c r="AS546" s="259" t="s">
        <v>3227</v>
      </c>
      <c r="BD546" s="202" t="str">
        <f t="shared" si="83"/>
        <v>K5DL3 2.0 LPI 시그니처</v>
      </c>
      <c r="BE546" s="261" t="str">
        <f t="shared" si="89"/>
        <v>0054</v>
      </c>
      <c r="BF546" s="407" t="s">
        <v>552</v>
      </c>
      <c r="BG546" s="202" t="str">
        <f t="shared" si="84"/>
        <v>0054-0545</v>
      </c>
    </row>
    <row r="547" spans="1:59">
      <c r="A547" s="405">
        <v>4321</v>
      </c>
      <c r="B547" s="406">
        <v>4321</v>
      </c>
      <c r="C547" s="261" t="str">
        <f t="shared" si="85"/>
        <v>0001-0054</v>
      </c>
      <c r="D547" s="261" t="str">
        <f t="shared" si="86"/>
        <v>0001-0054-0012</v>
      </c>
      <c r="E547" s="407" t="s">
        <v>551</v>
      </c>
      <c r="F547" s="261" t="str">
        <f>TEXT(VLOOKUP(J547,'[3]1'!$B$2:$D$37,2,0),"0000")</f>
        <v>0001</v>
      </c>
      <c r="G547" s="261" t="str">
        <f t="shared" si="87"/>
        <v>0054</v>
      </c>
      <c r="H547" s="408">
        <f t="shared" si="88"/>
        <v>12</v>
      </c>
      <c r="I547" s="407" t="s">
        <v>551</v>
      </c>
      <c r="J547" s="258" t="s">
        <v>828</v>
      </c>
      <c r="K547" s="258" t="s">
        <v>2710</v>
      </c>
      <c r="L547" s="258" t="s">
        <v>2144</v>
      </c>
      <c r="M547" s="409">
        <v>20900000</v>
      </c>
      <c r="N547" s="258">
        <v>1999</v>
      </c>
      <c r="O547" s="258" t="s">
        <v>2137</v>
      </c>
      <c r="P547" s="258" t="s">
        <v>73</v>
      </c>
      <c r="Q547" s="258" t="s">
        <v>72</v>
      </c>
      <c r="R547" s="258">
        <v>5</v>
      </c>
      <c r="S547" s="410">
        <v>13</v>
      </c>
      <c r="T547" s="261">
        <v>6</v>
      </c>
      <c r="U547" s="261">
        <v>6</v>
      </c>
      <c r="V547" s="258" t="s">
        <v>1969</v>
      </c>
      <c r="W547" s="261" t="str">
        <f t="shared" si="90"/>
        <v>기아자동차K5DL3 2.0 LPI 스탠다드(렌터카)20900000</v>
      </c>
      <c r="X547" s="411">
        <f t="shared" si="91"/>
        <v>4321</v>
      </c>
      <c r="Y547" s="261">
        <v>6</v>
      </c>
      <c r="Z547" s="261">
        <v>6</v>
      </c>
      <c r="AA547" s="407" t="s">
        <v>551</v>
      </c>
      <c r="AB547" s="258" t="s">
        <v>3330</v>
      </c>
      <c r="AC547" s="258"/>
      <c r="AD547" s="258" t="s">
        <v>2132</v>
      </c>
      <c r="AE547" s="258" t="s">
        <v>2129</v>
      </c>
      <c r="AF547" s="259"/>
      <c r="AG547" s="260"/>
      <c r="AH547" s="259"/>
      <c r="AI547" s="259"/>
      <c r="AJ547" s="260"/>
      <c r="AK547" s="259">
        <v>26</v>
      </c>
      <c r="AL547" s="259"/>
      <c r="AM547" s="259" t="s">
        <v>3227</v>
      </c>
      <c r="AN547" s="449">
        <v>10</v>
      </c>
      <c r="AO547" s="449" t="s">
        <v>1988</v>
      </c>
      <c r="AP547" s="449">
        <v>10</v>
      </c>
      <c r="AQ547" s="392" t="str">
        <f>IFERROR(VLOOKUP(BG547,#REF!,1,0),"")</f>
        <v/>
      </c>
      <c r="AS547" s="259" t="s">
        <v>3227</v>
      </c>
      <c r="BD547" s="202" t="str">
        <f t="shared" si="83"/>
        <v>K5DL3 2.0 LPI 스탠다드(렌터카)</v>
      </c>
      <c r="BE547" s="261" t="str">
        <f t="shared" si="89"/>
        <v>0054</v>
      </c>
      <c r="BF547" s="407" t="s">
        <v>551</v>
      </c>
      <c r="BG547" s="202" t="str">
        <f t="shared" si="84"/>
        <v>0054-0546</v>
      </c>
    </row>
    <row r="548" spans="1:59">
      <c r="A548" s="405">
        <v>4322</v>
      </c>
      <c r="B548" s="406">
        <v>4322</v>
      </c>
      <c r="C548" s="261" t="str">
        <f t="shared" si="85"/>
        <v>0001-0054</v>
      </c>
      <c r="D548" s="261" t="str">
        <f t="shared" si="86"/>
        <v>0001-0054-0013</v>
      </c>
      <c r="E548" s="407" t="s">
        <v>550</v>
      </c>
      <c r="F548" s="261" t="str">
        <f>TEXT(VLOOKUP(J548,'[3]1'!$B$2:$D$37,2,0),"0000")</f>
        <v>0001</v>
      </c>
      <c r="G548" s="261" t="str">
        <f t="shared" si="87"/>
        <v>0054</v>
      </c>
      <c r="H548" s="408">
        <f t="shared" si="88"/>
        <v>13</v>
      </c>
      <c r="I548" s="407" t="s">
        <v>550</v>
      </c>
      <c r="J548" s="258" t="s">
        <v>828</v>
      </c>
      <c r="K548" s="258" t="s">
        <v>2710</v>
      </c>
      <c r="L548" s="258" t="s">
        <v>2145</v>
      </c>
      <c r="M548" s="409">
        <v>29010000</v>
      </c>
      <c r="N548" s="258">
        <v>1999</v>
      </c>
      <c r="O548" s="258" t="s">
        <v>2137</v>
      </c>
      <c r="P548" s="258" t="s">
        <v>73</v>
      </c>
      <c r="Q548" s="258" t="s">
        <v>72</v>
      </c>
      <c r="R548" s="258">
        <v>5</v>
      </c>
      <c r="S548" s="410">
        <v>13</v>
      </c>
      <c r="T548" s="261">
        <v>6</v>
      </c>
      <c r="U548" s="261">
        <v>6</v>
      </c>
      <c r="V548" s="258" t="s">
        <v>1969</v>
      </c>
      <c r="W548" s="261" t="str">
        <f t="shared" si="90"/>
        <v>기아자동차K5DL3 2.0 LPI 노블레스29010000</v>
      </c>
      <c r="X548" s="411">
        <f t="shared" si="91"/>
        <v>4322</v>
      </c>
      <c r="Y548" s="261">
        <v>6</v>
      </c>
      <c r="Z548" s="261">
        <v>6</v>
      </c>
      <c r="AA548" s="407" t="s">
        <v>550</v>
      </c>
      <c r="AB548" s="258" t="s">
        <v>3330</v>
      </c>
      <c r="AC548" s="258"/>
      <c r="AD548" s="258" t="s">
        <v>2132</v>
      </c>
      <c r="AE548" s="258" t="s">
        <v>2129</v>
      </c>
      <c r="AF548" s="259"/>
      <c r="AG548" s="260"/>
      <c r="AH548" s="259"/>
      <c r="AI548" s="259"/>
      <c r="AJ548" s="260"/>
      <c r="AK548" s="259">
        <v>26</v>
      </c>
      <c r="AL548" s="259"/>
      <c r="AM548" s="259" t="s">
        <v>3227</v>
      </c>
      <c r="AN548" s="449">
        <v>11</v>
      </c>
      <c r="AO548" s="449" t="s">
        <v>1989</v>
      </c>
      <c r="AP548" s="449">
        <v>11</v>
      </c>
      <c r="AQ548" s="392" t="str">
        <f>IFERROR(VLOOKUP(BG548,#REF!,1,0),"")</f>
        <v/>
      </c>
      <c r="AS548" s="259" t="s">
        <v>3227</v>
      </c>
      <c r="BD548" s="202" t="str">
        <f t="shared" si="83"/>
        <v>K5DL3 2.0 LPI 노블레스</v>
      </c>
      <c r="BE548" s="261" t="str">
        <f t="shared" si="89"/>
        <v>0054</v>
      </c>
      <c r="BF548" s="407" t="s">
        <v>550</v>
      </c>
      <c r="BG548" s="202" t="str">
        <f t="shared" si="84"/>
        <v>0054-0547</v>
      </c>
    </row>
    <row r="549" spans="1:59">
      <c r="A549" s="405">
        <v>4323</v>
      </c>
      <c r="B549" s="406">
        <v>4323</v>
      </c>
      <c r="C549" s="261" t="str">
        <f t="shared" si="85"/>
        <v>0001-0055</v>
      </c>
      <c r="D549" s="261" t="str">
        <f t="shared" si="86"/>
        <v>0001-0055-0001</v>
      </c>
      <c r="E549" s="407" t="s">
        <v>549</v>
      </c>
      <c r="F549" s="261" t="str">
        <f>TEXT(VLOOKUP(J549,'[3]1'!$B$2:$D$37,2,0),"0000")</f>
        <v>0001</v>
      </c>
      <c r="G549" s="261" t="str">
        <f t="shared" si="87"/>
        <v>0055</v>
      </c>
      <c r="H549" s="408">
        <f t="shared" si="88"/>
        <v>1</v>
      </c>
      <c r="I549" s="407" t="s">
        <v>549</v>
      </c>
      <c r="J549" s="258" t="s">
        <v>828</v>
      </c>
      <c r="K549" s="258" t="s">
        <v>2711</v>
      </c>
      <c r="L549" s="258" t="s">
        <v>2154</v>
      </c>
      <c r="M549" s="409">
        <v>30710000</v>
      </c>
      <c r="N549" s="258">
        <v>1999</v>
      </c>
      <c r="O549" s="258" t="s">
        <v>74</v>
      </c>
      <c r="P549" s="258" t="s">
        <v>73</v>
      </c>
      <c r="Q549" s="258" t="s">
        <v>72</v>
      </c>
      <c r="R549" s="258">
        <v>5</v>
      </c>
      <c r="S549" s="410">
        <v>8</v>
      </c>
      <c r="T549" s="261">
        <v>6</v>
      </c>
      <c r="U549" s="261">
        <v>6</v>
      </c>
      <c r="V549" s="258" t="s">
        <v>1914</v>
      </c>
      <c r="W549" s="261" t="str">
        <f t="shared" si="90"/>
        <v>기아자동차K5하이브리드DL3 프레스티지30710000</v>
      </c>
      <c r="X549" s="411">
        <f t="shared" si="91"/>
        <v>4323</v>
      </c>
      <c r="Y549" s="261">
        <v>6</v>
      </c>
      <c r="Z549" s="261">
        <v>6</v>
      </c>
      <c r="AA549" s="407" t="s">
        <v>549</v>
      </c>
      <c r="AB549" s="258" t="s">
        <v>73</v>
      </c>
      <c r="AC549" s="258"/>
      <c r="AD549" s="258" t="s">
        <v>2132</v>
      </c>
      <c r="AE549" s="258" t="s">
        <v>2129</v>
      </c>
      <c r="AF549" s="259"/>
      <c r="AG549" s="260"/>
      <c r="AH549" s="259"/>
      <c r="AI549" s="259"/>
      <c r="AJ549" s="260"/>
      <c r="AK549" s="259">
        <v>26</v>
      </c>
      <c r="AL549" s="259"/>
      <c r="AM549" s="259" t="s">
        <v>3231</v>
      </c>
      <c r="AN549" s="449">
        <v>20</v>
      </c>
      <c r="AO549" s="449" t="s">
        <v>3059</v>
      </c>
      <c r="AP549" s="449"/>
      <c r="AQ549" s="392" t="str">
        <f>IFERROR(VLOOKUP(BG549,#REF!,1,0),"")</f>
        <v/>
      </c>
      <c r="AS549" s="259" t="s">
        <v>3231</v>
      </c>
      <c r="BD549" s="202" t="str">
        <f t="shared" si="83"/>
        <v>K5하이브리드DL3 프레스티지</v>
      </c>
      <c r="BE549" s="261" t="str">
        <f t="shared" si="89"/>
        <v>0055</v>
      </c>
      <c r="BF549" s="407" t="s">
        <v>549</v>
      </c>
      <c r="BG549" s="202" t="str">
        <f t="shared" si="84"/>
        <v>0055-0548</v>
      </c>
    </row>
    <row r="550" spans="1:59">
      <c r="A550" s="405">
        <v>4324</v>
      </c>
      <c r="B550" s="406">
        <v>4324</v>
      </c>
      <c r="C550" s="261" t="str">
        <f t="shared" si="85"/>
        <v>0001-0055</v>
      </c>
      <c r="D550" s="261" t="str">
        <f t="shared" si="86"/>
        <v>0001-0055-0002</v>
      </c>
      <c r="E550" s="407" t="s">
        <v>548</v>
      </c>
      <c r="F550" s="261" t="str">
        <f>TEXT(VLOOKUP(J550,'[3]1'!$B$2:$D$37,2,0),"0000")</f>
        <v>0001</v>
      </c>
      <c r="G550" s="261" t="str">
        <f t="shared" si="87"/>
        <v>0055</v>
      </c>
      <c r="H550" s="408">
        <f t="shared" si="88"/>
        <v>2</v>
      </c>
      <c r="I550" s="407" t="s">
        <v>548</v>
      </c>
      <c r="J550" s="258" t="s">
        <v>828</v>
      </c>
      <c r="K550" s="258" t="s">
        <v>2711</v>
      </c>
      <c r="L550" s="258" t="s">
        <v>2155</v>
      </c>
      <c r="M550" s="409">
        <v>28740000</v>
      </c>
      <c r="N550" s="258">
        <v>1999</v>
      </c>
      <c r="O550" s="258" t="s">
        <v>74</v>
      </c>
      <c r="P550" s="258" t="s">
        <v>73</v>
      </c>
      <c r="Q550" s="258" t="s">
        <v>72</v>
      </c>
      <c r="R550" s="258">
        <v>5</v>
      </c>
      <c r="S550" s="410">
        <v>8</v>
      </c>
      <c r="T550" s="261">
        <v>6</v>
      </c>
      <c r="U550" s="261">
        <v>6</v>
      </c>
      <c r="V550" s="258" t="s">
        <v>1914</v>
      </c>
      <c r="W550" s="261" t="str">
        <f t="shared" si="90"/>
        <v>기아자동차K5하이브리드DL3 트렌디28740000</v>
      </c>
      <c r="X550" s="411">
        <f t="shared" si="91"/>
        <v>4324</v>
      </c>
      <c r="Y550" s="261">
        <v>6</v>
      </c>
      <c r="Z550" s="261">
        <v>6</v>
      </c>
      <c r="AA550" s="407" t="s">
        <v>548</v>
      </c>
      <c r="AB550" s="258" t="s">
        <v>73</v>
      </c>
      <c r="AC550" s="258"/>
      <c r="AD550" s="258" t="s">
        <v>2132</v>
      </c>
      <c r="AE550" s="258" t="s">
        <v>2129</v>
      </c>
      <c r="AF550" s="259"/>
      <c r="AG550" s="260"/>
      <c r="AH550" s="259"/>
      <c r="AI550" s="259"/>
      <c r="AJ550" s="260"/>
      <c r="AK550" s="259">
        <v>26</v>
      </c>
      <c r="AL550" s="259"/>
      <c r="AM550" s="259" t="s">
        <v>3231</v>
      </c>
      <c r="AN550" s="449"/>
      <c r="AO550" s="449"/>
      <c r="AP550" s="449"/>
      <c r="AQ550" s="392" t="str">
        <f>IFERROR(VLOOKUP(BG550,#REF!,1,0),"")</f>
        <v/>
      </c>
      <c r="AS550" s="259" t="s">
        <v>3231</v>
      </c>
      <c r="BD550" s="202" t="str">
        <f t="shared" si="83"/>
        <v>K5하이브리드DL3 트렌디</v>
      </c>
      <c r="BE550" s="261" t="str">
        <f t="shared" si="89"/>
        <v>0055</v>
      </c>
      <c r="BF550" s="407" t="s">
        <v>548</v>
      </c>
      <c r="BG550" s="202" t="str">
        <f t="shared" si="84"/>
        <v>0055-0549</v>
      </c>
    </row>
    <row r="551" spans="1:59">
      <c r="A551" s="405">
        <v>4325</v>
      </c>
      <c r="B551" s="406">
        <v>4325</v>
      </c>
      <c r="C551" s="261" t="str">
        <f t="shared" si="85"/>
        <v>0001-0055</v>
      </c>
      <c r="D551" s="261" t="str">
        <f t="shared" si="86"/>
        <v>0001-0055-0003</v>
      </c>
      <c r="E551" s="407" t="s">
        <v>547</v>
      </c>
      <c r="F551" s="261" t="str">
        <f>TEXT(VLOOKUP(J551,'[3]1'!$B$2:$D$37,2,0),"0000")</f>
        <v>0001</v>
      </c>
      <c r="G551" s="261" t="str">
        <f t="shared" si="87"/>
        <v>0055</v>
      </c>
      <c r="H551" s="408">
        <f t="shared" si="88"/>
        <v>3</v>
      </c>
      <c r="I551" s="407" t="s">
        <v>547</v>
      </c>
      <c r="J551" s="258" t="s">
        <v>828</v>
      </c>
      <c r="K551" s="258" t="s">
        <v>2711</v>
      </c>
      <c r="L551" s="258" t="s">
        <v>2156</v>
      </c>
      <c r="M551" s="409">
        <v>32720000</v>
      </c>
      <c r="N551" s="258">
        <v>1999</v>
      </c>
      <c r="O551" s="258" t="s">
        <v>74</v>
      </c>
      <c r="P551" s="258" t="s">
        <v>73</v>
      </c>
      <c r="Q551" s="258" t="s">
        <v>72</v>
      </c>
      <c r="R551" s="258">
        <v>5</v>
      </c>
      <c r="S551" s="410">
        <v>8</v>
      </c>
      <c r="T551" s="261">
        <v>6</v>
      </c>
      <c r="U551" s="261">
        <v>6</v>
      </c>
      <c r="V551" s="258" t="s">
        <v>1914</v>
      </c>
      <c r="W551" s="261" t="str">
        <f t="shared" si="90"/>
        <v>기아자동차K5하이브리드DL3 노블레스32720000</v>
      </c>
      <c r="X551" s="411">
        <f t="shared" si="91"/>
        <v>4325</v>
      </c>
      <c r="Y551" s="261">
        <v>6</v>
      </c>
      <c r="Z551" s="261">
        <v>6</v>
      </c>
      <c r="AA551" s="407" t="s">
        <v>547</v>
      </c>
      <c r="AB551" s="258" t="s">
        <v>73</v>
      </c>
      <c r="AC551" s="258"/>
      <c r="AD551" s="258" t="s">
        <v>2132</v>
      </c>
      <c r="AE551" s="258" t="s">
        <v>2129</v>
      </c>
      <c r="AF551" s="259"/>
      <c r="AG551" s="260"/>
      <c r="AH551" s="259"/>
      <c r="AI551" s="259"/>
      <c r="AJ551" s="260"/>
      <c r="AK551" s="259">
        <v>26</v>
      </c>
      <c r="AL551" s="259"/>
      <c r="AM551" s="259" t="s">
        <v>3231</v>
      </c>
      <c r="AN551" s="449"/>
      <c r="AO551" s="449"/>
      <c r="AP551" s="449"/>
      <c r="AQ551" s="392" t="str">
        <f>IFERROR(VLOOKUP(BG551,#REF!,1,0),"")</f>
        <v/>
      </c>
      <c r="AS551" s="259" t="s">
        <v>3231</v>
      </c>
      <c r="BD551" s="202" t="str">
        <f t="shared" si="83"/>
        <v>K5하이브리드DL3 노블레스</v>
      </c>
      <c r="BE551" s="261" t="str">
        <f t="shared" si="89"/>
        <v>0055</v>
      </c>
      <c r="BF551" s="407" t="s">
        <v>547</v>
      </c>
      <c r="BG551" s="202" t="str">
        <f t="shared" si="84"/>
        <v>0055-0550</v>
      </c>
    </row>
    <row r="552" spans="1:59">
      <c r="A552" s="405">
        <v>4326</v>
      </c>
      <c r="B552" s="406">
        <v>4326</v>
      </c>
      <c r="C552" s="261" t="str">
        <f t="shared" si="85"/>
        <v>0001-0055</v>
      </c>
      <c r="D552" s="261" t="str">
        <f t="shared" si="86"/>
        <v>0001-0055-0004</v>
      </c>
      <c r="E552" s="407" t="s">
        <v>546</v>
      </c>
      <c r="F552" s="261" t="str">
        <f>TEXT(VLOOKUP(J552,'[3]1'!$B$2:$D$37,2,0),"0000")</f>
        <v>0001</v>
      </c>
      <c r="G552" s="261" t="str">
        <f t="shared" si="87"/>
        <v>0055</v>
      </c>
      <c r="H552" s="408">
        <f t="shared" si="88"/>
        <v>4</v>
      </c>
      <c r="I552" s="407" t="s">
        <v>546</v>
      </c>
      <c r="J552" s="258" t="s">
        <v>828</v>
      </c>
      <c r="K552" s="258" t="s">
        <v>2711</v>
      </c>
      <c r="L552" s="258" t="s">
        <v>2157</v>
      </c>
      <c r="M552" s="409">
        <v>34780000</v>
      </c>
      <c r="N552" s="258">
        <v>1999</v>
      </c>
      <c r="O552" s="258" t="s">
        <v>74</v>
      </c>
      <c r="P552" s="258" t="s">
        <v>73</v>
      </c>
      <c r="Q552" s="258" t="s">
        <v>72</v>
      </c>
      <c r="R552" s="258">
        <v>5</v>
      </c>
      <c r="S552" s="410">
        <v>8</v>
      </c>
      <c r="T552" s="261">
        <v>6</v>
      </c>
      <c r="U552" s="261">
        <v>6</v>
      </c>
      <c r="V552" s="258" t="s">
        <v>1914</v>
      </c>
      <c r="W552" s="261" t="str">
        <f t="shared" si="90"/>
        <v>기아자동차K5하이브리드DL3 시그니처34780000</v>
      </c>
      <c r="X552" s="411">
        <f t="shared" si="91"/>
        <v>4326</v>
      </c>
      <c r="Y552" s="261">
        <v>6</v>
      </c>
      <c r="Z552" s="261">
        <v>6</v>
      </c>
      <c r="AA552" s="407" t="s">
        <v>546</v>
      </c>
      <c r="AB552" s="258" t="s">
        <v>3330</v>
      </c>
      <c r="AC552" s="258"/>
      <c r="AD552" s="258" t="s">
        <v>2132</v>
      </c>
      <c r="AE552" s="258" t="s">
        <v>2129</v>
      </c>
      <c r="AF552" s="259"/>
      <c r="AG552" s="260"/>
      <c r="AH552" s="259"/>
      <c r="AI552" s="259"/>
      <c r="AJ552" s="260"/>
      <c r="AK552" s="259">
        <v>26</v>
      </c>
      <c r="AL552" s="259"/>
      <c r="AM552" s="259" t="s">
        <v>3231</v>
      </c>
      <c r="AN552" s="449"/>
      <c r="AO552" s="449"/>
      <c r="AP552" s="449"/>
      <c r="AQ552" s="392" t="str">
        <f>IFERROR(VLOOKUP(BG552,#REF!,1,0),"")</f>
        <v/>
      </c>
      <c r="AS552" s="259" t="s">
        <v>3231</v>
      </c>
      <c r="BD552" s="202" t="str">
        <f t="shared" si="83"/>
        <v>K5하이브리드DL3 시그니처</v>
      </c>
      <c r="BE552" s="261" t="str">
        <f t="shared" si="89"/>
        <v>0055</v>
      </c>
      <c r="BF552" s="407" t="s">
        <v>546</v>
      </c>
      <c r="BG552" s="202" t="str">
        <f t="shared" si="84"/>
        <v>0055-0551</v>
      </c>
    </row>
    <row r="553" spans="1:59">
      <c r="A553" s="405">
        <v>4327</v>
      </c>
      <c r="B553" s="406">
        <v>4327</v>
      </c>
      <c r="C553" s="261" t="str">
        <f t="shared" si="85"/>
        <v>0001-0056</v>
      </c>
      <c r="D553" s="261" t="str">
        <f t="shared" si="86"/>
        <v>0001-0056-0001</v>
      </c>
      <c r="E553" s="407" t="s">
        <v>545</v>
      </c>
      <c r="F553" s="261" t="str">
        <f>TEXT(VLOOKUP(J553,'[3]1'!$B$2:$D$37,2,0),"0000")</f>
        <v>0001</v>
      </c>
      <c r="G553" s="261" t="str">
        <f t="shared" si="87"/>
        <v>0056</v>
      </c>
      <c r="H553" s="408">
        <f t="shared" si="88"/>
        <v>1</v>
      </c>
      <c r="I553" s="407" t="s">
        <v>545</v>
      </c>
      <c r="J553" s="258" t="s">
        <v>828</v>
      </c>
      <c r="K553" s="258" t="s">
        <v>2712</v>
      </c>
      <c r="L553" s="258" t="s">
        <v>2159</v>
      </c>
      <c r="M553" s="409">
        <v>33670000</v>
      </c>
      <c r="N553" s="258">
        <v>2497</v>
      </c>
      <c r="O553" s="258" t="s">
        <v>77</v>
      </c>
      <c r="P553" s="258" t="s">
        <v>73</v>
      </c>
      <c r="Q553" s="258" t="s">
        <v>72</v>
      </c>
      <c r="R553" s="258">
        <v>5</v>
      </c>
      <c r="S553" s="410">
        <v>1</v>
      </c>
      <c r="T553" s="261">
        <v>6</v>
      </c>
      <c r="U553" s="261">
        <v>6</v>
      </c>
      <c r="V553" s="258" t="s">
        <v>71</v>
      </c>
      <c r="W553" s="261" t="str">
        <f t="shared" si="90"/>
        <v>기아자동차K7premier 2.5 GDI 노블레스33670000</v>
      </c>
      <c r="X553" s="411">
        <f t="shared" si="91"/>
        <v>4327</v>
      </c>
      <c r="Y553" s="261">
        <v>6</v>
      </c>
      <c r="Z553" s="261">
        <v>6</v>
      </c>
      <c r="AA553" s="407" t="s">
        <v>545</v>
      </c>
      <c r="AB553" s="258" t="s">
        <v>73</v>
      </c>
      <c r="AC553" s="258"/>
      <c r="AD553" s="258" t="s">
        <v>2131</v>
      </c>
      <c r="AE553" s="258" t="s">
        <v>2129</v>
      </c>
      <c r="AF553" s="259"/>
      <c r="AG553" s="260"/>
      <c r="AH553" s="259"/>
      <c r="AI553" s="259"/>
      <c r="AJ553" s="260"/>
      <c r="AK553" s="259">
        <v>26</v>
      </c>
      <c r="AL553" s="259"/>
      <c r="AM553" s="259" t="s">
        <v>3189</v>
      </c>
      <c r="AN553" s="449"/>
      <c r="AO553" s="449"/>
      <c r="AP553" s="449"/>
      <c r="AQ553" s="392" t="str">
        <f>IFERROR(VLOOKUP(BG553,#REF!,1,0),"")</f>
        <v/>
      </c>
      <c r="AS553" s="259" t="s">
        <v>3189</v>
      </c>
      <c r="BD553" s="202" t="str">
        <f t="shared" si="83"/>
        <v>K7premier 2.5 GDI 노블레스</v>
      </c>
      <c r="BE553" s="261" t="str">
        <f t="shared" si="89"/>
        <v>0056</v>
      </c>
      <c r="BF553" s="407" t="s">
        <v>545</v>
      </c>
      <c r="BG553" s="202" t="str">
        <f t="shared" si="84"/>
        <v>0056-0552</v>
      </c>
    </row>
    <row r="554" spans="1:59">
      <c r="A554" s="405">
        <v>4328</v>
      </c>
      <c r="B554" s="406">
        <v>4328</v>
      </c>
      <c r="C554" s="261" t="str">
        <f t="shared" si="85"/>
        <v>0001-0056</v>
      </c>
      <c r="D554" s="261" t="str">
        <f t="shared" si="86"/>
        <v>0001-0056-0002</v>
      </c>
      <c r="E554" s="407" t="s">
        <v>544</v>
      </c>
      <c r="F554" s="261" t="str">
        <f>TEXT(VLOOKUP(J554,'[3]1'!$B$2:$D$37,2,0),"0000")</f>
        <v>0001</v>
      </c>
      <c r="G554" s="261" t="str">
        <f t="shared" si="87"/>
        <v>0056</v>
      </c>
      <c r="H554" s="408">
        <f t="shared" si="88"/>
        <v>2</v>
      </c>
      <c r="I554" s="407" t="s">
        <v>544</v>
      </c>
      <c r="J554" s="258" t="s">
        <v>828</v>
      </c>
      <c r="K554" s="258" t="s">
        <v>2712</v>
      </c>
      <c r="L554" s="258" t="s">
        <v>2160</v>
      </c>
      <c r="M554" s="409">
        <v>31900000</v>
      </c>
      <c r="N554" s="258">
        <v>2497</v>
      </c>
      <c r="O554" s="258" t="s">
        <v>77</v>
      </c>
      <c r="P554" s="258" t="s">
        <v>73</v>
      </c>
      <c r="Q554" s="258" t="s">
        <v>72</v>
      </c>
      <c r="R554" s="258">
        <v>5</v>
      </c>
      <c r="S554" s="410">
        <v>1</v>
      </c>
      <c r="T554" s="261">
        <v>6</v>
      </c>
      <c r="U554" s="261">
        <v>6</v>
      </c>
      <c r="V554" s="258" t="s">
        <v>1295</v>
      </c>
      <c r="W554" s="261" t="str">
        <f t="shared" si="90"/>
        <v>기아자동차K7premier 2.5 GDI 프레스티지31900000</v>
      </c>
      <c r="X554" s="411">
        <f t="shared" si="91"/>
        <v>4328</v>
      </c>
      <c r="Y554" s="261">
        <v>6</v>
      </c>
      <c r="Z554" s="261">
        <v>6</v>
      </c>
      <c r="AA554" s="407" t="s">
        <v>544</v>
      </c>
      <c r="AB554" s="258" t="s">
        <v>73</v>
      </c>
      <c r="AC554" s="258"/>
      <c r="AD554" s="258" t="s">
        <v>2131</v>
      </c>
      <c r="AE554" s="258" t="s">
        <v>2129</v>
      </c>
      <c r="AF554" s="259"/>
      <c r="AG554" s="260"/>
      <c r="AH554" s="259"/>
      <c r="AI554" s="259"/>
      <c r="AJ554" s="260"/>
      <c r="AK554" s="259">
        <v>26</v>
      </c>
      <c r="AL554" s="259"/>
      <c r="AM554" s="259" t="s">
        <v>3189</v>
      </c>
      <c r="AN554" s="449"/>
      <c r="AO554" s="449"/>
      <c r="AP554" s="449"/>
      <c r="AQ554" s="392" t="str">
        <f>IFERROR(VLOOKUP(BG554,#REF!,1,0),"")</f>
        <v/>
      </c>
      <c r="AS554" s="259" t="s">
        <v>3189</v>
      </c>
      <c r="BD554" s="202" t="str">
        <f t="shared" si="83"/>
        <v>K7premier 2.5 GDI 프레스티지</v>
      </c>
      <c r="BE554" s="261" t="str">
        <f t="shared" si="89"/>
        <v>0056</v>
      </c>
      <c r="BF554" s="407" t="s">
        <v>544</v>
      </c>
      <c r="BG554" s="202" t="str">
        <f t="shared" si="84"/>
        <v>0056-0553</v>
      </c>
    </row>
    <row r="555" spans="1:59">
      <c r="A555" s="405">
        <v>4329</v>
      </c>
      <c r="B555" s="406">
        <v>4329</v>
      </c>
      <c r="C555" s="261" t="str">
        <f t="shared" si="85"/>
        <v>0001-0056</v>
      </c>
      <c r="D555" s="261" t="str">
        <f t="shared" si="86"/>
        <v>0001-0056-0003</v>
      </c>
      <c r="E555" s="407" t="s">
        <v>543</v>
      </c>
      <c r="F555" s="261" t="str">
        <f>TEXT(VLOOKUP(J555,'[3]1'!$B$2:$D$37,2,0),"0000")</f>
        <v>0001</v>
      </c>
      <c r="G555" s="261" t="str">
        <f t="shared" si="87"/>
        <v>0056</v>
      </c>
      <c r="H555" s="408">
        <f t="shared" si="88"/>
        <v>3</v>
      </c>
      <c r="I555" s="407" t="s">
        <v>543</v>
      </c>
      <c r="J555" s="258" t="s">
        <v>828</v>
      </c>
      <c r="K555" s="258" t="s">
        <v>2712</v>
      </c>
      <c r="L555" s="258" t="s">
        <v>2161</v>
      </c>
      <c r="M555" s="409">
        <v>35930000</v>
      </c>
      <c r="N555" s="258">
        <v>2999</v>
      </c>
      <c r="O555" s="258" t="s">
        <v>77</v>
      </c>
      <c r="P555" s="258" t="s">
        <v>73</v>
      </c>
      <c r="Q555" s="258" t="s">
        <v>72</v>
      </c>
      <c r="R555" s="258" t="e">
        <v>#N/A</v>
      </c>
      <c r="S555" s="410">
        <v>5</v>
      </c>
      <c r="T555" s="261">
        <v>6</v>
      </c>
      <c r="U555" s="261">
        <v>6</v>
      </c>
      <c r="V555" s="258" t="s">
        <v>3329</v>
      </c>
      <c r="W555" s="261" t="str">
        <f t="shared" si="90"/>
        <v>기아자동차K7premier 3.0 GDI 노블레스35930000</v>
      </c>
      <c r="X555" s="411">
        <f t="shared" si="91"/>
        <v>4329</v>
      </c>
      <c r="Y555" s="261">
        <v>6</v>
      </c>
      <c r="Z555" s="261">
        <v>6</v>
      </c>
      <c r="AA555" s="407" t="s">
        <v>543</v>
      </c>
      <c r="AB555" s="258" t="s">
        <v>3330</v>
      </c>
      <c r="AC555" s="258"/>
      <c r="AD555" s="258" t="s">
        <v>2131</v>
      </c>
      <c r="AE555" s="258" t="s">
        <v>2129</v>
      </c>
      <c r="AF555" s="259"/>
      <c r="AG555" s="260"/>
      <c r="AH555" s="259"/>
      <c r="AI555" s="259"/>
      <c r="AJ555" s="260"/>
      <c r="AK555" s="259">
        <v>26</v>
      </c>
      <c r="AL555" s="259"/>
      <c r="AM555" s="259" t="s">
        <v>93</v>
      </c>
      <c r="AN555" s="449"/>
      <c r="AO555" s="449"/>
      <c r="AP555" s="449"/>
      <c r="AQ555" s="392" t="str">
        <f>IFERROR(VLOOKUP(BG555,#REF!,1,0),"")</f>
        <v/>
      </c>
      <c r="AS555" s="259" t="s">
        <v>93</v>
      </c>
      <c r="BD555" s="202" t="str">
        <f t="shared" si="83"/>
        <v>K7premier 3.0 GDI 노블레스</v>
      </c>
      <c r="BE555" s="261" t="str">
        <f t="shared" si="89"/>
        <v>0056</v>
      </c>
      <c r="BF555" s="407" t="s">
        <v>543</v>
      </c>
      <c r="BG555" s="202" t="str">
        <f t="shared" si="84"/>
        <v>0056-0554</v>
      </c>
    </row>
    <row r="556" spans="1:59">
      <c r="A556" s="405">
        <v>4330</v>
      </c>
      <c r="B556" s="406">
        <v>4330</v>
      </c>
      <c r="C556" s="261" t="str">
        <f t="shared" si="85"/>
        <v>0001-0056</v>
      </c>
      <c r="D556" s="261" t="str">
        <f t="shared" si="86"/>
        <v>0001-0056-0004</v>
      </c>
      <c r="E556" s="407" t="s">
        <v>542</v>
      </c>
      <c r="F556" s="261" t="str">
        <f>TEXT(VLOOKUP(J556,'[3]1'!$B$2:$D$37,2,0),"0000")</f>
        <v>0001</v>
      </c>
      <c r="G556" s="261" t="str">
        <f t="shared" si="87"/>
        <v>0056</v>
      </c>
      <c r="H556" s="408">
        <f t="shared" si="88"/>
        <v>4</v>
      </c>
      <c r="I556" s="407" t="s">
        <v>542</v>
      </c>
      <c r="J556" s="258" t="s">
        <v>828</v>
      </c>
      <c r="K556" s="258" t="s">
        <v>2712</v>
      </c>
      <c r="L556" s="258" t="s">
        <v>2162</v>
      </c>
      <c r="M556" s="409">
        <v>37990000</v>
      </c>
      <c r="N556" s="258">
        <v>2999</v>
      </c>
      <c r="O556" s="258" t="s">
        <v>77</v>
      </c>
      <c r="P556" s="258" t="s">
        <v>73</v>
      </c>
      <c r="Q556" s="258" t="s">
        <v>72</v>
      </c>
      <c r="R556" s="258">
        <v>5</v>
      </c>
      <c r="S556" s="410">
        <v>5</v>
      </c>
      <c r="T556" s="261">
        <v>6</v>
      </c>
      <c r="U556" s="261">
        <v>6</v>
      </c>
      <c r="V556" s="258" t="s">
        <v>71</v>
      </c>
      <c r="W556" s="261" t="str">
        <f t="shared" si="90"/>
        <v>기아자동차K7premier 3.0 GDI 시그니처37990000</v>
      </c>
      <c r="X556" s="411">
        <f t="shared" si="91"/>
        <v>4330</v>
      </c>
      <c r="Y556" s="261">
        <v>6</v>
      </c>
      <c r="Z556" s="261">
        <v>6</v>
      </c>
      <c r="AA556" s="407" t="s">
        <v>542</v>
      </c>
      <c r="AB556" s="258" t="s">
        <v>73</v>
      </c>
      <c r="AC556" s="258"/>
      <c r="AD556" s="258" t="s">
        <v>2131</v>
      </c>
      <c r="AE556" s="258" t="s">
        <v>2129</v>
      </c>
      <c r="AF556" s="259"/>
      <c r="AG556" s="260"/>
      <c r="AH556" s="259"/>
      <c r="AI556" s="259"/>
      <c r="AJ556" s="260"/>
      <c r="AK556" s="259">
        <v>26</v>
      </c>
      <c r="AL556" s="259"/>
      <c r="AM556" s="259" t="s">
        <v>93</v>
      </c>
      <c r="AN556" s="449"/>
      <c r="AO556" s="449"/>
      <c r="AP556" s="449"/>
      <c r="AQ556" s="392" t="str">
        <f>IFERROR(VLOOKUP(BG556,#REF!,1,0),"")</f>
        <v/>
      </c>
      <c r="AS556" s="259" t="s">
        <v>93</v>
      </c>
      <c r="BD556" s="202" t="str">
        <f t="shared" si="83"/>
        <v>K7premier 3.0 GDI 시그니처</v>
      </c>
      <c r="BE556" s="261" t="str">
        <f t="shared" si="89"/>
        <v>0056</v>
      </c>
      <c r="BF556" s="407" t="s">
        <v>542</v>
      </c>
      <c r="BG556" s="202" t="str">
        <f t="shared" si="84"/>
        <v>0056-0555</v>
      </c>
    </row>
    <row r="557" spans="1:59">
      <c r="A557" s="405">
        <v>4331</v>
      </c>
      <c r="B557" s="406">
        <v>4331</v>
      </c>
      <c r="C557" s="261" t="str">
        <f t="shared" si="85"/>
        <v>0001-0056</v>
      </c>
      <c r="D557" s="261" t="str">
        <f t="shared" si="86"/>
        <v>0001-0056-0005</v>
      </c>
      <c r="E557" s="407" t="s">
        <v>541</v>
      </c>
      <c r="F557" s="261" t="str">
        <f>TEXT(VLOOKUP(J557,'[3]1'!$B$2:$D$37,2,0),"0000")</f>
        <v>0001</v>
      </c>
      <c r="G557" s="261" t="str">
        <f t="shared" si="87"/>
        <v>0056</v>
      </c>
      <c r="H557" s="408">
        <f t="shared" si="88"/>
        <v>5</v>
      </c>
      <c r="I557" s="407" t="s">
        <v>541</v>
      </c>
      <c r="J557" s="258" t="s">
        <v>828</v>
      </c>
      <c r="K557" s="258" t="s">
        <v>2712</v>
      </c>
      <c r="L557" s="258" t="s">
        <v>2163</v>
      </c>
      <c r="M557" s="409">
        <v>35050000</v>
      </c>
      <c r="N557" s="258">
        <v>2497</v>
      </c>
      <c r="O557" s="258" t="s">
        <v>77</v>
      </c>
      <c r="P557" s="258" t="s">
        <v>73</v>
      </c>
      <c r="Q557" s="258" t="s">
        <v>72</v>
      </c>
      <c r="R557" s="258" t="e">
        <v>#N/A</v>
      </c>
      <c r="S557" s="410">
        <v>1</v>
      </c>
      <c r="T557" s="261">
        <v>6</v>
      </c>
      <c r="U557" s="261">
        <v>6</v>
      </c>
      <c r="V557" s="258" t="s">
        <v>3329</v>
      </c>
      <c r="W557" s="261" t="str">
        <f t="shared" si="90"/>
        <v>기아자동차K7premier 2.5 GDI  X 에디션35050000</v>
      </c>
      <c r="X557" s="411">
        <f t="shared" si="91"/>
        <v>4331</v>
      </c>
      <c r="Y557" s="261">
        <v>6</v>
      </c>
      <c r="Z557" s="261">
        <v>6</v>
      </c>
      <c r="AA557" s="407" t="s">
        <v>541</v>
      </c>
      <c r="AB557" s="258" t="s">
        <v>3330</v>
      </c>
      <c r="AC557" s="258"/>
      <c r="AD557" s="258" t="s">
        <v>2131</v>
      </c>
      <c r="AE557" s="258" t="s">
        <v>2129</v>
      </c>
      <c r="AF557" s="259"/>
      <c r="AG557" s="260"/>
      <c r="AH557" s="259"/>
      <c r="AI557" s="259"/>
      <c r="AJ557" s="260"/>
      <c r="AK557" s="259">
        <v>26</v>
      </c>
      <c r="AL557" s="259"/>
      <c r="AM557" s="259" t="s">
        <v>3189</v>
      </c>
      <c r="AN557" s="449"/>
      <c r="AO557" s="449"/>
      <c r="AP557" s="449"/>
      <c r="AQ557" s="392" t="str">
        <f>IFERROR(VLOOKUP(BG557,#REF!,1,0),"")</f>
        <v/>
      </c>
      <c r="AS557" s="259" t="s">
        <v>3189</v>
      </c>
      <c r="BD557" s="202" t="str">
        <f t="shared" si="83"/>
        <v>K7premier 2.5 GDI  X 에디션</v>
      </c>
      <c r="BE557" s="261" t="str">
        <f t="shared" si="89"/>
        <v>0056</v>
      </c>
      <c r="BF557" s="407" t="s">
        <v>541</v>
      </c>
      <c r="BG557" s="202" t="str">
        <f t="shared" si="84"/>
        <v>0056-0556</v>
      </c>
    </row>
    <row r="558" spans="1:59">
      <c r="A558" s="405">
        <v>4332</v>
      </c>
      <c r="B558" s="406">
        <v>4332</v>
      </c>
      <c r="C558" s="261" t="str">
        <f t="shared" si="85"/>
        <v>0001-0056</v>
      </c>
      <c r="D558" s="261" t="str">
        <f t="shared" si="86"/>
        <v>0001-0056-0006</v>
      </c>
      <c r="E558" s="407" t="s">
        <v>540</v>
      </c>
      <c r="F558" s="261" t="str">
        <f>TEXT(VLOOKUP(J558,'[3]1'!$B$2:$D$37,2,0),"0000")</f>
        <v>0001</v>
      </c>
      <c r="G558" s="261" t="str">
        <f t="shared" si="87"/>
        <v>0056</v>
      </c>
      <c r="H558" s="408">
        <f t="shared" si="88"/>
        <v>6</v>
      </c>
      <c r="I558" s="407" t="s">
        <v>540</v>
      </c>
      <c r="J558" s="258" t="s">
        <v>828</v>
      </c>
      <c r="K558" s="258" t="s">
        <v>2712</v>
      </c>
      <c r="L558" s="258" t="s">
        <v>2158</v>
      </c>
      <c r="M558" s="409">
        <v>30940000</v>
      </c>
      <c r="N558" s="258">
        <v>2999</v>
      </c>
      <c r="O558" s="258" t="s">
        <v>2137</v>
      </c>
      <c r="P558" s="258" t="s">
        <v>73</v>
      </c>
      <c r="Q558" s="258" t="s">
        <v>72</v>
      </c>
      <c r="R558" s="258">
        <v>5</v>
      </c>
      <c r="S558" s="410">
        <v>20</v>
      </c>
      <c r="T558" s="261">
        <v>6</v>
      </c>
      <c r="U558" s="261">
        <v>6</v>
      </c>
      <c r="V558" s="258" t="s">
        <v>71</v>
      </c>
      <c r="W558" s="261" t="str">
        <f t="shared" si="90"/>
        <v>기아자동차K7premier 3.0 LPI 프레스티지30940000</v>
      </c>
      <c r="X558" s="411">
        <f t="shared" si="91"/>
        <v>4332</v>
      </c>
      <c r="Y558" s="261">
        <v>6</v>
      </c>
      <c r="Z558" s="261">
        <v>6</v>
      </c>
      <c r="AA558" s="407" t="s">
        <v>540</v>
      </c>
      <c r="AB558" s="258" t="s">
        <v>73</v>
      </c>
      <c r="AC558" s="258"/>
      <c r="AD558" s="258" t="s">
        <v>2132</v>
      </c>
      <c r="AE558" s="258" t="s">
        <v>2129</v>
      </c>
      <c r="AF558" s="259"/>
      <c r="AG558" s="260"/>
      <c r="AH558" s="259"/>
      <c r="AI558" s="259"/>
      <c r="AJ558" s="260"/>
      <c r="AK558" s="259">
        <v>26</v>
      </c>
      <c r="AL558" s="259"/>
      <c r="AM558" s="259" t="s">
        <v>3234</v>
      </c>
      <c r="AN558" s="449"/>
      <c r="AO558" s="449"/>
      <c r="AP558" s="449"/>
      <c r="AQ558" s="392" t="str">
        <f>IFERROR(VLOOKUP(BG558,#REF!,1,0),"")</f>
        <v/>
      </c>
      <c r="AS558" s="259" t="s">
        <v>3234</v>
      </c>
      <c r="BD558" s="202" t="str">
        <f t="shared" si="83"/>
        <v>K7premier 3.0 LPI 프레스티지</v>
      </c>
      <c r="BE558" s="261" t="str">
        <f t="shared" si="89"/>
        <v>0056</v>
      </c>
      <c r="BF558" s="407" t="s">
        <v>540</v>
      </c>
      <c r="BG558" s="202" t="str">
        <f t="shared" si="84"/>
        <v>0056-0557</v>
      </c>
    </row>
    <row r="559" spans="1:59">
      <c r="A559" s="405">
        <v>4333</v>
      </c>
      <c r="B559" s="406">
        <v>4333</v>
      </c>
      <c r="C559" s="261" t="str">
        <f t="shared" si="85"/>
        <v>0001-0057</v>
      </c>
      <c r="D559" s="261" t="str">
        <f t="shared" si="86"/>
        <v>0001-0057-0001</v>
      </c>
      <c r="E559" s="407" t="s">
        <v>539</v>
      </c>
      <c r="F559" s="261" t="str">
        <f>TEXT(VLOOKUP(J559,'[3]1'!$B$2:$D$37,2,0),"0000")</f>
        <v>0001</v>
      </c>
      <c r="G559" s="261" t="str">
        <f t="shared" si="87"/>
        <v>0057</v>
      </c>
      <c r="H559" s="408">
        <f t="shared" si="88"/>
        <v>1</v>
      </c>
      <c r="I559" s="407" t="s">
        <v>539</v>
      </c>
      <c r="J559" s="258" t="s">
        <v>828</v>
      </c>
      <c r="K559" s="258" t="s">
        <v>2713</v>
      </c>
      <c r="L559" s="258" t="s">
        <v>2164</v>
      </c>
      <c r="M559" s="409">
        <v>37630000</v>
      </c>
      <c r="N559" s="258">
        <v>2359</v>
      </c>
      <c r="O559" s="258" t="s">
        <v>74</v>
      </c>
      <c r="P559" s="258" t="s">
        <v>73</v>
      </c>
      <c r="Q559" s="258" t="s">
        <v>72</v>
      </c>
      <c r="R559" s="258">
        <v>5</v>
      </c>
      <c r="S559" s="410">
        <v>3</v>
      </c>
      <c r="T559" s="261">
        <v>6</v>
      </c>
      <c r="U559" s="261">
        <v>6</v>
      </c>
      <c r="V559" s="258" t="s">
        <v>1914</v>
      </c>
      <c r="W559" s="261" t="str">
        <f t="shared" si="90"/>
        <v>기아자동차K7 하이브리드프레스티지37630000</v>
      </c>
      <c r="X559" s="411">
        <f t="shared" si="91"/>
        <v>4333</v>
      </c>
      <c r="Y559" s="261">
        <v>6</v>
      </c>
      <c r="Z559" s="261">
        <v>6</v>
      </c>
      <c r="AA559" s="407" t="s">
        <v>539</v>
      </c>
      <c r="AB559" s="258" t="s">
        <v>73</v>
      </c>
      <c r="AC559" s="258"/>
      <c r="AD559" s="258" t="s">
        <v>2132</v>
      </c>
      <c r="AE559" s="258" t="s">
        <v>2129</v>
      </c>
      <c r="AF559" s="259"/>
      <c r="AG559" s="260"/>
      <c r="AH559" s="259"/>
      <c r="AI559" s="259"/>
      <c r="AJ559" s="260"/>
      <c r="AK559" s="259">
        <v>26</v>
      </c>
      <c r="AL559" s="259"/>
      <c r="AM559" s="259" t="s">
        <v>1262</v>
      </c>
      <c r="AN559" s="449"/>
      <c r="AO559" s="449"/>
      <c r="AP559" s="449"/>
      <c r="AQ559" s="392" t="str">
        <f>IFERROR(VLOOKUP(BG559,#REF!,1,0),"")</f>
        <v/>
      </c>
      <c r="AS559" s="259" t="s">
        <v>3237</v>
      </c>
      <c r="BD559" s="202" t="str">
        <f t="shared" si="83"/>
        <v>K7 하이브리드프레스티지</v>
      </c>
      <c r="BE559" s="261" t="str">
        <f t="shared" si="89"/>
        <v>0057</v>
      </c>
      <c r="BF559" s="407" t="s">
        <v>539</v>
      </c>
      <c r="BG559" s="202" t="str">
        <f t="shared" si="84"/>
        <v>0057-0558</v>
      </c>
    </row>
    <row r="560" spans="1:59">
      <c r="A560" s="405">
        <v>4334</v>
      </c>
      <c r="B560" s="406">
        <v>4334</v>
      </c>
      <c r="C560" s="261" t="str">
        <f t="shared" si="85"/>
        <v>0001-0057</v>
      </c>
      <c r="D560" s="261" t="str">
        <f t="shared" si="86"/>
        <v>0001-0057-0002</v>
      </c>
      <c r="E560" s="407" t="s">
        <v>538</v>
      </c>
      <c r="F560" s="261" t="str">
        <f>TEXT(VLOOKUP(J560,'[3]1'!$B$2:$D$37,2,0),"0000")</f>
        <v>0001</v>
      </c>
      <c r="G560" s="261" t="str">
        <f t="shared" si="87"/>
        <v>0057</v>
      </c>
      <c r="H560" s="408">
        <f t="shared" si="88"/>
        <v>2</v>
      </c>
      <c r="I560" s="407" t="s">
        <v>538</v>
      </c>
      <c r="J560" s="258" t="s">
        <v>828</v>
      </c>
      <c r="K560" s="258" t="s">
        <v>2713</v>
      </c>
      <c r="L560" s="258" t="s">
        <v>2165</v>
      </c>
      <c r="M560" s="409">
        <v>39400000</v>
      </c>
      <c r="N560" s="258">
        <v>2359</v>
      </c>
      <c r="O560" s="258" t="s">
        <v>74</v>
      </c>
      <c r="P560" s="258" t="s">
        <v>73</v>
      </c>
      <c r="Q560" s="258" t="s">
        <v>72</v>
      </c>
      <c r="R560" s="258">
        <v>5</v>
      </c>
      <c r="S560" s="410">
        <v>3</v>
      </c>
      <c r="T560" s="261">
        <v>6</v>
      </c>
      <c r="U560" s="261">
        <v>6</v>
      </c>
      <c r="V560" s="258" t="s">
        <v>1914</v>
      </c>
      <c r="W560" s="261" t="str">
        <f t="shared" si="90"/>
        <v>기아자동차K7 하이브리드노블레스39400000</v>
      </c>
      <c r="X560" s="411">
        <f t="shared" si="91"/>
        <v>4334</v>
      </c>
      <c r="Y560" s="261">
        <v>6</v>
      </c>
      <c r="Z560" s="261">
        <v>6</v>
      </c>
      <c r="AA560" s="407" t="s">
        <v>538</v>
      </c>
      <c r="AB560" s="258" t="s">
        <v>3330</v>
      </c>
      <c r="AC560" s="258"/>
      <c r="AD560" s="258" t="s">
        <v>2132</v>
      </c>
      <c r="AE560" s="258" t="s">
        <v>2129</v>
      </c>
      <c r="AF560" s="259"/>
      <c r="AG560" s="260"/>
      <c r="AH560" s="259"/>
      <c r="AI560" s="259"/>
      <c r="AJ560" s="260"/>
      <c r="AK560" s="259">
        <v>26</v>
      </c>
      <c r="AL560" s="259"/>
      <c r="AM560" s="259" t="s">
        <v>1262</v>
      </c>
      <c r="AN560" s="449"/>
      <c r="AO560" s="449"/>
      <c r="AP560" s="449"/>
      <c r="AQ560" s="392" t="str">
        <f>IFERROR(VLOOKUP(BG560,#REF!,1,0),"")</f>
        <v/>
      </c>
      <c r="AS560" s="259" t="s">
        <v>3237</v>
      </c>
      <c r="BD560" s="202" t="str">
        <f t="shared" si="83"/>
        <v>K7 하이브리드노블레스</v>
      </c>
      <c r="BE560" s="261" t="str">
        <f t="shared" si="89"/>
        <v>0057</v>
      </c>
      <c r="BF560" s="407" t="s">
        <v>538</v>
      </c>
      <c r="BG560" s="202" t="str">
        <f t="shared" si="84"/>
        <v>0057-0559</v>
      </c>
    </row>
    <row r="561" spans="1:59">
      <c r="A561" s="405">
        <v>4335</v>
      </c>
      <c r="B561" s="406">
        <v>4335</v>
      </c>
      <c r="C561" s="261" t="str">
        <f t="shared" si="85"/>
        <v>0001-0057</v>
      </c>
      <c r="D561" s="261" t="str">
        <f t="shared" si="86"/>
        <v>0001-0057-0003</v>
      </c>
      <c r="E561" s="407" t="s">
        <v>537</v>
      </c>
      <c r="F561" s="261" t="str">
        <f>TEXT(VLOOKUP(J561,'[3]1'!$B$2:$D$37,2,0),"0000")</f>
        <v>0001</v>
      </c>
      <c r="G561" s="261" t="str">
        <f t="shared" si="87"/>
        <v>0057</v>
      </c>
      <c r="H561" s="408">
        <f t="shared" si="88"/>
        <v>3</v>
      </c>
      <c r="I561" s="407" t="s">
        <v>537</v>
      </c>
      <c r="J561" s="258" t="s">
        <v>828</v>
      </c>
      <c r="K561" s="258" t="s">
        <v>2713</v>
      </c>
      <c r="L561" s="258" t="s">
        <v>2166</v>
      </c>
      <c r="M561" s="409">
        <v>41550000</v>
      </c>
      <c r="N561" s="258">
        <v>2359</v>
      </c>
      <c r="O561" s="258" t="s">
        <v>74</v>
      </c>
      <c r="P561" s="258" t="s">
        <v>73</v>
      </c>
      <c r="Q561" s="258" t="s">
        <v>72</v>
      </c>
      <c r="R561" s="258">
        <v>5</v>
      </c>
      <c r="S561" s="410">
        <v>3</v>
      </c>
      <c r="T561" s="261">
        <v>6</v>
      </c>
      <c r="U561" s="261">
        <v>6</v>
      </c>
      <c r="V561" s="258" t="s">
        <v>1914</v>
      </c>
      <c r="W561" s="261" t="str">
        <f t="shared" si="90"/>
        <v>기아자동차K7 하이브리드시그니쳐41550000</v>
      </c>
      <c r="X561" s="411">
        <f t="shared" si="91"/>
        <v>4335</v>
      </c>
      <c r="Y561" s="261">
        <v>6</v>
      </c>
      <c r="Z561" s="261">
        <v>6</v>
      </c>
      <c r="AA561" s="407" t="s">
        <v>537</v>
      </c>
      <c r="AB561" s="258" t="s">
        <v>73</v>
      </c>
      <c r="AC561" s="258"/>
      <c r="AD561" s="258" t="s">
        <v>2132</v>
      </c>
      <c r="AE561" s="258" t="s">
        <v>2129</v>
      </c>
      <c r="AF561" s="259"/>
      <c r="AG561" s="260"/>
      <c r="AH561" s="259"/>
      <c r="AI561" s="259"/>
      <c r="AJ561" s="260"/>
      <c r="AK561" s="259">
        <v>26</v>
      </c>
      <c r="AL561" s="259"/>
      <c r="AM561" s="259" t="s">
        <v>1262</v>
      </c>
      <c r="AN561" s="449"/>
      <c r="AO561" s="449"/>
      <c r="AP561" s="449"/>
      <c r="AQ561" s="392" t="str">
        <f>IFERROR(VLOOKUP(BG561,#REF!,1,0),"")</f>
        <v/>
      </c>
      <c r="AS561" s="259" t="s">
        <v>3237</v>
      </c>
      <c r="BD561" s="202" t="str">
        <f t="shared" si="83"/>
        <v>K7 하이브리드시그니쳐</v>
      </c>
      <c r="BE561" s="261" t="str">
        <f t="shared" si="89"/>
        <v>0057</v>
      </c>
      <c r="BF561" s="407" t="s">
        <v>537</v>
      </c>
      <c r="BG561" s="202" t="str">
        <f t="shared" si="84"/>
        <v>0057-0560</v>
      </c>
    </row>
    <row r="562" spans="1:59">
      <c r="A562" s="405">
        <v>4336</v>
      </c>
      <c r="B562" s="406">
        <v>4336</v>
      </c>
      <c r="C562" s="261" t="str">
        <f t="shared" si="85"/>
        <v>0001-0058</v>
      </c>
      <c r="D562" s="261" t="str">
        <f t="shared" si="86"/>
        <v>0001-0058-0001</v>
      </c>
      <c r="E562" s="407" t="s">
        <v>536</v>
      </c>
      <c r="F562" s="261" t="str">
        <f>TEXT(VLOOKUP(J562,'[3]1'!$B$2:$D$37,2,0),"0000")</f>
        <v>0001</v>
      </c>
      <c r="G562" s="261" t="str">
        <f t="shared" si="87"/>
        <v>0058</v>
      </c>
      <c r="H562" s="408">
        <f t="shared" si="88"/>
        <v>1</v>
      </c>
      <c r="I562" s="407" t="s">
        <v>536</v>
      </c>
      <c r="J562" s="258" t="s">
        <v>828</v>
      </c>
      <c r="K562" s="258" t="s">
        <v>3022</v>
      </c>
      <c r="L562" s="258" t="s">
        <v>3023</v>
      </c>
      <c r="M562" s="409">
        <v>35100000</v>
      </c>
      <c r="N562" s="258">
        <v>2497</v>
      </c>
      <c r="O562" s="258" t="s">
        <v>77</v>
      </c>
      <c r="P562" s="258" t="s">
        <v>73</v>
      </c>
      <c r="Q562" s="258" t="s">
        <v>72</v>
      </c>
      <c r="R562" s="258">
        <v>5</v>
      </c>
      <c r="S562" s="410">
        <v>2</v>
      </c>
      <c r="T562" s="261">
        <v>6</v>
      </c>
      <c r="U562" s="261">
        <v>6</v>
      </c>
      <c r="V562" s="258" t="s">
        <v>71</v>
      </c>
      <c r="W562" s="261" t="str">
        <f t="shared" si="90"/>
        <v>기아자동차K8가솔린 2.535100000</v>
      </c>
      <c r="X562" s="411">
        <f t="shared" si="91"/>
        <v>4336</v>
      </c>
      <c r="Y562" s="261">
        <v>6</v>
      </c>
      <c r="Z562" s="261">
        <v>6</v>
      </c>
      <c r="AA562" s="407" t="s">
        <v>536</v>
      </c>
      <c r="AB562" s="258" t="s">
        <v>73</v>
      </c>
      <c r="AC562" s="258"/>
      <c r="AD562" s="258">
        <v>3</v>
      </c>
      <c r="AE562" s="258">
        <v>0</v>
      </c>
      <c r="AF562" s="259"/>
      <c r="AG562" s="260"/>
      <c r="AH562" s="259"/>
      <c r="AI562" s="259"/>
      <c r="AJ562" s="260"/>
      <c r="AK562" s="259">
        <v>26</v>
      </c>
      <c r="AL562" s="259"/>
      <c r="AM562" s="259" t="s">
        <v>3223</v>
      </c>
      <c r="AN562" s="449"/>
      <c r="AO562" s="449"/>
      <c r="AP562" s="449"/>
      <c r="AQ562" s="392" t="str">
        <f>IFERROR(VLOOKUP(BG562,#REF!,1,0),"")</f>
        <v/>
      </c>
      <c r="AS562" s="259" t="s">
        <v>3223</v>
      </c>
      <c r="BD562" s="202" t="str">
        <f t="shared" si="83"/>
        <v>K8가솔린 2.5</v>
      </c>
      <c r="BE562" s="261" t="str">
        <f t="shared" si="89"/>
        <v>0058</v>
      </c>
      <c r="BF562" s="407" t="s">
        <v>536</v>
      </c>
      <c r="BG562" s="202" t="str">
        <f t="shared" si="84"/>
        <v>0058-0561</v>
      </c>
    </row>
    <row r="563" spans="1:59">
      <c r="A563" s="405">
        <v>4337</v>
      </c>
      <c r="B563" s="406">
        <v>4337</v>
      </c>
      <c r="C563" s="261" t="str">
        <f t="shared" si="85"/>
        <v>0001-0058</v>
      </c>
      <c r="D563" s="261" t="str">
        <f t="shared" si="86"/>
        <v>0001-0058-0002</v>
      </c>
      <c r="E563" s="407" t="s">
        <v>535</v>
      </c>
      <c r="F563" s="261" t="str">
        <f>TEXT(VLOOKUP(J563,'[3]1'!$B$2:$D$37,2,0),"0000")</f>
        <v>0001</v>
      </c>
      <c r="G563" s="261" t="str">
        <f t="shared" si="87"/>
        <v>0058</v>
      </c>
      <c r="H563" s="408">
        <f t="shared" si="88"/>
        <v>2</v>
      </c>
      <c r="I563" s="407" t="s">
        <v>535</v>
      </c>
      <c r="J563" s="258" t="s">
        <v>828</v>
      </c>
      <c r="K563" s="258" t="s">
        <v>3022</v>
      </c>
      <c r="L563" s="258" t="s">
        <v>3024</v>
      </c>
      <c r="M563" s="409">
        <v>36180000</v>
      </c>
      <c r="N563" s="258">
        <v>3470</v>
      </c>
      <c r="O563" s="258" t="s">
        <v>77</v>
      </c>
      <c r="P563" s="258" t="s">
        <v>73</v>
      </c>
      <c r="Q563" s="258" t="s">
        <v>72</v>
      </c>
      <c r="R563" s="258">
        <v>5</v>
      </c>
      <c r="S563" s="410">
        <v>10</v>
      </c>
      <c r="T563" s="261">
        <v>6</v>
      </c>
      <c r="U563" s="261">
        <v>6</v>
      </c>
      <c r="V563" s="258" t="s">
        <v>71</v>
      </c>
      <c r="W563" s="261" t="str">
        <f t="shared" si="90"/>
        <v>기아자동차K8가솔린 3.536180000</v>
      </c>
      <c r="X563" s="411">
        <f t="shared" si="91"/>
        <v>4337</v>
      </c>
      <c r="Y563" s="261">
        <v>6</v>
      </c>
      <c r="Z563" s="261">
        <v>6</v>
      </c>
      <c r="AA563" s="407" t="s">
        <v>535</v>
      </c>
      <c r="AB563" s="258" t="s">
        <v>73</v>
      </c>
      <c r="AC563" s="258"/>
      <c r="AD563" s="258">
        <v>3</v>
      </c>
      <c r="AE563" s="258">
        <v>0</v>
      </c>
      <c r="AF563" s="259"/>
      <c r="AG563" s="260"/>
      <c r="AH563" s="259"/>
      <c r="AI563" s="259"/>
      <c r="AJ563" s="260"/>
      <c r="AK563" s="259">
        <v>26</v>
      </c>
      <c r="AL563" s="259"/>
      <c r="AM563" s="259" t="s">
        <v>3224</v>
      </c>
      <c r="AN563" s="449"/>
      <c r="AO563" s="449"/>
      <c r="AP563" s="449"/>
      <c r="AQ563" s="392" t="str">
        <f>IFERROR(VLOOKUP(BG563,#REF!,1,0),"")</f>
        <v/>
      </c>
      <c r="AS563" s="259" t="s">
        <v>3224</v>
      </c>
      <c r="BD563" s="202" t="str">
        <f t="shared" si="83"/>
        <v>K8가솔린 3.5</v>
      </c>
      <c r="BE563" s="261" t="str">
        <f t="shared" si="89"/>
        <v>0058</v>
      </c>
      <c r="BF563" s="407" t="s">
        <v>535</v>
      </c>
      <c r="BG563" s="202" t="str">
        <f t="shared" si="84"/>
        <v>0058-0562</v>
      </c>
    </row>
    <row r="564" spans="1:59">
      <c r="A564" s="405">
        <v>4338</v>
      </c>
      <c r="B564" s="406">
        <v>4338</v>
      </c>
      <c r="C564" s="261" t="str">
        <f t="shared" si="85"/>
        <v>0001-0059</v>
      </c>
      <c r="D564" s="261" t="str">
        <f t="shared" si="86"/>
        <v>0001-0059-0001</v>
      </c>
      <c r="E564" s="407" t="s">
        <v>534</v>
      </c>
      <c r="F564" s="261" t="str">
        <f>TEXT(VLOOKUP(J564,'[3]1'!$B$2:$D$37,2,0),"0000")</f>
        <v>0001</v>
      </c>
      <c r="G564" s="261" t="str">
        <f t="shared" si="87"/>
        <v>0059</v>
      </c>
      <c r="H564" s="408">
        <f t="shared" si="88"/>
        <v>1</v>
      </c>
      <c r="I564" s="407" t="s">
        <v>534</v>
      </c>
      <c r="J564" s="258" t="s">
        <v>828</v>
      </c>
      <c r="K564" s="258" t="s">
        <v>3090</v>
      </c>
      <c r="L564" s="258" t="s">
        <v>3091</v>
      </c>
      <c r="M564" s="409">
        <v>36980000</v>
      </c>
      <c r="N564" s="258">
        <v>1598</v>
      </c>
      <c r="O564" s="258" t="s">
        <v>3086</v>
      </c>
      <c r="P564" s="258" t="s">
        <v>73</v>
      </c>
      <c r="Q564" s="258" t="s">
        <v>72</v>
      </c>
      <c r="R564" s="258">
        <v>5</v>
      </c>
      <c r="S564" s="410">
        <v>4</v>
      </c>
      <c r="T564" s="261">
        <v>6</v>
      </c>
      <c r="U564" s="261">
        <v>6</v>
      </c>
      <c r="V564" s="258" t="s">
        <v>1914</v>
      </c>
      <c r="W564" s="261" t="str">
        <f t="shared" si="90"/>
        <v>기아자동차K8 하이브리드터보 1.6 노블레스 라이트36980000</v>
      </c>
      <c r="X564" s="411">
        <f t="shared" si="91"/>
        <v>4338</v>
      </c>
      <c r="Y564" s="261">
        <v>6</v>
      </c>
      <c r="Z564" s="261">
        <v>6</v>
      </c>
      <c r="AA564" s="407" t="s">
        <v>534</v>
      </c>
      <c r="AB564" s="258" t="s">
        <v>73</v>
      </c>
      <c r="AC564" s="258"/>
      <c r="AD564" s="258">
        <v>7</v>
      </c>
      <c r="AE564" s="258">
        <v>0</v>
      </c>
      <c r="AF564" s="259"/>
      <c r="AG564" s="260"/>
      <c r="AH564" s="259"/>
      <c r="AI564" s="259"/>
      <c r="AJ564" s="260"/>
      <c r="AK564" s="259">
        <v>26</v>
      </c>
      <c r="AL564" s="259"/>
      <c r="AM564" s="259" t="s">
        <v>3226</v>
      </c>
      <c r="AN564" s="449"/>
      <c r="AO564" s="449"/>
      <c r="AP564" s="449"/>
      <c r="AQ564" s="392" t="str">
        <f>IFERROR(VLOOKUP(BG564,#REF!,1,0),"")</f>
        <v/>
      </c>
      <c r="AS564" s="259" t="s">
        <v>3226</v>
      </c>
      <c r="AT564" s="451" t="s">
        <v>3085</v>
      </c>
      <c r="BD564" s="202" t="str">
        <f t="shared" si="83"/>
        <v>K8 하이브리드터보 1.6 노블레스 라이트</v>
      </c>
      <c r="BE564" s="261" t="str">
        <f t="shared" si="89"/>
        <v>0059</v>
      </c>
      <c r="BF564" s="407" t="s">
        <v>534</v>
      </c>
      <c r="BG564" s="202" t="str">
        <f t="shared" si="84"/>
        <v>0059-0563</v>
      </c>
    </row>
    <row r="565" spans="1:59">
      <c r="A565" s="405">
        <v>4339</v>
      </c>
      <c r="B565" s="406">
        <v>4339</v>
      </c>
      <c r="C565" s="261" t="str">
        <f t="shared" si="85"/>
        <v>0001-0059</v>
      </c>
      <c r="D565" s="261" t="str">
        <f t="shared" si="86"/>
        <v>0001-0059-0002</v>
      </c>
      <c r="E565" s="407" t="s">
        <v>533</v>
      </c>
      <c r="F565" s="261" t="str">
        <f>TEXT(VLOOKUP(J565,'[3]1'!$B$2:$D$37,2,0),"0000")</f>
        <v>0001</v>
      </c>
      <c r="G565" s="261" t="str">
        <f t="shared" si="87"/>
        <v>0059</v>
      </c>
      <c r="H565" s="408">
        <f t="shared" si="88"/>
        <v>2</v>
      </c>
      <c r="I565" s="407" t="s">
        <v>533</v>
      </c>
      <c r="J565" s="258" t="s">
        <v>828</v>
      </c>
      <c r="K565" s="258" t="s">
        <v>3090</v>
      </c>
      <c r="L565" s="258" t="s">
        <v>3092</v>
      </c>
      <c r="M565" s="409">
        <v>39290000</v>
      </c>
      <c r="N565" s="258">
        <v>1598</v>
      </c>
      <c r="O565" s="258" t="s">
        <v>3086</v>
      </c>
      <c r="P565" s="258" t="s">
        <v>73</v>
      </c>
      <c r="Q565" s="258" t="s">
        <v>72</v>
      </c>
      <c r="R565" s="258">
        <v>5</v>
      </c>
      <c r="S565" s="410">
        <v>4</v>
      </c>
      <c r="T565" s="261">
        <v>6</v>
      </c>
      <c r="U565" s="261">
        <v>6</v>
      </c>
      <c r="V565" s="258" t="s">
        <v>1914</v>
      </c>
      <c r="W565" s="261" t="str">
        <f t="shared" si="90"/>
        <v>기아자동차K8 하이브리드터보 1.6 노블레스39290000</v>
      </c>
      <c r="X565" s="411">
        <f t="shared" si="91"/>
        <v>4339</v>
      </c>
      <c r="Y565" s="261">
        <v>6</v>
      </c>
      <c r="Z565" s="261">
        <v>6</v>
      </c>
      <c r="AA565" s="407" t="s">
        <v>533</v>
      </c>
      <c r="AB565" s="258" t="s">
        <v>73</v>
      </c>
      <c r="AC565" s="258"/>
      <c r="AD565" s="258">
        <v>7</v>
      </c>
      <c r="AE565" s="258">
        <v>0</v>
      </c>
      <c r="AF565" s="259"/>
      <c r="AG565" s="260"/>
      <c r="AH565" s="259"/>
      <c r="AI565" s="259"/>
      <c r="AJ565" s="260"/>
      <c r="AK565" s="259">
        <v>26</v>
      </c>
      <c r="AL565" s="259"/>
      <c r="AM565" s="259" t="s">
        <v>3226</v>
      </c>
      <c r="AN565" s="449"/>
      <c r="AO565" s="449"/>
      <c r="AP565" s="449"/>
      <c r="AQ565" s="392" t="str">
        <f>IFERROR(VLOOKUP(BG565,#REF!,1,0),"")</f>
        <v/>
      </c>
      <c r="AS565" s="259" t="s">
        <v>3226</v>
      </c>
      <c r="AT565" s="451" t="s">
        <v>3085</v>
      </c>
      <c r="BD565" s="202" t="str">
        <f t="shared" si="83"/>
        <v>K8 하이브리드터보 1.6 노블레스</v>
      </c>
      <c r="BE565" s="261" t="str">
        <f t="shared" si="89"/>
        <v>0059</v>
      </c>
      <c r="BF565" s="407" t="s">
        <v>533</v>
      </c>
      <c r="BG565" s="202" t="str">
        <f t="shared" si="84"/>
        <v>0059-0564</v>
      </c>
    </row>
    <row r="566" spans="1:59">
      <c r="A566" s="405">
        <v>4340</v>
      </c>
      <c r="B566" s="406">
        <v>4340</v>
      </c>
      <c r="C566" s="261" t="str">
        <f t="shared" si="85"/>
        <v>0001-0059</v>
      </c>
      <c r="D566" s="261" t="str">
        <f t="shared" si="86"/>
        <v>0001-0059-0003</v>
      </c>
      <c r="E566" s="407" t="s">
        <v>532</v>
      </c>
      <c r="F566" s="261" t="str">
        <f>TEXT(VLOOKUP(J566,'[3]1'!$B$2:$D$37,2,0),"0000")</f>
        <v>0001</v>
      </c>
      <c r="G566" s="261" t="str">
        <f t="shared" si="87"/>
        <v>0059</v>
      </c>
      <c r="H566" s="408">
        <f t="shared" si="88"/>
        <v>3</v>
      </c>
      <c r="I566" s="407" t="s">
        <v>532</v>
      </c>
      <c r="J566" s="258" t="s">
        <v>828</v>
      </c>
      <c r="K566" s="258" t="s">
        <v>3090</v>
      </c>
      <c r="L566" s="258" t="s">
        <v>3093</v>
      </c>
      <c r="M566" s="409">
        <v>42870000</v>
      </c>
      <c r="N566" s="258">
        <v>1598</v>
      </c>
      <c r="O566" s="258" t="s">
        <v>3086</v>
      </c>
      <c r="P566" s="258" t="s">
        <v>73</v>
      </c>
      <c r="Q566" s="258" t="s">
        <v>72</v>
      </c>
      <c r="R566" s="258">
        <v>5</v>
      </c>
      <c r="S566" s="410">
        <v>4</v>
      </c>
      <c r="T566" s="261">
        <v>6</v>
      </c>
      <c r="U566" s="261">
        <v>6</v>
      </c>
      <c r="V566" s="258" t="s">
        <v>1914</v>
      </c>
      <c r="W566" s="261" t="str">
        <f t="shared" si="90"/>
        <v>기아자동차K8 하이브리드터보 1.6 시그니처42870000</v>
      </c>
      <c r="X566" s="411">
        <f t="shared" si="91"/>
        <v>4340</v>
      </c>
      <c r="Y566" s="261">
        <v>6</v>
      </c>
      <c r="Z566" s="261">
        <v>6</v>
      </c>
      <c r="AA566" s="407" t="s">
        <v>532</v>
      </c>
      <c r="AB566" s="258" t="s">
        <v>73</v>
      </c>
      <c r="AC566" s="258"/>
      <c r="AD566" s="258">
        <v>7</v>
      </c>
      <c r="AE566" s="258">
        <v>0</v>
      </c>
      <c r="AF566" s="259"/>
      <c r="AG566" s="260"/>
      <c r="AH566" s="259"/>
      <c r="AI566" s="259"/>
      <c r="AJ566" s="260"/>
      <c r="AK566" s="259">
        <v>26</v>
      </c>
      <c r="AL566" s="259"/>
      <c r="AM566" s="259" t="s">
        <v>3226</v>
      </c>
      <c r="AN566" s="449"/>
      <c r="AO566" s="449"/>
      <c r="AP566" s="449"/>
      <c r="AQ566" s="392" t="str">
        <f>IFERROR(VLOOKUP(BG566,#REF!,1,0),"")</f>
        <v/>
      </c>
      <c r="AS566" s="259" t="s">
        <v>3226</v>
      </c>
      <c r="AT566" s="451" t="s">
        <v>3085</v>
      </c>
      <c r="BD566" s="202" t="str">
        <f t="shared" si="83"/>
        <v>K8 하이브리드터보 1.6 시그니처</v>
      </c>
      <c r="BE566" s="261" t="str">
        <f t="shared" si="89"/>
        <v>0059</v>
      </c>
      <c r="BF566" s="407" t="s">
        <v>532</v>
      </c>
      <c r="BG566" s="202" t="str">
        <f t="shared" si="84"/>
        <v>0059-0565</v>
      </c>
    </row>
    <row r="567" spans="1:59">
      <c r="A567" s="405">
        <v>4341</v>
      </c>
      <c r="B567" s="406">
        <v>4341</v>
      </c>
      <c r="C567" s="261" t="str">
        <f t="shared" si="85"/>
        <v>0001-0060</v>
      </c>
      <c r="D567" s="261" t="str">
        <f t="shared" si="86"/>
        <v>0001-0060-0001</v>
      </c>
      <c r="E567" s="407" t="s">
        <v>531</v>
      </c>
      <c r="F567" s="261" t="str">
        <f>TEXT(VLOOKUP(J567,'[3]1'!$B$2:$D$37,2,0),"0000")</f>
        <v>0001</v>
      </c>
      <c r="G567" s="261" t="str">
        <f t="shared" si="87"/>
        <v>0060</v>
      </c>
      <c r="H567" s="408">
        <f t="shared" si="88"/>
        <v>1</v>
      </c>
      <c r="I567" s="407" t="s">
        <v>531</v>
      </c>
      <c r="J567" s="258" t="s">
        <v>828</v>
      </c>
      <c r="K567" s="258" t="s">
        <v>2714</v>
      </c>
      <c r="L567" s="258" t="s">
        <v>2168</v>
      </c>
      <c r="M567" s="409">
        <v>81140000</v>
      </c>
      <c r="N567" s="258">
        <v>3342</v>
      </c>
      <c r="O567" s="258" t="s">
        <v>77</v>
      </c>
      <c r="P567" s="258" t="s">
        <v>73</v>
      </c>
      <c r="Q567" s="258" t="s">
        <v>72</v>
      </c>
      <c r="R567" s="258">
        <v>5</v>
      </c>
      <c r="S567" s="410">
        <v>11</v>
      </c>
      <c r="T567" s="261">
        <v>6</v>
      </c>
      <c r="U567" s="261">
        <v>6</v>
      </c>
      <c r="V567" s="258" t="s">
        <v>71</v>
      </c>
      <c r="W567" s="261" t="str">
        <f t="shared" si="90"/>
        <v>기아자동차K93.3T 그랜드 마스터즈 베스트셀렉션Ⅱ81140000</v>
      </c>
      <c r="X567" s="411">
        <f t="shared" si="91"/>
        <v>4341</v>
      </c>
      <c r="Y567" s="261">
        <v>6</v>
      </c>
      <c r="Z567" s="261">
        <v>6</v>
      </c>
      <c r="AA567" s="407" t="s">
        <v>531</v>
      </c>
      <c r="AB567" s="258" t="s">
        <v>73</v>
      </c>
      <c r="AC567" s="258"/>
      <c r="AD567" s="258" t="s">
        <v>2133</v>
      </c>
      <c r="AE567" s="258" t="s">
        <v>2129</v>
      </c>
      <c r="AF567" s="259"/>
      <c r="AG567" s="260"/>
      <c r="AH567" s="259"/>
      <c r="AI567" s="259"/>
      <c r="AJ567" s="260"/>
      <c r="AK567" s="259">
        <v>26</v>
      </c>
      <c r="AL567" s="259"/>
      <c r="AM567" s="259" t="s">
        <v>3232</v>
      </c>
      <c r="AN567" s="449"/>
      <c r="AO567" s="449"/>
      <c r="AP567" s="449"/>
      <c r="AQ567" s="392" t="str">
        <f>IFERROR(VLOOKUP(BG567,#REF!,1,0),"")</f>
        <v/>
      </c>
      <c r="AS567" s="259" t="s">
        <v>3232</v>
      </c>
      <c r="BD567" s="202" t="str">
        <f t="shared" si="83"/>
        <v>K93.3T 그랜드 마스터즈 베스트셀렉션Ⅱ</v>
      </c>
      <c r="BE567" s="261" t="str">
        <f t="shared" si="89"/>
        <v>0060</v>
      </c>
      <c r="BF567" s="407" t="s">
        <v>531</v>
      </c>
      <c r="BG567" s="202" t="str">
        <f t="shared" si="84"/>
        <v>0060-0566</v>
      </c>
    </row>
    <row r="568" spans="1:59">
      <c r="A568" s="405">
        <v>4342</v>
      </c>
      <c r="B568" s="406">
        <v>4342</v>
      </c>
      <c r="C568" s="261" t="str">
        <f t="shared" si="85"/>
        <v>0001-0060</v>
      </c>
      <c r="D568" s="261" t="str">
        <f t="shared" si="86"/>
        <v>0001-0060-0002</v>
      </c>
      <c r="E568" s="407" t="s">
        <v>530</v>
      </c>
      <c r="F568" s="261" t="str">
        <f>TEXT(VLOOKUP(J568,'[3]1'!$B$2:$D$37,2,0),"0000")</f>
        <v>0001</v>
      </c>
      <c r="G568" s="261" t="str">
        <f t="shared" si="87"/>
        <v>0060</v>
      </c>
      <c r="H568" s="408">
        <f t="shared" si="88"/>
        <v>2</v>
      </c>
      <c r="I568" s="407" t="s">
        <v>530</v>
      </c>
      <c r="J568" s="258" t="s">
        <v>828</v>
      </c>
      <c r="K568" s="258" t="s">
        <v>2714</v>
      </c>
      <c r="L568" s="258" t="s">
        <v>2169</v>
      </c>
      <c r="M568" s="409">
        <v>73230000</v>
      </c>
      <c r="N568" s="258">
        <v>3342</v>
      </c>
      <c r="O568" s="258" t="s">
        <v>77</v>
      </c>
      <c r="P568" s="258" t="s">
        <v>73</v>
      </c>
      <c r="Q568" s="258" t="s">
        <v>72</v>
      </c>
      <c r="R568" s="258">
        <v>5</v>
      </c>
      <c r="S568" s="410">
        <v>11</v>
      </c>
      <c r="T568" s="261">
        <v>6</v>
      </c>
      <c r="U568" s="261">
        <v>6</v>
      </c>
      <c r="V568" s="258" t="s">
        <v>3329</v>
      </c>
      <c r="W568" s="261" t="str">
        <f t="shared" si="90"/>
        <v>기아자동차K93.3T 그랜드 마스터즈73230000</v>
      </c>
      <c r="X568" s="411">
        <f t="shared" si="91"/>
        <v>4342</v>
      </c>
      <c r="Y568" s="261">
        <v>6</v>
      </c>
      <c r="Z568" s="261">
        <v>6</v>
      </c>
      <c r="AA568" s="407" t="s">
        <v>530</v>
      </c>
      <c r="AB568" s="258" t="s">
        <v>3330</v>
      </c>
      <c r="AC568" s="258"/>
      <c r="AD568" s="258" t="s">
        <v>2133</v>
      </c>
      <c r="AE568" s="258" t="s">
        <v>2129</v>
      </c>
      <c r="AF568" s="259"/>
      <c r="AG568" s="260"/>
      <c r="AH568" s="259"/>
      <c r="AI568" s="259"/>
      <c r="AJ568" s="260"/>
      <c r="AK568" s="259">
        <v>26</v>
      </c>
      <c r="AL568" s="259"/>
      <c r="AM568" s="259" t="s">
        <v>3232</v>
      </c>
      <c r="AN568" s="449"/>
      <c r="AO568" s="449"/>
      <c r="AP568" s="449"/>
      <c r="AQ568" s="392" t="str">
        <f>IFERROR(VLOOKUP(BG568,#REF!,1,0),"")</f>
        <v/>
      </c>
      <c r="AS568" s="259" t="s">
        <v>3232</v>
      </c>
      <c r="BD568" s="202" t="str">
        <f t="shared" si="83"/>
        <v>K93.3T 그랜드 마스터즈</v>
      </c>
      <c r="BE568" s="261" t="str">
        <f t="shared" si="89"/>
        <v>0060</v>
      </c>
      <c r="BF568" s="407" t="s">
        <v>530</v>
      </c>
      <c r="BG568" s="202" t="str">
        <f t="shared" si="84"/>
        <v>0060-0567</v>
      </c>
    </row>
    <row r="569" spans="1:59">
      <c r="A569" s="405">
        <v>4343</v>
      </c>
      <c r="B569" s="406">
        <v>4343</v>
      </c>
      <c r="C569" s="261" t="str">
        <f t="shared" si="85"/>
        <v>0001-0060</v>
      </c>
      <c r="D569" s="261" t="str">
        <f t="shared" si="86"/>
        <v>0001-0060-0003</v>
      </c>
      <c r="E569" s="407" t="s">
        <v>529</v>
      </c>
      <c r="F569" s="261" t="str">
        <f>TEXT(VLOOKUP(J569,'[3]1'!$B$2:$D$37,2,0),"0000")</f>
        <v>0001</v>
      </c>
      <c r="G569" s="261" t="str">
        <f t="shared" si="87"/>
        <v>0060</v>
      </c>
      <c r="H569" s="408">
        <f t="shared" si="88"/>
        <v>3</v>
      </c>
      <c r="I569" s="407" t="s">
        <v>529</v>
      </c>
      <c r="J569" s="258" t="s">
        <v>828</v>
      </c>
      <c r="K569" s="258" t="s">
        <v>2714</v>
      </c>
      <c r="L569" s="258" t="s">
        <v>2172</v>
      </c>
      <c r="M569" s="409">
        <v>65770000</v>
      </c>
      <c r="N569" s="258">
        <v>3342</v>
      </c>
      <c r="O569" s="258" t="s">
        <v>77</v>
      </c>
      <c r="P569" s="258" t="s">
        <v>73</v>
      </c>
      <c r="Q569" s="258" t="s">
        <v>72</v>
      </c>
      <c r="R569" s="258">
        <v>5</v>
      </c>
      <c r="S569" s="410">
        <v>11</v>
      </c>
      <c r="T569" s="261">
        <v>6</v>
      </c>
      <c r="U569" s="261">
        <v>6</v>
      </c>
      <c r="V569" s="258" t="s">
        <v>3329</v>
      </c>
      <c r="W569" s="261" t="str">
        <f t="shared" si="90"/>
        <v>기아자동차K93.3T 마스터즈65770000</v>
      </c>
      <c r="X569" s="411">
        <f t="shared" si="91"/>
        <v>4343</v>
      </c>
      <c r="Y569" s="261">
        <v>6</v>
      </c>
      <c r="Z569" s="261">
        <v>6</v>
      </c>
      <c r="AA569" s="407" t="s">
        <v>529</v>
      </c>
      <c r="AB569" s="258" t="s">
        <v>3330</v>
      </c>
      <c r="AC569" s="258"/>
      <c r="AD569" s="258" t="s">
        <v>2133</v>
      </c>
      <c r="AE569" s="258" t="s">
        <v>2129</v>
      </c>
      <c r="AF569" s="259"/>
      <c r="AG569" s="260"/>
      <c r="AH569" s="259"/>
      <c r="AI569" s="259"/>
      <c r="AJ569" s="260"/>
      <c r="AK569" s="259">
        <v>26</v>
      </c>
      <c r="AL569" s="259"/>
      <c r="AM569" s="259" t="s">
        <v>3232</v>
      </c>
      <c r="AN569" s="449"/>
      <c r="AO569" s="449"/>
      <c r="AP569" s="449"/>
      <c r="AQ569" s="392" t="str">
        <f>IFERROR(VLOOKUP(BG569,#REF!,1,0),"")</f>
        <v/>
      </c>
      <c r="AS569" s="259" t="s">
        <v>3232</v>
      </c>
      <c r="BD569" s="202" t="str">
        <f t="shared" si="83"/>
        <v>K93.3T 마스터즈</v>
      </c>
      <c r="BE569" s="261" t="str">
        <f t="shared" si="89"/>
        <v>0060</v>
      </c>
      <c r="BF569" s="407" t="s">
        <v>529</v>
      </c>
      <c r="BG569" s="202" t="str">
        <f t="shared" si="84"/>
        <v>0060-0568</v>
      </c>
    </row>
    <row r="570" spans="1:59">
      <c r="A570" s="405">
        <v>4344</v>
      </c>
      <c r="B570" s="406">
        <v>4344</v>
      </c>
      <c r="C570" s="261" t="str">
        <f t="shared" si="85"/>
        <v>0001-0060</v>
      </c>
      <c r="D570" s="261" t="str">
        <f t="shared" si="86"/>
        <v>0001-0060-0004</v>
      </c>
      <c r="E570" s="407" t="s">
        <v>528</v>
      </c>
      <c r="F570" s="261" t="str">
        <f>TEXT(VLOOKUP(J570,'[3]1'!$B$2:$D$37,2,0),"0000")</f>
        <v>0001</v>
      </c>
      <c r="G570" s="261" t="str">
        <f t="shared" si="87"/>
        <v>0060</v>
      </c>
      <c r="H570" s="408">
        <f t="shared" si="88"/>
        <v>4</v>
      </c>
      <c r="I570" s="407" t="s">
        <v>528</v>
      </c>
      <c r="J570" s="258" t="s">
        <v>828</v>
      </c>
      <c r="K570" s="258" t="s">
        <v>2714</v>
      </c>
      <c r="L570" s="258" t="s">
        <v>2167</v>
      </c>
      <c r="M570" s="409">
        <v>68520000</v>
      </c>
      <c r="N570" s="258">
        <v>3778</v>
      </c>
      <c r="O570" s="258" t="s">
        <v>77</v>
      </c>
      <c r="P570" s="258" t="s">
        <v>73</v>
      </c>
      <c r="Q570" s="258" t="s">
        <v>72</v>
      </c>
      <c r="R570" s="258">
        <v>5</v>
      </c>
      <c r="S570" s="410">
        <v>13</v>
      </c>
      <c r="T570" s="261">
        <v>6</v>
      </c>
      <c r="U570" s="261">
        <v>6</v>
      </c>
      <c r="V570" s="258" t="s">
        <v>3329</v>
      </c>
      <c r="W570" s="261" t="str">
        <f t="shared" si="90"/>
        <v>기아자동차K93.8 그랜드 플래티넘68520000</v>
      </c>
      <c r="X570" s="411">
        <f t="shared" si="91"/>
        <v>4344</v>
      </c>
      <c r="Y570" s="261">
        <v>6</v>
      </c>
      <c r="Z570" s="261">
        <v>6</v>
      </c>
      <c r="AA570" s="407" t="s">
        <v>528</v>
      </c>
      <c r="AB570" s="258" t="s">
        <v>3330</v>
      </c>
      <c r="AC570" s="258"/>
      <c r="AD570" s="258" t="s">
        <v>2133</v>
      </c>
      <c r="AE570" s="258" t="s">
        <v>2129</v>
      </c>
      <c r="AF570" s="259"/>
      <c r="AG570" s="260"/>
      <c r="AH570" s="259"/>
      <c r="AI570" s="259"/>
      <c r="AJ570" s="260"/>
      <c r="AK570" s="259">
        <v>26</v>
      </c>
      <c r="AL570" s="259"/>
      <c r="AM570" s="259" t="s">
        <v>3227</v>
      </c>
      <c r="AN570" s="449"/>
      <c r="AO570" s="449"/>
      <c r="AP570" s="449"/>
      <c r="AQ570" s="392" t="str">
        <f>IFERROR(VLOOKUP(BG570,#REF!,1,0),"")</f>
        <v/>
      </c>
      <c r="AS570" s="259" t="s">
        <v>3227</v>
      </c>
      <c r="BD570" s="202" t="str">
        <f t="shared" si="83"/>
        <v>K93.8 그랜드 플래티넘</v>
      </c>
      <c r="BE570" s="261" t="str">
        <f t="shared" si="89"/>
        <v>0060</v>
      </c>
      <c r="BF570" s="407" t="s">
        <v>528</v>
      </c>
      <c r="BG570" s="202" t="str">
        <f t="shared" si="84"/>
        <v>0060-0569</v>
      </c>
    </row>
    <row r="571" spans="1:59">
      <c r="A571" s="405">
        <v>4345</v>
      </c>
      <c r="B571" s="406">
        <v>4345</v>
      </c>
      <c r="C571" s="261" t="str">
        <f t="shared" si="85"/>
        <v>0001-0060</v>
      </c>
      <c r="D571" s="261" t="str">
        <f t="shared" si="86"/>
        <v>0001-0060-0005</v>
      </c>
      <c r="E571" s="407" t="s">
        <v>527</v>
      </c>
      <c r="F571" s="261" t="str">
        <f>TEXT(VLOOKUP(J571,'[3]1'!$B$2:$D$37,2,0),"0000")</f>
        <v>0001</v>
      </c>
      <c r="G571" s="261" t="str">
        <f t="shared" si="87"/>
        <v>0060</v>
      </c>
      <c r="H571" s="408">
        <f t="shared" si="88"/>
        <v>5</v>
      </c>
      <c r="I571" s="407" t="s">
        <v>527</v>
      </c>
      <c r="J571" s="258" t="s">
        <v>828</v>
      </c>
      <c r="K571" s="258" t="s">
        <v>2714</v>
      </c>
      <c r="L571" s="258" t="s">
        <v>2171</v>
      </c>
      <c r="M571" s="409">
        <v>60770000</v>
      </c>
      <c r="N571" s="258">
        <v>3778</v>
      </c>
      <c r="O571" s="258" t="s">
        <v>77</v>
      </c>
      <c r="P571" s="258" t="s">
        <v>73</v>
      </c>
      <c r="Q571" s="258" t="s">
        <v>72</v>
      </c>
      <c r="R571" s="258">
        <v>5</v>
      </c>
      <c r="S571" s="410">
        <v>13</v>
      </c>
      <c r="T571" s="261">
        <v>6</v>
      </c>
      <c r="U571" s="261">
        <v>6</v>
      </c>
      <c r="V571" s="258" t="s">
        <v>71</v>
      </c>
      <c r="W571" s="261" t="str">
        <f t="shared" si="90"/>
        <v>기아자동차K93.8 플래티넘 베스트셀렉션I60770000</v>
      </c>
      <c r="X571" s="411">
        <f t="shared" si="91"/>
        <v>4345</v>
      </c>
      <c r="Y571" s="261">
        <v>6</v>
      </c>
      <c r="Z571" s="261">
        <v>6</v>
      </c>
      <c r="AA571" s="407" t="s">
        <v>527</v>
      </c>
      <c r="AB571" s="258" t="s">
        <v>73</v>
      </c>
      <c r="AC571" s="258"/>
      <c r="AD571" s="258" t="s">
        <v>2135</v>
      </c>
      <c r="AE571" s="258" t="s">
        <v>2129</v>
      </c>
      <c r="AF571" s="259"/>
      <c r="AG571" s="260"/>
      <c r="AH571" s="259"/>
      <c r="AI571" s="259"/>
      <c r="AJ571" s="260"/>
      <c r="AK571" s="259">
        <v>26</v>
      </c>
      <c r="AL571" s="259"/>
      <c r="AM571" s="259" t="s">
        <v>3227</v>
      </c>
      <c r="AN571" s="449"/>
      <c r="AO571" s="449"/>
      <c r="AP571" s="449"/>
      <c r="AQ571" s="392" t="str">
        <f>IFERROR(VLOOKUP(BG571,#REF!,1,0),"")</f>
        <v/>
      </c>
      <c r="AS571" s="259" t="s">
        <v>3227</v>
      </c>
      <c r="BD571" s="202" t="str">
        <f t="shared" si="83"/>
        <v>K93.8 플래티넘 베스트셀렉션I</v>
      </c>
      <c r="BE571" s="261" t="str">
        <f t="shared" si="89"/>
        <v>0060</v>
      </c>
      <c r="BF571" s="407" t="s">
        <v>527</v>
      </c>
      <c r="BG571" s="202" t="str">
        <f t="shared" si="84"/>
        <v>0060-0570</v>
      </c>
    </row>
    <row r="572" spans="1:59">
      <c r="A572" s="405">
        <v>4346</v>
      </c>
      <c r="B572" s="406">
        <v>4346</v>
      </c>
      <c r="C572" s="261" t="str">
        <f t="shared" si="85"/>
        <v>0001-0060</v>
      </c>
      <c r="D572" s="261" t="str">
        <f t="shared" si="86"/>
        <v>0001-0060-0006</v>
      </c>
      <c r="E572" s="407" t="s">
        <v>526</v>
      </c>
      <c r="F572" s="261" t="str">
        <f>TEXT(VLOOKUP(J572,'[3]1'!$B$2:$D$37,2,0),"0000")</f>
        <v>0001</v>
      </c>
      <c r="G572" s="261" t="str">
        <f t="shared" si="87"/>
        <v>0060</v>
      </c>
      <c r="H572" s="408">
        <f t="shared" si="88"/>
        <v>6</v>
      </c>
      <c r="I572" s="407" t="s">
        <v>526</v>
      </c>
      <c r="J572" s="258" t="s">
        <v>828</v>
      </c>
      <c r="K572" s="258" t="s">
        <v>2714</v>
      </c>
      <c r="L572" s="258" t="s">
        <v>2173</v>
      </c>
      <c r="M572" s="409">
        <v>54780000</v>
      </c>
      <c r="N572" s="258">
        <v>3778</v>
      </c>
      <c r="O572" s="258" t="s">
        <v>77</v>
      </c>
      <c r="P572" s="258" t="s">
        <v>73</v>
      </c>
      <c r="Q572" s="258" t="s">
        <v>72</v>
      </c>
      <c r="R572" s="258">
        <v>5</v>
      </c>
      <c r="S572" s="410">
        <v>13</v>
      </c>
      <c r="T572" s="261">
        <v>6</v>
      </c>
      <c r="U572" s="261">
        <v>6</v>
      </c>
      <c r="V572" s="258" t="s">
        <v>3329</v>
      </c>
      <c r="W572" s="261" t="str">
        <f t="shared" si="90"/>
        <v>기아자동차K93.8 플래티넘54780000</v>
      </c>
      <c r="X572" s="411">
        <f t="shared" si="91"/>
        <v>4346</v>
      </c>
      <c r="Y572" s="261">
        <v>6</v>
      </c>
      <c r="Z572" s="261">
        <v>6</v>
      </c>
      <c r="AA572" s="407" t="s">
        <v>526</v>
      </c>
      <c r="AB572" s="258" t="s">
        <v>3330</v>
      </c>
      <c r="AC572" s="258"/>
      <c r="AD572" s="258" t="s">
        <v>2135</v>
      </c>
      <c r="AE572" s="258" t="s">
        <v>2129</v>
      </c>
      <c r="AF572" s="259"/>
      <c r="AG572" s="260"/>
      <c r="AH572" s="259"/>
      <c r="AI572" s="259"/>
      <c r="AJ572" s="260"/>
      <c r="AK572" s="259">
        <v>26</v>
      </c>
      <c r="AL572" s="259"/>
      <c r="AM572" s="259" t="s">
        <v>3227</v>
      </c>
      <c r="AN572" s="449"/>
      <c r="AO572" s="449"/>
      <c r="AP572" s="449"/>
      <c r="AQ572" s="392" t="str">
        <f>IFERROR(VLOOKUP(BG572,#REF!,1,0),"")</f>
        <v/>
      </c>
      <c r="AS572" s="259" t="s">
        <v>3227</v>
      </c>
      <c r="BD572" s="202" t="str">
        <f t="shared" si="83"/>
        <v>K93.8 플래티넘</v>
      </c>
      <c r="BE572" s="261" t="str">
        <f t="shared" si="89"/>
        <v>0060</v>
      </c>
      <c r="BF572" s="407" t="s">
        <v>526</v>
      </c>
      <c r="BG572" s="202" t="str">
        <f t="shared" si="84"/>
        <v>0060-0571</v>
      </c>
    </row>
    <row r="573" spans="1:59">
      <c r="A573" s="405">
        <v>4347</v>
      </c>
      <c r="B573" s="406">
        <v>4347</v>
      </c>
      <c r="C573" s="261" t="str">
        <f t="shared" si="85"/>
        <v>0001-0060</v>
      </c>
      <c r="D573" s="261" t="str">
        <f t="shared" si="86"/>
        <v>0001-0060-0007</v>
      </c>
      <c r="E573" s="407" t="s">
        <v>525</v>
      </c>
      <c r="F573" s="261" t="str">
        <f>TEXT(VLOOKUP(J573,'[3]1'!$B$2:$D$37,2,0),"0000")</f>
        <v>0001</v>
      </c>
      <c r="G573" s="261" t="str">
        <f t="shared" si="87"/>
        <v>0060</v>
      </c>
      <c r="H573" s="408">
        <f t="shared" si="88"/>
        <v>7</v>
      </c>
      <c r="I573" s="407" t="s">
        <v>525</v>
      </c>
      <c r="J573" s="258" t="s">
        <v>828</v>
      </c>
      <c r="K573" s="258" t="s">
        <v>2714</v>
      </c>
      <c r="L573" s="258" t="s">
        <v>2174</v>
      </c>
      <c r="M573" s="409">
        <v>76420000</v>
      </c>
      <c r="N573" s="258">
        <v>3778</v>
      </c>
      <c r="O573" s="258" t="s">
        <v>77</v>
      </c>
      <c r="P573" s="258" t="s">
        <v>73</v>
      </c>
      <c r="Q573" s="258" t="s">
        <v>72</v>
      </c>
      <c r="R573" s="258">
        <v>5</v>
      </c>
      <c r="S573" s="410">
        <v>13</v>
      </c>
      <c r="T573" s="261">
        <v>6</v>
      </c>
      <c r="U573" s="261">
        <v>6</v>
      </c>
      <c r="V573" s="258" t="s">
        <v>3329</v>
      </c>
      <c r="W573" s="261" t="str">
        <f t="shared" si="90"/>
        <v>기아자동차K93.8 그랜드 플래티넘 베스트셀렉션II76420000</v>
      </c>
      <c r="X573" s="411">
        <f t="shared" si="91"/>
        <v>4347</v>
      </c>
      <c r="Y573" s="261">
        <v>6</v>
      </c>
      <c r="Z573" s="261">
        <v>6</v>
      </c>
      <c r="AA573" s="407" t="s">
        <v>525</v>
      </c>
      <c r="AB573" s="258" t="s">
        <v>3330</v>
      </c>
      <c r="AC573" s="258"/>
      <c r="AD573" s="258" t="s">
        <v>2133</v>
      </c>
      <c r="AE573" s="258" t="s">
        <v>2129</v>
      </c>
      <c r="AF573" s="259"/>
      <c r="AG573" s="260"/>
      <c r="AH573" s="259"/>
      <c r="AI573" s="259"/>
      <c r="AJ573" s="260"/>
      <c r="AK573" s="259">
        <v>26</v>
      </c>
      <c r="AL573" s="259"/>
      <c r="AM573" s="259" t="s">
        <v>3227</v>
      </c>
      <c r="AN573" s="449"/>
      <c r="AO573" s="449"/>
      <c r="AP573" s="449"/>
      <c r="AQ573" s="392" t="str">
        <f>IFERROR(VLOOKUP(BG573,#REF!,1,0),"")</f>
        <v/>
      </c>
      <c r="AS573" s="259" t="s">
        <v>3227</v>
      </c>
      <c r="BD573" s="202" t="str">
        <f t="shared" si="83"/>
        <v>K93.8 그랜드 플래티넘 베스트셀렉션II</v>
      </c>
      <c r="BE573" s="261" t="str">
        <f t="shared" si="89"/>
        <v>0060</v>
      </c>
      <c r="BF573" s="407" t="s">
        <v>525</v>
      </c>
      <c r="BG573" s="202" t="str">
        <f t="shared" si="84"/>
        <v>0060-0572</v>
      </c>
    </row>
    <row r="574" spans="1:59">
      <c r="A574" s="405">
        <v>4348</v>
      </c>
      <c r="B574" s="406">
        <v>4348</v>
      </c>
      <c r="C574" s="261" t="str">
        <f t="shared" si="85"/>
        <v>0001-0060</v>
      </c>
      <c r="D574" s="261" t="str">
        <f t="shared" si="86"/>
        <v>0001-0060-0008</v>
      </c>
      <c r="E574" s="407" t="s">
        <v>524</v>
      </c>
      <c r="F574" s="261" t="str">
        <f>TEXT(VLOOKUP(J574,'[3]1'!$B$2:$D$37,2,0),"0000")</f>
        <v>0001</v>
      </c>
      <c r="G574" s="261" t="str">
        <f t="shared" si="87"/>
        <v>0060</v>
      </c>
      <c r="H574" s="408">
        <f t="shared" si="88"/>
        <v>8</v>
      </c>
      <c r="I574" s="407" t="s">
        <v>524</v>
      </c>
      <c r="J574" s="258" t="s">
        <v>828</v>
      </c>
      <c r="K574" s="258" t="s">
        <v>2714</v>
      </c>
      <c r="L574" s="258" t="s">
        <v>2170</v>
      </c>
      <c r="M574" s="409">
        <v>92030000</v>
      </c>
      <c r="N574" s="258">
        <v>5038</v>
      </c>
      <c r="O574" s="258" t="s">
        <v>77</v>
      </c>
      <c r="P574" s="258" t="s">
        <v>73</v>
      </c>
      <c r="Q574" s="258" t="s">
        <v>72</v>
      </c>
      <c r="R574" s="258">
        <v>5</v>
      </c>
      <c r="S574" s="410">
        <v>20</v>
      </c>
      <c r="T574" s="261">
        <v>6</v>
      </c>
      <c r="U574" s="261">
        <v>6</v>
      </c>
      <c r="V574" s="258" t="s">
        <v>3329</v>
      </c>
      <c r="W574" s="261" t="str">
        <f t="shared" si="90"/>
        <v>기아자동차K95.0 퀀텀92030000</v>
      </c>
      <c r="X574" s="411">
        <f t="shared" si="91"/>
        <v>4348</v>
      </c>
      <c r="Y574" s="261">
        <v>6</v>
      </c>
      <c r="Z574" s="261">
        <v>6</v>
      </c>
      <c r="AA574" s="407" t="s">
        <v>524</v>
      </c>
      <c r="AB574" s="258" t="s">
        <v>3330</v>
      </c>
      <c r="AC574" s="258"/>
      <c r="AD574" s="258" t="s">
        <v>2134</v>
      </c>
      <c r="AE574" s="258" t="s">
        <v>2129</v>
      </c>
      <c r="AF574" s="259"/>
      <c r="AG574" s="260"/>
      <c r="AH574" s="259"/>
      <c r="AI574" s="259"/>
      <c r="AJ574" s="260"/>
      <c r="AK574" s="259">
        <v>26</v>
      </c>
      <c r="AL574" s="259"/>
      <c r="AM574" s="259" t="s">
        <v>3234</v>
      </c>
      <c r="AN574" s="449"/>
      <c r="AO574" s="449"/>
      <c r="AP574" s="449"/>
      <c r="AQ574" s="392" t="str">
        <f>IFERROR(VLOOKUP(BG574,#REF!,1,0),"")</f>
        <v/>
      </c>
      <c r="AS574" s="259" t="s">
        <v>3234</v>
      </c>
      <c r="BD574" s="202" t="str">
        <f t="shared" si="83"/>
        <v>K95.0 퀀텀</v>
      </c>
      <c r="BE574" s="261" t="str">
        <f t="shared" si="89"/>
        <v>0060</v>
      </c>
      <c r="BF574" s="407" t="s">
        <v>524</v>
      </c>
      <c r="BG574" s="202" t="str">
        <f t="shared" si="84"/>
        <v>0060-0573</v>
      </c>
    </row>
    <row r="575" spans="1:59">
      <c r="A575" s="405">
        <v>4349</v>
      </c>
      <c r="B575" s="406">
        <v>4349</v>
      </c>
      <c r="C575" s="261" t="str">
        <f t="shared" si="85"/>
        <v>0001-0061</v>
      </c>
      <c r="D575" s="261" t="str">
        <f t="shared" si="86"/>
        <v>0001-0061-0001</v>
      </c>
      <c r="E575" s="407" t="s">
        <v>523</v>
      </c>
      <c r="F575" s="261" t="str">
        <f>TEXT(VLOOKUP(J575,'[3]1'!$B$2:$D$37,2,0),"0000")</f>
        <v>0001</v>
      </c>
      <c r="G575" s="261" t="str">
        <f t="shared" si="87"/>
        <v>0061</v>
      </c>
      <c r="H575" s="408">
        <f t="shared" si="88"/>
        <v>1</v>
      </c>
      <c r="I575" s="407" t="s">
        <v>523</v>
      </c>
      <c r="J575" s="258" t="s">
        <v>828</v>
      </c>
      <c r="K575" s="258" t="s">
        <v>2715</v>
      </c>
      <c r="L575" s="258" t="s">
        <v>2175</v>
      </c>
      <c r="M575" s="409">
        <v>29270000</v>
      </c>
      <c r="N575" s="258">
        <v>1580</v>
      </c>
      <c r="O575" s="258" t="s">
        <v>74</v>
      </c>
      <c r="P575" s="258" t="s">
        <v>73</v>
      </c>
      <c r="Q575" s="258" t="s">
        <v>72</v>
      </c>
      <c r="R575" s="258">
        <v>5</v>
      </c>
      <c r="S575" s="410">
        <v>13</v>
      </c>
      <c r="T575" s="261">
        <v>6</v>
      </c>
      <c r="U575" s="261">
        <v>6</v>
      </c>
      <c r="V575" s="258" t="s">
        <v>1914</v>
      </c>
      <c r="W575" s="261" t="str">
        <f t="shared" si="90"/>
        <v>기아자동차니로1.6 HEV 노블레스29270000</v>
      </c>
      <c r="X575" s="411">
        <f t="shared" si="91"/>
        <v>4349</v>
      </c>
      <c r="Y575" s="261">
        <v>6</v>
      </c>
      <c r="Z575" s="261">
        <v>6</v>
      </c>
      <c r="AA575" s="407" t="s">
        <v>523</v>
      </c>
      <c r="AB575" s="258" t="s">
        <v>3330</v>
      </c>
      <c r="AC575" s="258"/>
      <c r="AD575" s="258" t="s">
        <v>2132</v>
      </c>
      <c r="AE575" s="258" t="s">
        <v>2129</v>
      </c>
      <c r="AF575" s="259"/>
      <c r="AG575" s="260"/>
      <c r="AH575" s="259"/>
      <c r="AI575" s="259"/>
      <c r="AJ575" s="260"/>
      <c r="AK575" s="259">
        <v>26</v>
      </c>
      <c r="AL575" s="259"/>
      <c r="AM575" s="259" t="s">
        <v>3227</v>
      </c>
      <c r="AN575" s="449"/>
      <c r="AO575" s="449"/>
      <c r="AP575" s="449"/>
      <c r="AQ575" s="392" t="str">
        <f>IFERROR(VLOOKUP(BG575,#REF!,1,0),"")</f>
        <v/>
      </c>
      <c r="AS575" s="259" t="s">
        <v>3227</v>
      </c>
      <c r="BD575" s="202" t="str">
        <f t="shared" si="83"/>
        <v>니로1.6 HEV 노블레스</v>
      </c>
      <c r="BE575" s="261" t="str">
        <f t="shared" si="89"/>
        <v>0061</v>
      </c>
      <c r="BF575" s="407" t="s">
        <v>523</v>
      </c>
      <c r="BG575" s="202" t="str">
        <f t="shared" si="84"/>
        <v>0061-0574</v>
      </c>
    </row>
    <row r="576" spans="1:59">
      <c r="A576" s="405">
        <v>4350</v>
      </c>
      <c r="B576" s="406">
        <v>4350</v>
      </c>
      <c r="C576" s="261" t="str">
        <f t="shared" si="85"/>
        <v>0001-0061</v>
      </c>
      <c r="D576" s="261" t="str">
        <f t="shared" si="86"/>
        <v>0001-0061-0002</v>
      </c>
      <c r="E576" s="407" t="s">
        <v>522</v>
      </c>
      <c r="F576" s="261" t="str">
        <f>TEXT(VLOOKUP(J576,'[3]1'!$B$2:$D$37,2,0),"0000")</f>
        <v>0001</v>
      </c>
      <c r="G576" s="261" t="str">
        <f t="shared" si="87"/>
        <v>0061</v>
      </c>
      <c r="H576" s="408">
        <f t="shared" si="88"/>
        <v>2</v>
      </c>
      <c r="I576" s="407" t="s">
        <v>522</v>
      </c>
      <c r="J576" s="258" t="s">
        <v>828</v>
      </c>
      <c r="K576" s="258" t="s">
        <v>2715</v>
      </c>
      <c r="L576" s="258" t="s">
        <v>2176</v>
      </c>
      <c r="M576" s="409">
        <v>31300000</v>
      </c>
      <c r="N576" s="258">
        <v>1580</v>
      </c>
      <c r="O576" s="258" t="s">
        <v>74</v>
      </c>
      <c r="P576" s="258" t="s">
        <v>73</v>
      </c>
      <c r="Q576" s="258" t="s">
        <v>72</v>
      </c>
      <c r="R576" s="258">
        <v>5</v>
      </c>
      <c r="S576" s="410">
        <v>13</v>
      </c>
      <c r="T576" s="261">
        <v>6</v>
      </c>
      <c r="U576" s="261">
        <v>6</v>
      </c>
      <c r="V576" s="258" t="s">
        <v>1914</v>
      </c>
      <c r="W576" s="261" t="str">
        <f t="shared" si="90"/>
        <v>기아자동차니로1.6 HEV 노블레스 스페셜31300000</v>
      </c>
      <c r="X576" s="411">
        <f t="shared" si="91"/>
        <v>4350</v>
      </c>
      <c r="Y576" s="261">
        <v>6</v>
      </c>
      <c r="Z576" s="261">
        <v>6</v>
      </c>
      <c r="AA576" s="407" t="s">
        <v>522</v>
      </c>
      <c r="AB576" s="258" t="s">
        <v>3330</v>
      </c>
      <c r="AC576" s="258"/>
      <c r="AD576" s="258" t="s">
        <v>2132</v>
      </c>
      <c r="AE576" s="258" t="s">
        <v>2129</v>
      </c>
      <c r="AF576" s="259"/>
      <c r="AG576" s="260"/>
      <c r="AH576" s="259"/>
      <c r="AI576" s="259"/>
      <c r="AJ576" s="260"/>
      <c r="AK576" s="259">
        <v>26</v>
      </c>
      <c r="AL576" s="259"/>
      <c r="AM576" s="259" t="s">
        <v>3227</v>
      </c>
      <c r="AN576" s="449"/>
      <c r="AO576" s="449"/>
      <c r="AP576" s="449"/>
      <c r="AQ576" s="392" t="str">
        <f>IFERROR(VLOOKUP(BG576,#REF!,1,0),"")</f>
        <v/>
      </c>
      <c r="AS576" s="259" t="s">
        <v>3227</v>
      </c>
      <c r="BD576" s="202" t="str">
        <f t="shared" si="83"/>
        <v>니로1.6 HEV 노블레스 스페셜</v>
      </c>
      <c r="BE576" s="261" t="str">
        <f t="shared" si="89"/>
        <v>0061</v>
      </c>
      <c r="BF576" s="407" t="s">
        <v>522</v>
      </c>
      <c r="BG576" s="202" t="str">
        <f t="shared" si="84"/>
        <v>0061-0575</v>
      </c>
    </row>
    <row r="577" spans="1:59">
      <c r="A577" s="405">
        <v>4351</v>
      </c>
      <c r="B577" s="406">
        <v>4351</v>
      </c>
      <c r="C577" s="261" t="str">
        <f t="shared" si="85"/>
        <v>0001-0061</v>
      </c>
      <c r="D577" s="261" t="str">
        <f t="shared" si="86"/>
        <v>0001-0061-0003</v>
      </c>
      <c r="E577" s="407" t="s">
        <v>521</v>
      </c>
      <c r="F577" s="261" t="str">
        <f>TEXT(VLOOKUP(J577,'[3]1'!$B$2:$D$37,2,0),"0000")</f>
        <v>0001</v>
      </c>
      <c r="G577" s="261" t="str">
        <f t="shared" si="87"/>
        <v>0061</v>
      </c>
      <c r="H577" s="408">
        <f t="shared" si="88"/>
        <v>3</v>
      </c>
      <c r="I577" s="407" t="s">
        <v>521</v>
      </c>
      <c r="J577" s="258" t="s">
        <v>828</v>
      </c>
      <c r="K577" s="258" t="s">
        <v>2715</v>
      </c>
      <c r="L577" s="258" t="s">
        <v>2177</v>
      </c>
      <c r="M577" s="409">
        <v>25300000</v>
      </c>
      <c r="N577" s="258">
        <v>1580</v>
      </c>
      <c r="O577" s="258" t="s">
        <v>74</v>
      </c>
      <c r="P577" s="258" t="s">
        <v>73</v>
      </c>
      <c r="Q577" s="258" t="s">
        <v>72</v>
      </c>
      <c r="R577" s="258">
        <v>5</v>
      </c>
      <c r="S577" s="410">
        <v>13</v>
      </c>
      <c r="T577" s="261">
        <v>6</v>
      </c>
      <c r="U577" s="261">
        <v>6</v>
      </c>
      <c r="V577" s="258" t="s">
        <v>1914</v>
      </c>
      <c r="W577" s="261" t="str">
        <f t="shared" si="90"/>
        <v>기아자동차니로1.6 HEV  럭셔리25300000</v>
      </c>
      <c r="X577" s="411">
        <f t="shared" si="91"/>
        <v>4351</v>
      </c>
      <c r="Y577" s="261">
        <v>6</v>
      </c>
      <c r="Z577" s="261">
        <v>6</v>
      </c>
      <c r="AA577" s="407" t="s">
        <v>521</v>
      </c>
      <c r="AB577" s="258" t="s">
        <v>3330</v>
      </c>
      <c r="AC577" s="258"/>
      <c r="AD577" s="258" t="s">
        <v>2132</v>
      </c>
      <c r="AE577" s="258" t="s">
        <v>2129</v>
      </c>
      <c r="AF577" s="259"/>
      <c r="AG577" s="260"/>
      <c r="AH577" s="259"/>
      <c r="AI577" s="259"/>
      <c r="AJ577" s="260"/>
      <c r="AK577" s="259">
        <v>26</v>
      </c>
      <c r="AL577" s="259"/>
      <c r="AM577" s="259" t="s">
        <v>3227</v>
      </c>
      <c r="AN577" s="449"/>
      <c r="AO577" s="449"/>
      <c r="AP577" s="449"/>
      <c r="AQ577" s="392" t="str">
        <f>IFERROR(VLOOKUP(BG577,#REF!,1,0),"")</f>
        <v/>
      </c>
      <c r="AS577" s="259" t="s">
        <v>3227</v>
      </c>
      <c r="BD577" s="202" t="str">
        <f t="shared" si="83"/>
        <v>니로1.6 HEV  럭셔리</v>
      </c>
      <c r="BE577" s="261" t="str">
        <f t="shared" si="89"/>
        <v>0061</v>
      </c>
      <c r="BF577" s="407" t="s">
        <v>521</v>
      </c>
      <c r="BG577" s="202" t="str">
        <f t="shared" si="84"/>
        <v>0061-0576</v>
      </c>
    </row>
    <row r="578" spans="1:59">
      <c r="A578" s="405">
        <v>4352</v>
      </c>
      <c r="B578" s="406">
        <v>4352</v>
      </c>
      <c r="C578" s="261" t="str">
        <f t="shared" si="85"/>
        <v>0001-0061</v>
      </c>
      <c r="D578" s="261" t="str">
        <f t="shared" si="86"/>
        <v>0001-0061-0004</v>
      </c>
      <c r="E578" s="407" t="s">
        <v>520</v>
      </c>
      <c r="F578" s="261" t="str">
        <f>TEXT(VLOOKUP(J578,'[3]1'!$B$2:$D$37,2,0),"0000")</f>
        <v>0001</v>
      </c>
      <c r="G578" s="261" t="str">
        <f t="shared" si="87"/>
        <v>0061</v>
      </c>
      <c r="H578" s="408">
        <f t="shared" si="88"/>
        <v>4</v>
      </c>
      <c r="I578" s="407" t="s">
        <v>520</v>
      </c>
      <c r="J578" s="258" t="s">
        <v>828</v>
      </c>
      <c r="K578" s="258" t="s">
        <v>2715</v>
      </c>
      <c r="L578" s="258" t="s">
        <v>2178</v>
      </c>
      <c r="M578" s="409">
        <v>27080000</v>
      </c>
      <c r="N578" s="258">
        <v>1580</v>
      </c>
      <c r="O578" s="258" t="s">
        <v>74</v>
      </c>
      <c r="P578" s="258" t="s">
        <v>73</v>
      </c>
      <c r="Q578" s="258" t="s">
        <v>72</v>
      </c>
      <c r="R578" s="258">
        <v>5</v>
      </c>
      <c r="S578" s="410">
        <v>13</v>
      </c>
      <c r="T578" s="261">
        <v>6</v>
      </c>
      <c r="U578" s="261">
        <v>6</v>
      </c>
      <c r="V578" s="258" t="s">
        <v>1914</v>
      </c>
      <c r="W578" s="261" t="str">
        <f t="shared" si="90"/>
        <v>기아자동차니로1.6 HEV 프레스티지27080000</v>
      </c>
      <c r="X578" s="411">
        <f t="shared" si="91"/>
        <v>4352</v>
      </c>
      <c r="Y578" s="261">
        <v>6</v>
      </c>
      <c r="Z578" s="261">
        <v>6</v>
      </c>
      <c r="AA578" s="407" t="s">
        <v>520</v>
      </c>
      <c r="AB578" s="258" t="s">
        <v>3330</v>
      </c>
      <c r="AC578" s="258"/>
      <c r="AD578" s="258" t="s">
        <v>2132</v>
      </c>
      <c r="AE578" s="258" t="s">
        <v>2129</v>
      </c>
      <c r="AF578" s="259"/>
      <c r="AG578" s="260"/>
      <c r="AH578" s="259"/>
      <c r="AI578" s="259"/>
      <c r="AJ578" s="260"/>
      <c r="AK578" s="259">
        <v>26</v>
      </c>
      <c r="AL578" s="259"/>
      <c r="AM578" s="259" t="s">
        <v>3227</v>
      </c>
      <c r="AN578" s="449"/>
      <c r="AO578" s="449"/>
      <c r="AP578" s="449"/>
      <c r="AQ578" s="392" t="str">
        <f>IFERROR(VLOOKUP(BG578,#REF!,1,0),"")</f>
        <v/>
      </c>
      <c r="AS578" s="259" t="s">
        <v>3227</v>
      </c>
      <c r="BD578" s="202" t="str">
        <f t="shared" si="83"/>
        <v>니로1.6 HEV 프레스티지</v>
      </c>
      <c r="BE578" s="261" t="str">
        <f t="shared" si="89"/>
        <v>0061</v>
      </c>
      <c r="BF578" s="407" t="s">
        <v>520</v>
      </c>
      <c r="BG578" s="202" t="str">
        <f t="shared" si="84"/>
        <v>0061-0577</v>
      </c>
    </row>
    <row r="579" spans="1:59">
      <c r="A579" s="405">
        <v>4353</v>
      </c>
      <c r="B579" s="406">
        <v>4353</v>
      </c>
      <c r="C579" s="261" t="str">
        <f t="shared" si="85"/>
        <v>0001-0062</v>
      </c>
      <c r="D579" s="261" t="str">
        <f t="shared" si="86"/>
        <v>0001-0062-0001</v>
      </c>
      <c r="E579" s="407" t="s">
        <v>519</v>
      </c>
      <c r="F579" s="261" t="str">
        <f>TEXT(VLOOKUP(J579,'[3]1'!$B$2:$D$37,2,0),"0000")</f>
        <v>0001</v>
      </c>
      <c r="G579" s="261" t="str">
        <f t="shared" si="87"/>
        <v>0062</v>
      </c>
      <c r="H579" s="408">
        <f t="shared" si="88"/>
        <v>1</v>
      </c>
      <c r="I579" s="407" t="s">
        <v>519</v>
      </c>
      <c r="J579" s="258" t="s">
        <v>828</v>
      </c>
      <c r="K579" s="258" t="s">
        <v>2716</v>
      </c>
      <c r="L579" s="258" t="s">
        <v>2179</v>
      </c>
      <c r="M579" s="409">
        <v>14700000</v>
      </c>
      <c r="N579" s="258">
        <v>998</v>
      </c>
      <c r="O579" s="258" t="s">
        <v>77</v>
      </c>
      <c r="P579" s="258" t="s">
        <v>73</v>
      </c>
      <c r="Q579" s="258" t="s">
        <v>72</v>
      </c>
      <c r="R579" s="258">
        <v>5</v>
      </c>
      <c r="S579" s="410">
        <v>6</v>
      </c>
      <c r="T579" s="261">
        <v>6</v>
      </c>
      <c r="U579" s="261">
        <v>6</v>
      </c>
      <c r="V579" s="258" t="s">
        <v>3329</v>
      </c>
      <c r="W579" s="261" t="str">
        <f t="shared" si="90"/>
        <v>기아자동차레이1.0 프레스티지14700000</v>
      </c>
      <c r="X579" s="411">
        <f t="shared" si="91"/>
        <v>4353</v>
      </c>
      <c r="Y579" s="261">
        <v>6</v>
      </c>
      <c r="Z579" s="261">
        <v>6</v>
      </c>
      <c r="AA579" s="407" t="s">
        <v>519</v>
      </c>
      <c r="AB579" s="258" t="s">
        <v>3330</v>
      </c>
      <c r="AC579" s="258"/>
      <c r="AD579" s="258" t="s">
        <v>2132</v>
      </c>
      <c r="AE579" s="258" t="s">
        <v>2129</v>
      </c>
      <c r="AF579" s="259"/>
      <c r="AG579" s="260"/>
      <c r="AH579" s="259"/>
      <c r="AI579" s="259"/>
      <c r="AJ579" s="260"/>
      <c r="AK579" s="259">
        <v>26</v>
      </c>
      <c r="AL579" s="259"/>
      <c r="AM579" s="259" t="s">
        <v>150</v>
      </c>
      <c r="AN579" s="449"/>
      <c r="AO579" s="449"/>
      <c r="AP579" s="449"/>
      <c r="AQ579" s="392" t="str">
        <f>IFERROR(VLOOKUP(BG579,#REF!,1,0),"")</f>
        <v/>
      </c>
      <c r="AS579" s="259" t="s">
        <v>150</v>
      </c>
      <c r="BD579" s="202" t="str">
        <f t="shared" si="83"/>
        <v>레이1.0 프레스티지</v>
      </c>
      <c r="BE579" s="261" t="str">
        <f t="shared" si="89"/>
        <v>0062</v>
      </c>
      <c r="BF579" s="407" t="s">
        <v>519</v>
      </c>
      <c r="BG579" s="202" t="str">
        <f t="shared" si="84"/>
        <v>0062-0578</v>
      </c>
    </row>
    <row r="580" spans="1:59">
      <c r="A580" s="405">
        <v>4354</v>
      </c>
      <c r="B580" s="406">
        <v>4354</v>
      </c>
      <c r="C580" s="261" t="str">
        <f t="shared" si="85"/>
        <v>0001-0062</v>
      </c>
      <c r="D580" s="261" t="str">
        <f t="shared" si="86"/>
        <v>0001-0062-0002</v>
      </c>
      <c r="E580" s="407" t="s">
        <v>518</v>
      </c>
      <c r="F580" s="261" t="str">
        <f>TEXT(VLOOKUP(J580,'[3]1'!$B$2:$D$37,2,0),"0000")</f>
        <v>0001</v>
      </c>
      <c r="G580" s="261" t="str">
        <f t="shared" si="87"/>
        <v>0062</v>
      </c>
      <c r="H580" s="408">
        <f t="shared" si="88"/>
        <v>2</v>
      </c>
      <c r="I580" s="407" t="s">
        <v>518</v>
      </c>
      <c r="J580" s="258" t="s">
        <v>828</v>
      </c>
      <c r="K580" s="258" t="s">
        <v>2716</v>
      </c>
      <c r="L580" s="258" t="s">
        <v>2180</v>
      </c>
      <c r="M580" s="409">
        <v>15700000</v>
      </c>
      <c r="N580" s="258">
        <v>998</v>
      </c>
      <c r="O580" s="258" t="s">
        <v>77</v>
      </c>
      <c r="P580" s="258" t="s">
        <v>73</v>
      </c>
      <c r="Q580" s="258" t="s">
        <v>72</v>
      </c>
      <c r="R580" s="258">
        <v>5</v>
      </c>
      <c r="S580" s="410">
        <v>6</v>
      </c>
      <c r="T580" s="261">
        <v>6</v>
      </c>
      <c r="U580" s="261">
        <v>6</v>
      </c>
      <c r="V580" s="258" t="s">
        <v>71</v>
      </c>
      <c r="W580" s="261" t="str">
        <f t="shared" si="90"/>
        <v>기아자동차레이1.0 시그니처15700000</v>
      </c>
      <c r="X580" s="411">
        <f t="shared" si="91"/>
        <v>4354</v>
      </c>
      <c r="Y580" s="261">
        <v>6</v>
      </c>
      <c r="Z580" s="261">
        <v>6</v>
      </c>
      <c r="AA580" s="407" t="s">
        <v>518</v>
      </c>
      <c r="AB580" s="258" t="s">
        <v>73</v>
      </c>
      <c r="AC580" s="258"/>
      <c r="AD580" s="258" t="s">
        <v>2132</v>
      </c>
      <c r="AE580" s="258" t="s">
        <v>2129</v>
      </c>
      <c r="AF580" s="259"/>
      <c r="AG580" s="260"/>
      <c r="AH580" s="259"/>
      <c r="AI580" s="259"/>
      <c r="AJ580" s="260"/>
      <c r="AK580" s="259">
        <v>26</v>
      </c>
      <c r="AL580" s="259"/>
      <c r="AM580" s="259" t="s">
        <v>150</v>
      </c>
      <c r="AN580" s="449"/>
      <c r="AO580" s="449"/>
      <c r="AP580" s="449"/>
      <c r="AQ580" s="392" t="str">
        <f>IFERROR(VLOOKUP(BG580,#REF!,1,0),"")</f>
        <v/>
      </c>
      <c r="AS580" s="259" t="s">
        <v>150</v>
      </c>
      <c r="BD580" s="202" t="str">
        <f t="shared" si="83"/>
        <v>레이1.0 시그니처</v>
      </c>
      <c r="BE580" s="261" t="str">
        <f t="shared" si="89"/>
        <v>0062</v>
      </c>
      <c r="BF580" s="407" t="s">
        <v>518</v>
      </c>
      <c r="BG580" s="202" t="str">
        <f t="shared" si="84"/>
        <v>0062-0579</v>
      </c>
    </row>
    <row r="581" spans="1:59">
      <c r="A581" s="405">
        <v>4355</v>
      </c>
      <c r="B581" s="406">
        <v>4355</v>
      </c>
      <c r="C581" s="261" t="str">
        <f t="shared" si="85"/>
        <v>0001-0062</v>
      </c>
      <c r="D581" s="261" t="str">
        <f t="shared" si="86"/>
        <v>0001-0062-0003</v>
      </c>
      <c r="E581" s="407" t="s">
        <v>517</v>
      </c>
      <c r="F581" s="261" t="str">
        <f>TEXT(VLOOKUP(J581,'[3]1'!$B$2:$D$37,2,0),"0000")</f>
        <v>0001</v>
      </c>
      <c r="G581" s="261" t="str">
        <f t="shared" si="87"/>
        <v>0062</v>
      </c>
      <c r="H581" s="408">
        <f t="shared" si="88"/>
        <v>3</v>
      </c>
      <c r="I581" s="407" t="s">
        <v>517</v>
      </c>
      <c r="J581" s="258" t="s">
        <v>828</v>
      </c>
      <c r="K581" s="258" t="s">
        <v>2716</v>
      </c>
      <c r="L581" s="258" t="s">
        <v>2181</v>
      </c>
      <c r="M581" s="409">
        <v>13500000</v>
      </c>
      <c r="N581" s="258">
        <v>998</v>
      </c>
      <c r="O581" s="258" t="s">
        <v>77</v>
      </c>
      <c r="P581" s="258" t="s">
        <v>73</v>
      </c>
      <c r="Q581" s="258" t="s">
        <v>72</v>
      </c>
      <c r="R581" s="258">
        <v>5</v>
      </c>
      <c r="S581" s="410">
        <v>6</v>
      </c>
      <c r="T581" s="261">
        <v>6</v>
      </c>
      <c r="U581" s="261">
        <v>6</v>
      </c>
      <c r="V581" s="258" t="s">
        <v>71</v>
      </c>
      <c r="W581" s="261" t="str">
        <f t="shared" si="90"/>
        <v>기아자동차레이1.0 스탠다드13500000</v>
      </c>
      <c r="X581" s="411">
        <f t="shared" si="91"/>
        <v>4355</v>
      </c>
      <c r="Y581" s="261">
        <v>6</v>
      </c>
      <c r="Z581" s="261">
        <v>6</v>
      </c>
      <c r="AA581" s="407" t="s">
        <v>517</v>
      </c>
      <c r="AB581" s="258" t="s">
        <v>73</v>
      </c>
      <c r="AC581" s="258"/>
      <c r="AD581" s="258" t="s">
        <v>2132</v>
      </c>
      <c r="AE581" s="258" t="s">
        <v>2129</v>
      </c>
      <c r="AF581" s="259"/>
      <c r="AG581" s="260"/>
      <c r="AH581" s="259"/>
      <c r="AI581" s="259"/>
      <c r="AJ581" s="260"/>
      <c r="AK581" s="259">
        <v>26</v>
      </c>
      <c r="AL581" s="259"/>
      <c r="AM581" s="259" t="s">
        <v>150</v>
      </c>
      <c r="AN581" s="449"/>
      <c r="AO581" s="449"/>
      <c r="AP581" s="449"/>
      <c r="AQ581" s="392" t="str">
        <f>IFERROR(VLOOKUP(BG581,#REF!,1,0),"")</f>
        <v/>
      </c>
      <c r="AS581" s="259" t="s">
        <v>150</v>
      </c>
      <c r="BD581" s="202" t="str">
        <f t="shared" ref="BD581:BD644" si="92">K581&amp;L581</f>
        <v>레이1.0 스탠다드</v>
      </c>
      <c r="BE581" s="261" t="str">
        <f t="shared" si="89"/>
        <v>0062</v>
      </c>
      <c r="BF581" s="407" t="s">
        <v>517</v>
      </c>
      <c r="BG581" s="202" t="str">
        <f t="shared" ref="BG581:BG644" si="93">BE581&amp;"-"&amp;BF581</f>
        <v>0062-0580</v>
      </c>
    </row>
    <row r="582" spans="1:59">
      <c r="A582" s="405">
        <v>4356</v>
      </c>
      <c r="B582" s="406">
        <v>4356</v>
      </c>
      <c r="C582" s="261" t="str">
        <f t="shared" ref="C582:C645" si="94">TEXT(F582,"0000")&amp;"-"&amp;TEXT(G582,"0000")</f>
        <v>0001-0062</v>
      </c>
      <c r="D582" s="261" t="str">
        <f t="shared" ref="D582:D645" si="95">TEXT(F582,"0000")&amp;"-"&amp;TEXT(G582,"0000")&amp;"-"&amp;TEXT(H582,"0000")</f>
        <v>0001-0062-0004</v>
      </c>
      <c r="E582" s="407" t="s">
        <v>516</v>
      </c>
      <c r="F582" s="261" t="str">
        <f>TEXT(VLOOKUP(J582,'[3]1'!$B$2:$D$37,2,0),"0000")</f>
        <v>0001</v>
      </c>
      <c r="G582" s="261" t="str">
        <f t="shared" ref="G582:G645" si="96">IF(K582=K581,TEXT(G581,"0000"),TEXT(G581+1,"0000"))</f>
        <v>0062</v>
      </c>
      <c r="H582" s="408">
        <f t="shared" ref="H582:H645" si="97">IF(F582&amp;G582=F581&amp;G581,H581+1,1)</f>
        <v>4</v>
      </c>
      <c r="I582" s="407" t="s">
        <v>516</v>
      </c>
      <c r="J582" s="258" t="s">
        <v>828</v>
      </c>
      <c r="K582" s="258" t="s">
        <v>2716</v>
      </c>
      <c r="L582" s="258" t="s">
        <v>3391</v>
      </c>
      <c r="M582" s="409">
        <v>12600000</v>
      </c>
      <c r="N582" s="258">
        <v>998</v>
      </c>
      <c r="O582" s="258" t="s">
        <v>77</v>
      </c>
      <c r="P582" s="258" t="s">
        <v>73</v>
      </c>
      <c r="Q582" s="258" t="s">
        <v>72</v>
      </c>
      <c r="R582" s="258">
        <v>1</v>
      </c>
      <c r="S582" s="410">
        <v>18</v>
      </c>
      <c r="T582" s="261">
        <v>6</v>
      </c>
      <c r="U582" s="261">
        <v>6</v>
      </c>
      <c r="V582" s="258" t="s">
        <v>71</v>
      </c>
      <c r="W582" s="261" t="str">
        <f t="shared" si="90"/>
        <v>기아자동차레이1.0 밴프레스티지12600000</v>
      </c>
      <c r="X582" s="411">
        <f t="shared" si="91"/>
        <v>4356</v>
      </c>
      <c r="Y582" s="261">
        <v>6</v>
      </c>
      <c r="Z582" s="261">
        <v>6</v>
      </c>
      <c r="AA582" s="407" t="s">
        <v>516</v>
      </c>
      <c r="AB582" s="258" t="s">
        <v>73</v>
      </c>
      <c r="AC582" s="258"/>
      <c r="AD582" s="258" t="s">
        <v>2133</v>
      </c>
      <c r="AE582" s="258" t="s">
        <v>2129</v>
      </c>
      <c r="AF582" s="259"/>
      <c r="AG582" s="260"/>
      <c r="AH582" s="259"/>
      <c r="AI582" s="259"/>
      <c r="AJ582" s="260"/>
      <c r="AK582" s="259">
        <v>26</v>
      </c>
      <c r="AL582" s="259"/>
      <c r="AM582" s="259" t="s">
        <v>3235</v>
      </c>
      <c r="AN582" s="449"/>
      <c r="AO582" s="449"/>
      <c r="AP582" s="449"/>
      <c r="AQ582" s="392" t="str">
        <f>IFERROR(VLOOKUP(BG582,#REF!,1,0),"")</f>
        <v/>
      </c>
      <c r="AS582" s="259" t="s">
        <v>3235</v>
      </c>
      <c r="BD582" s="202" t="str">
        <f t="shared" si="92"/>
        <v>레이1.0 밴프레스티지</v>
      </c>
      <c r="BE582" s="261" t="str">
        <f t="shared" ref="BE582:BE645" si="98">IF(K581=K582,TEXT(G581,"0000"),TEXT(G581+1,"0000"))</f>
        <v>0062</v>
      </c>
      <c r="BF582" s="407" t="s">
        <v>516</v>
      </c>
      <c r="BG582" s="202" t="str">
        <f t="shared" si="93"/>
        <v>0062-0581</v>
      </c>
    </row>
    <row r="583" spans="1:59">
      <c r="A583" s="405">
        <v>4357</v>
      </c>
      <c r="B583" s="406">
        <v>4357</v>
      </c>
      <c r="C583" s="261" t="str">
        <f t="shared" si="94"/>
        <v>0001-0062</v>
      </c>
      <c r="D583" s="261" t="str">
        <f t="shared" si="95"/>
        <v>0001-0062-0005</v>
      </c>
      <c r="E583" s="407" t="s">
        <v>515</v>
      </c>
      <c r="F583" s="261" t="str">
        <f>TEXT(VLOOKUP(J583,'[3]1'!$B$2:$D$37,2,0),"0000")</f>
        <v>0001</v>
      </c>
      <c r="G583" s="261" t="str">
        <f t="shared" si="96"/>
        <v>0062</v>
      </c>
      <c r="H583" s="408">
        <f t="shared" si="97"/>
        <v>5</v>
      </c>
      <c r="I583" s="407" t="s">
        <v>515</v>
      </c>
      <c r="J583" s="258" t="s">
        <v>828</v>
      </c>
      <c r="K583" s="258" t="s">
        <v>2716</v>
      </c>
      <c r="L583" s="258" t="s">
        <v>2182</v>
      </c>
      <c r="M583" s="409">
        <v>13000000</v>
      </c>
      <c r="N583" s="258">
        <v>998</v>
      </c>
      <c r="O583" s="258" t="s">
        <v>77</v>
      </c>
      <c r="P583" s="258" t="s">
        <v>73</v>
      </c>
      <c r="Q583" s="258" t="s">
        <v>72</v>
      </c>
      <c r="R583" s="258">
        <v>1</v>
      </c>
      <c r="S583" s="410">
        <v>18</v>
      </c>
      <c r="T583" s="261">
        <v>6</v>
      </c>
      <c r="U583" s="261">
        <v>6</v>
      </c>
      <c r="V583" s="258" t="s">
        <v>71</v>
      </c>
      <c r="W583" s="261" t="str">
        <f t="shared" ref="W583:W646" si="99">J583&amp;K583&amp;L583&amp;M583</f>
        <v>기아자동차레이1.0 밴 프레스티지13000000</v>
      </c>
      <c r="X583" s="411">
        <f t="shared" ref="X583:X646" si="100">B583</f>
        <v>4357</v>
      </c>
      <c r="Y583" s="261">
        <v>6</v>
      </c>
      <c r="Z583" s="261">
        <v>6</v>
      </c>
      <c r="AA583" s="407" t="s">
        <v>515</v>
      </c>
      <c r="AB583" s="258" t="s">
        <v>73</v>
      </c>
      <c r="AC583" s="258"/>
      <c r="AD583" s="258" t="s">
        <v>2133</v>
      </c>
      <c r="AE583" s="258" t="s">
        <v>2129</v>
      </c>
      <c r="AF583" s="259"/>
      <c r="AG583" s="260"/>
      <c r="AH583" s="259"/>
      <c r="AI583" s="259"/>
      <c r="AJ583" s="260"/>
      <c r="AK583" s="259">
        <v>26</v>
      </c>
      <c r="AL583" s="259"/>
      <c r="AM583" s="259" t="s">
        <v>3235</v>
      </c>
      <c r="AN583" s="449"/>
      <c r="AO583" s="449"/>
      <c r="AP583" s="449"/>
      <c r="AQ583" s="392" t="str">
        <f>IFERROR(VLOOKUP(BG583,#REF!,1,0),"")</f>
        <v/>
      </c>
      <c r="AS583" s="259" t="s">
        <v>3235</v>
      </c>
      <c r="BD583" s="202" t="str">
        <f t="shared" si="92"/>
        <v>레이1.0 밴 프레스티지</v>
      </c>
      <c r="BE583" s="261" t="str">
        <f t="shared" si="98"/>
        <v>0062</v>
      </c>
      <c r="BF583" s="407" t="s">
        <v>515</v>
      </c>
      <c r="BG583" s="202" t="str">
        <f t="shared" si="93"/>
        <v>0062-0582</v>
      </c>
    </row>
    <row r="584" spans="1:59">
      <c r="A584" s="405">
        <v>4358</v>
      </c>
      <c r="B584" s="406">
        <v>4358</v>
      </c>
      <c r="C584" s="261" t="str">
        <f t="shared" si="94"/>
        <v>0001-0062</v>
      </c>
      <c r="D584" s="261" t="str">
        <f t="shared" si="95"/>
        <v>0001-0062-0006</v>
      </c>
      <c r="E584" s="407" t="s">
        <v>514</v>
      </c>
      <c r="F584" s="261" t="str">
        <f>TEXT(VLOOKUP(J584,'[3]1'!$B$2:$D$37,2,0),"0000")</f>
        <v>0001</v>
      </c>
      <c r="G584" s="261" t="str">
        <f t="shared" si="96"/>
        <v>0062</v>
      </c>
      <c r="H584" s="408">
        <f t="shared" si="97"/>
        <v>6</v>
      </c>
      <c r="I584" s="407" t="s">
        <v>514</v>
      </c>
      <c r="J584" s="258" t="s">
        <v>828</v>
      </c>
      <c r="K584" s="258" t="s">
        <v>2716</v>
      </c>
      <c r="L584" s="258" t="s">
        <v>2183</v>
      </c>
      <c r="M584" s="409">
        <v>13450000</v>
      </c>
      <c r="N584" s="258">
        <v>998</v>
      </c>
      <c r="O584" s="258" t="s">
        <v>77</v>
      </c>
      <c r="P584" s="258" t="s">
        <v>73</v>
      </c>
      <c r="Q584" s="258" t="s">
        <v>72</v>
      </c>
      <c r="R584" s="258">
        <v>1</v>
      </c>
      <c r="S584" s="410">
        <v>18</v>
      </c>
      <c r="T584" s="261">
        <v>6</v>
      </c>
      <c r="U584" s="261">
        <v>6</v>
      </c>
      <c r="V584" s="258" t="s">
        <v>71</v>
      </c>
      <c r="W584" s="261" t="str">
        <f t="shared" si="99"/>
        <v>기아자동차레이1.0 밴 프레스티지 스페셜13450000</v>
      </c>
      <c r="X584" s="411">
        <f t="shared" si="100"/>
        <v>4358</v>
      </c>
      <c r="Y584" s="261">
        <v>6</v>
      </c>
      <c r="Z584" s="261">
        <v>6</v>
      </c>
      <c r="AA584" s="407" t="s">
        <v>514</v>
      </c>
      <c r="AB584" s="258" t="s">
        <v>73</v>
      </c>
      <c r="AC584" s="258"/>
      <c r="AD584" s="258" t="s">
        <v>2133</v>
      </c>
      <c r="AE584" s="258" t="s">
        <v>2129</v>
      </c>
      <c r="AF584" s="259"/>
      <c r="AG584" s="260"/>
      <c r="AH584" s="259"/>
      <c r="AI584" s="259"/>
      <c r="AJ584" s="260"/>
      <c r="AK584" s="259">
        <v>26</v>
      </c>
      <c r="AL584" s="259"/>
      <c r="AM584" s="259" t="s">
        <v>3235</v>
      </c>
      <c r="AN584" s="449"/>
      <c r="AO584" s="449"/>
      <c r="AP584" s="449"/>
      <c r="AQ584" s="392" t="str">
        <f>IFERROR(VLOOKUP(BG584,#REF!,1,0),"")</f>
        <v/>
      </c>
      <c r="AS584" s="259" t="s">
        <v>3235</v>
      </c>
      <c r="BD584" s="202" t="str">
        <f t="shared" si="92"/>
        <v>레이1.0 밴 프레스티지 스페셜</v>
      </c>
      <c r="BE584" s="261" t="str">
        <f t="shared" si="98"/>
        <v>0062</v>
      </c>
      <c r="BF584" s="407" t="s">
        <v>514</v>
      </c>
      <c r="BG584" s="202" t="str">
        <f t="shared" si="93"/>
        <v>0062-0583</v>
      </c>
    </row>
    <row r="585" spans="1:59">
      <c r="A585" s="405">
        <v>4359</v>
      </c>
      <c r="B585" s="406">
        <v>4359</v>
      </c>
      <c r="C585" s="261" t="str">
        <f t="shared" si="94"/>
        <v>0001-0063</v>
      </c>
      <c r="D585" s="261" t="str">
        <f t="shared" si="95"/>
        <v>0001-0063-0001</v>
      </c>
      <c r="E585" s="407" t="s">
        <v>513</v>
      </c>
      <c r="F585" s="261" t="str">
        <f>TEXT(VLOOKUP(J585,'[3]1'!$B$2:$D$37,2,0),"0000")</f>
        <v>0001</v>
      </c>
      <c r="G585" s="261" t="str">
        <f t="shared" si="96"/>
        <v>0063</v>
      </c>
      <c r="H585" s="408">
        <f t="shared" si="97"/>
        <v>1</v>
      </c>
      <c r="I585" s="407" t="s">
        <v>513</v>
      </c>
      <c r="J585" s="258" t="s">
        <v>828</v>
      </c>
      <c r="K585" s="258" t="s">
        <v>2717</v>
      </c>
      <c r="L585" s="258" t="s">
        <v>2184</v>
      </c>
      <c r="M585" s="409">
        <v>11950000</v>
      </c>
      <c r="N585" s="258">
        <v>998</v>
      </c>
      <c r="O585" s="258" t="s">
        <v>77</v>
      </c>
      <c r="P585" s="258" t="s">
        <v>73</v>
      </c>
      <c r="Q585" s="258" t="s">
        <v>72</v>
      </c>
      <c r="R585" s="258">
        <v>7</v>
      </c>
      <c r="S585" s="410">
        <v>7</v>
      </c>
      <c r="T585" s="261">
        <v>6</v>
      </c>
      <c r="U585" s="261">
        <v>6</v>
      </c>
      <c r="V585" s="258" t="s">
        <v>71</v>
      </c>
      <c r="W585" s="261" t="str">
        <f t="shared" si="99"/>
        <v>기아자동차모닝어반 1.0 스탠다드 A/T11950000</v>
      </c>
      <c r="X585" s="411">
        <f t="shared" si="100"/>
        <v>4359</v>
      </c>
      <c r="Y585" s="261">
        <v>6</v>
      </c>
      <c r="Z585" s="261">
        <v>6</v>
      </c>
      <c r="AA585" s="407" t="s">
        <v>513</v>
      </c>
      <c r="AB585" s="258" t="s">
        <v>73</v>
      </c>
      <c r="AC585" s="258"/>
      <c r="AD585" s="258" t="s">
        <v>2131</v>
      </c>
      <c r="AE585" s="258" t="s">
        <v>2129</v>
      </c>
      <c r="AF585" s="259"/>
      <c r="AG585" s="260"/>
      <c r="AH585" s="259"/>
      <c r="AI585" s="259"/>
      <c r="AJ585" s="260"/>
      <c r="AK585" s="259">
        <v>26</v>
      </c>
      <c r="AL585" s="259"/>
      <c r="AM585" s="259" t="s">
        <v>3229</v>
      </c>
      <c r="AN585" s="449"/>
      <c r="AO585" s="449"/>
      <c r="AP585" s="449"/>
      <c r="AQ585" s="392" t="str">
        <f>IFERROR(VLOOKUP(BG585,#REF!,1,0),"")</f>
        <v/>
      </c>
      <c r="AS585" s="259" t="s">
        <v>3229</v>
      </c>
      <c r="BD585" s="202" t="str">
        <f t="shared" si="92"/>
        <v>모닝어반 1.0 스탠다드 A/T</v>
      </c>
      <c r="BE585" s="261" t="str">
        <f t="shared" si="98"/>
        <v>0063</v>
      </c>
      <c r="BF585" s="407" t="s">
        <v>513</v>
      </c>
      <c r="BG585" s="202" t="str">
        <f t="shared" si="93"/>
        <v>0063-0584</v>
      </c>
    </row>
    <row r="586" spans="1:59">
      <c r="A586" s="405">
        <v>4360</v>
      </c>
      <c r="B586" s="406">
        <v>4360</v>
      </c>
      <c r="C586" s="261" t="str">
        <f t="shared" si="94"/>
        <v>0001-0063</v>
      </c>
      <c r="D586" s="261" t="str">
        <f t="shared" si="95"/>
        <v>0001-0063-0002</v>
      </c>
      <c r="E586" s="407" t="s">
        <v>512</v>
      </c>
      <c r="F586" s="261" t="str">
        <f>TEXT(VLOOKUP(J586,'[3]1'!$B$2:$D$37,2,0),"0000")</f>
        <v>0001</v>
      </c>
      <c r="G586" s="261" t="str">
        <f t="shared" si="96"/>
        <v>0063</v>
      </c>
      <c r="H586" s="408">
        <f t="shared" si="97"/>
        <v>2</v>
      </c>
      <c r="I586" s="407" t="s">
        <v>512</v>
      </c>
      <c r="J586" s="258" t="s">
        <v>828</v>
      </c>
      <c r="K586" s="258" t="s">
        <v>2717</v>
      </c>
      <c r="L586" s="258" t="s">
        <v>2185</v>
      </c>
      <c r="M586" s="409">
        <v>14800000</v>
      </c>
      <c r="N586" s="258">
        <v>998</v>
      </c>
      <c r="O586" s="258" t="s">
        <v>77</v>
      </c>
      <c r="P586" s="258" t="s">
        <v>73</v>
      </c>
      <c r="Q586" s="258" t="s">
        <v>72</v>
      </c>
      <c r="R586" s="258">
        <v>5</v>
      </c>
      <c r="S586" s="410">
        <v>7</v>
      </c>
      <c r="T586" s="261">
        <v>6</v>
      </c>
      <c r="U586" s="261">
        <v>6</v>
      </c>
      <c r="V586" s="258" t="s">
        <v>3329</v>
      </c>
      <c r="W586" s="261" t="str">
        <f t="shared" si="99"/>
        <v>기아자동차모닝어반 1.0 시그니처 A/T14800000</v>
      </c>
      <c r="X586" s="411">
        <f t="shared" si="100"/>
        <v>4360</v>
      </c>
      <c r="Y586" s="261">
        <v>6</v>
      </c>
      <c r="Z586" s="261">
        <v>6</v>
      </c>
      <c r="AA586" s="407" t="s">
        <v>512</v>
      </c>
      <c r="AB586" s="258" t="s">
        <v>3330</v>
      </c>
      <c r="AC586" s="258"/>
      <c r="AD586" s="258" t="s">
        <v>2131</v>
      </c>
      <c r="AE586" s="258" t="s">
        <v>2129</v>
      </c>
      <c r="AF586" s="259"/>
      <c r="AG586" s="260"/>
      <c r="AH586" s="259"/>
      <c r="AI586" s="259"/>
      <c r="AJ586" s="260"/>
      <c r="AK586" s="259">
        <v>26</v>
      </c>
      <c r="AL586" s="259"/>
      <c r="AM586" s="259" t="s">
        <v>3229</v>
      </c>
      <c r="AN586" s="449"/>
      <c r="AO586" s="449"/>
      <c r="AP586" s="449"/>
      <c r="AQ586" s="392" t="str">
        <f>IFERROR(VLOOKUP(BG586,#REF!,1,0),"")</f>
        <v/>
      </c>
      <c r="AS586" s="259" t="s">
        <v>3229</v>
      </c>
      <c r="BD586" s="202" t="str">
        <f t="shared" si="92"/>
        <v>모닝어반 1.0 시그니처 A/T</v>
      </c>
      <c r="BE586" s="261" t="str">
        <f t="shared" si="98"/>
        <v>0063</v>
      </c>
      <c r="BF586" s="407" t="s">
        <v>512</v>
      </c>
      <c r="BG586" s="202" t="str">
        <f t="shared" si="93"/>
        <v>0063-0585</v>
      </c>
    </row>
    <row r="587" spans="1:59">
      <c r="A587" s="405">
        <v>4361</v>
      </c>
      <c r="B587" s="406">
        <v>4361</v>
      </c>
      <c r="C587" s="261" t="str">
        <f t="shared" si="94"/>
        <v>0001-0063</v>
      </c>
      <c r="D587" s="261" t="str">
        <f t="shared" si="95"/>
        <v>0001-0063-0003</v>
      </c>
      <c r="E587" s="407" t="s">
        <v>511</v>
      </c>
      <c r="F587" s="261" t="str">
        <f>TEXT(VLOOKUP(J587,'[3]1'!$B$2:$D$37,2,0),"0000")</f>
        <v>0001</v>
      </c>
      <c r="G587" s="261" t="str">
        <f t="shared" si="96"/>
        <v>0063</v>
      </c>
      <c r="H587" s="408">
        <f t="shared" si="97"/>
        <v>3</v>
      </c>
      <c r="I587" s="407" t="s">
        <v>511</v>
      </c>
      <c r="J587" s="258" t="s">
        <v>828</v>
      </c>
      <c r="K587" s="258" t="s">
        <v>2717</v>
      </c>
      <c r="L587" s="258" t="s">
        <v>2187</v>
      </c>
      <c r="M587" s="409">
        <v>13500000</v>
      </c>
      <c r="N587" s="258">
        <v>998</v>
      </c>
      <c r="O587" s="258" t="s">
        <v>77</v>
      </c>
      <c r="P587" s="258" t="s">
        <v>73</v>
      </c>
      <c r="Q587" s="258" t="s">
        <v>72</v>
      </c>
      <c r="R587" s="258">
        <v>6</v>
      </c>
      <c r="S587" s="410">
        <v>7</v>
      </c>
      <c r="T587" s="261">
        <v>6</v>
      </c>
      <c r="U587" s="261">
        <v>6</v>
      </c>
      <c r="V587" s="258" t="s">
        <v>71</v>
      </c>
      <c r="W587" s="261" t="str">
        <f t="shared" si="99"/>
        <v>기아자동차모닝어반 1.0 프레스티지 A/T13500000</v>
      </c>
      <c r="X587" s="411">
        <f t="shared" si="100"/>
        <v>4361</v>
      </c>
      <c r="Y587" s="261">
        <v>6</v>
      </c>
      <c r="Z587" s="261">
        <v>6</v>
      </c>
      <c r="AA587" s="407" t="s">
        <v>511</v>
      </c>
      <c r="AB587" s="258" t="s">
        <v>73</v>
      </c>
      <c r="AC587" s="258"/>
      <c r="AD587" s="258" t="s">
        <v>2131</v>
      </c>
      <c r="AE587" s="258" t="s">
        <v>2129</v>
      </c>
      <c r="AF587" s="259"/>
      <c r="AG587" s="260"/>
      <c r="AH587" s="259"/>
      <c r="AI587" s="259"/>
      <c r="AJ587" s="260"/>
      <c r="AK587" s="259">
        <v>26</v>
      </c>
      <c r="AL587" s="259"/>
      <c r="AM587" s="259" t="s">
        <v>3229</v>
      </c>
      <c r="AN587" s="449"/>
      <c r="AO587" s="449"/>
      <c r="AP587" s="449"/>
      <c r="AQ587" s="392" t="str">
        <f>IFERROR(VLOOKUP(BG587,#REF!,1,0),"")</f>
        <v/>
      </c>
      <c r="AS587" s="259" t="s">
        <v>3229</v>
      </c>
      <c r="BD587" s="202" t="str">
        <f t="shared" si="92"/>
        <v>모닝어반 1.0 프레스티지 A/T</v>
      </c>
      <c r="BE587" s="261" t="str">
        <f t="shared" si="98"/>
        <v>0063</v>
      </c>
      <c r="BF587" s="407" t="s">
        <v>511</v>
      </c>
      <c r="BG587" s="202" t="str">
        <f t="shared" si="93"/>
        <v>0063-0586</v>
      </c>
    </row>
    <row r="588" spans="1:59">
      <c r="A588" s="405">
        <v>4362</v>
      </c>
      <c r="B588" s="406">
        <v>4362</v>
      </c>
      <c r="C588" s="261" t="str">
        <f t="shared" si="94"/>
        <v>0001-0063</v>
      </c>
      <c r="D588" s="261" t="str">
        <f t="shared" si="95"/>
        <v>0001-0063-0004</v>
      </c>
      <c r="E588" s="407" t="s">
        <v>510</v>
      </c>
      <c r="F588" s="261" t="str">
        <f>TEXT(VLOOKUP(J588,'[3]1'!$B$2:$D$37,2,0),"0000")</f>
        <v>0001</v>
      </c>
      <c r="G588" s="261" t="str">
        <f t="shared" si="96"/>
        <v>0063</v>
      </c>
      <c r="H588" s="408">
        <f t="shared" si="97"/>
        <v>4</v>
      </c>
      <c r="I588" s="407" t="s">
        <v>510</v>
      </c>
      <c r="J588" s="258" t="s">
        <v>828</v>
      </c>
      <c r="K588" s="258" t="s">
        <v>2717</v>
      </c>
      <c r="L588" s="258" t="s">
        <v>2188</v>
      </c>
      <c r="M588" s="409">
        <v>11750000</v>
      </c>
      <c r="N588" s="258">
        <v>998</v>
      </c>
      <c r="O588" s="258" t="s">
        <v>77</v>
      </c>
      <c r="P588" s="258" t="s">
        <v>73</v>
      </c>
      <c r="Q588" s="258" t="s">
        <v>72</v>
      </c>
      <c r="R588" s="258">
        <v>5</v>
      </c>
      <c r="S588" s="410">
        <v>7</v>
      </c>
      <c r="T588" s="261">
        <v>6</v>
      </c>
      <c r="U588" s="261">
        <v>6</v>
      </c>
      <c r="V588" s="258" t="s">
        <v>3329</v>
      </c>
      <c r="W588" s="261" t="str">
        <f t="shared" si="99"/>
        <v>기아자동차모닝어반 1.0 스탠다드 마이너스 (A/T)11750000</v>
      </c>
      <c r="X588" s="411">
        <f t="shared" si="100"/>
        <v>4362</v>
      </c>
      <c r="Y588" s="261">
        <v>6</v>
      </c>
      <c r="Z588" s="261">
        <v>6</v>
      </c>
      <c r="AA588" s="407" t="s">
        <v>510</v>
      </c>
      <c r="AB588" s="258" t="s">
        <v>3330</v>
      </c>
      <c r="AC588" s="258"/>
      <c r="AD588" s="258" t="s">
        <v>2131</v>
      </c>
      <c r="AE588" s="258" t="s">
        <v>2129</v>
      </c>
      <c r="AF588" s="259"/>
      <c r="AG588" s="260"/>
      <c r="AH588" s="259"/>
      <c r="AI588" s="259"/>
      <c r="AJ588" s="260"/>
      <c r="AK588" s="259">
        <v>26</v>
      </c>
      <c r="AL588" s="259"/>
      <c r="AM588" s="259" t="s">
        <v>3229</v>
      </c>
      <c r="AN588" s="449"/>
      <c r="AO588" s="449"/>
      <c r="AP588" s="449"/>
      <c r="AQ588" s="392" t="str">
        <f>IFERROR(VLOOKUP(BG588,#REF!,1,0),"")</f>
        <v/>
      </c>
      <c r="AS588" s="259" t="s">
        <v>3229</v>
      </c>
      <c r="BD588" s="202" t="str">
        <f t="shared" si="92"/>
        <v>모닝어반 1.0 스탠다드 마이너스 (A/T)</v>
      </c>
      <c r="BE588" s="261" t="str">
        <f t="shared" si="98"/>
        <v>0063</v>
      </c>
      <c r="BF588" s="407" t="s">
        <v>510</v>
      </c>
      <c r="BG588" s="202" t="str">
        <f t="shared" si="93"/>
        <v>0063-0587</v>
      </c>
    </row>
    <row r="589" spans="1:59">
      <c r="A589" s="405">
        <v>4363</v>
      </c>
      <c r="B589" s="406">
        <v>4363</v>
      </c>
      <c r="C589" s="261" t="str">
        <f t="shared" si="94"/>
        <v>0001-0063</v>
      </c>
      <c r="D589" s="261" t="str">
        <f t="shared" si="95"/>
        <v>0001-0063-0005</v>
      </c>
      <c r="E589" s="407" t="s">
        <v>509</v>
      </c>
      <c r="F589" s="261" t="str">
        <f>TEXT(VLOOKUP(J589,'[3]1'!$B$2:$D$37,2,0),"0000")</f>
        <v>0001</v>
      </c>
      <c r="G589" s="261" t="str">
        <f t="shared" si="96"/>
        <v>0063</v>
      </c>
      <c r="H589" s="408">
        <f t="shared" si="97"/>
        <v>5</v>
      </c>
      <c r="I589" s="407" t="s">
        <v>509</v>
      </c>
      <c r="J589" s="258" t="s">
        <v>828</v>
      </c>
      <c r="K589" s="258" t="s">
        <v>2717</v>
      </c>
      <c r="L589" s="258" t="s">
        <v>2186</v>
      </c>
      <c r="M589" s="409">
        <v>12350000</v>
      </c>
      <c r="N589" s="258">
        <v>998</v>
      </c>
      <c r="O589" s="258" t="s">
        <v>77</v>
      </c>
      <c r="P589" s="258" t="s">
        <v>73</v>
      </c>
      <c r="Q589" s="258" t="s">
        <v>72</v>
      </c>
      <c r="R589" s="258">
        <v>5</v>
      </c>
      <c r="S589" s="410">
        <v>18</v>
      </c>
      <c r="T589" s="261">
        <v>6</v>
      </c>
      <c r="U589" s="261">
        <v>6</v>
      </c>
      <c r="V589" s="258" t="s">
        <v>71</v>
      </c>
      <c r="W589" s="261" t="str">
        <f t="shared" si="99"/>
        <v>기아자동차모닝어반 VAN 스페셜 A/T12350000</v>
      </c>
      <c r="X589" s="411">
        <f t="shared" si="100"/>
        <v>4363</v>
      </c>
      <c r="Y589" s="261">
        <v>6</v>
      </c>
      <c r="Z589" s="261">
        <v>6</v>
      </c>
      <c r="AA589" s="407" t="s">
        <v>509</v>
      </c>
      <c r="AB589" s="258" t="s">
        <v>73</v>
      </c>
      <c r="AC589" s="258"/>
      <c r="AD589" s="258" t="s">
        <v>2133</v>
      </c>
      <c r="AE589" s="258" t="s">
        <v>2129</v>
      </c>
      <c r="AF589" s="259"/>
      <c r="AG589" s="260"/>
      <c r="AH589" s="259"/>
      <c r="AI589" s="259"/>
      <c r="AJ589" s="260"/>
      <c r="AK589" s="259">
        <v>26</v>
      </c>
      <c r="AL589" s="259"/>
      <c r="AM589" s="259" t="s">
        <v>3235</v>
      </c>
      <c r="AN589" s="449"/>
      <c r="AO589" s="449"/>
      <c r="AP589" s="449"/>
      <c r="AQ589" s="392" t="str">
        <f>IFERROR(VLOOKUP(BG589,#REF!,1,0),"")</f>
        <v/>
      </c>
      <c r="AS589" s="259" t="s">
        <v>3235</v>
      </c>
      <c r="BD589" s="202" t="str">
        <f t="shared" si="92"/>
        <v>모닝어반 VAN 스페셜 A/T</v>
      </c>
      <c r="BE589" s="261" t="str">
        <f t="shared" si="98"/>
        <v>0063</v>
      </c>
      <c r="BF589" s="407" t="s">
        <v>509</v>
      </c>
      <c r="BG589" s="202" t="str">
        <f t="shared" si="93"/>
        <v>0063-0588</v>
      </c>
    </row>
    <row r="590" spans="1:59">
      <c r="A590" s="405">
        <v>4364</v>
      </c>
      <c r="B590" s="406">
        <v>4364</v>
      </c>
      <c r="C590" s="261" t="str">
        <f t="shared" si="94"/>
        <v>0001-0063</v>
      </c>
      <c r="D590" s="261" t="str">
        <f t="shared" si="95"/>
        <v>0001-0063-0006</v>
      </c>
      <c r="E590" s="407" t="s">
        <v>508</v>
      </c>
      <c r="F590" s="261" t="str">
        <f>TEXT(VLOOKUP(J590,'[3]1'!$B$2:$D$37,2,0),"0000")</f>
        <v>0001</v>
      </c>
      <c r="G590" s="261" t="str">
        <f t="shared" si="96"/>
        <v>0063</v>
      </c>
      <c r="H590" s="408">
        <f t="shared" si="97"/>
        <v>6</v>
      </c>
      <c r="I590" s="407" t="s">
        <v>508</v>
      </c>
      <c r="J590" s="258" t="s">
        <v>828</v>
      </c>
      <c r="K590" s="258" t="s">
        <v>2717</v>
      </c>
      <c r="L590" s="258" t="s">
        <v>2189</v>
      </c>
      <c r="M590" s="409">
        <v>11800000</v>
      </c>
      <c r="N590" s="258">
        <v>998</v>
      </c>
      <c r="O590" s="258" t="s">
        <v>77</v>
      </c>
      <c r="P590" s="258" t="s">
        <v>73</v>
      </c>
      <c r="Q590" s="258" t="s">
        <v>72</v>
      </c>
      <c r="R590" s="258">
        <v>5</v>
      </c>
      <c r="S590" s="410">
        <v>18</v>
      </c>
      <c r="T590" s="261">
        <v>6</v>
      </c>
      <c r="U590" s="261">
        <v>6</v>
      </c>
      <c r="V590" s="258" t="s">
        <v>3329</v>
      </c>
      <c r="W590" s="261" t="str">
        <f t="shared" si="99"/>
        <v>기아자동차모닝어반 VAN A/T11800000</v>
      </c>
      <c r="X590" s="411">
        <f t="shared" si="100"/>
        <v>4364</v>
      </c>
      <c r="Y590" s="261">
        <v>6</v>
      </c>
      <c r="Z590" s="261">
        <v>6</v>
      </c>
      <c r="AA590" s="407" t="s">
        <v>508</v>
      </c>
      <c r="AB590" s="258" t="s">
        <v>3330</v>
      </c>
      <c r="AC590" s="258"/>
      <c r="AD590" s="258" t="s">
        <v>2133</v>
      </c>
      <c r="AE590" s="258" t="s">
        <v>2129</v>
      </c>
      <c r="AF590" s="259"/>
      <c r="AG590" s="260"/>
      <c r="AH590" s="259"/>
      <c r="AI590" s="259"/>
      <c r="AJ590" s="260"/>
      <c r="AK590" s="259">
        <v>26</v>
      </c>
      <c r="AL590" s="259"/>
      <c r="AM590" s="259" t="s">
        <v>3235</v>
      </c>
      <c r="AN590" s="449"/>
      <c r="AO590" s="449"/>
      <c r="AP590" s="449"/>
      <c r="AQ590" s="392" t="str">
        <f>IFERROR(VLOOKUP(BG590,#REF!,1,0),"")</f>
        <v/>
      </c>
      <c r="AS590" s="259" t="s">
        <v>3235</v>
      </c>
      <c r="BD590" s="202" t="str">
        <f t="shared" si="92"/>
        <v>모닝어반 VAN A/T</v>
      </c>
      <c r="BE590" s="261" t="str">
        <f t="shared" si="98"/>
        <v>0063</v>
      </c>
      <c r="BF590" s="407" t="s">
        <v>508</v>
      </c>
      <c r="BG590" s="202" t="str">
        <f t="shared" si="93"/>
        <v>0063-0589</v>
      </c>
    </row>
    <row r="591" spans="1:59">
      <c r="A591" s="405">
        <v>4365</v>
      </c>
      <c r="B591" s="406">
        <v>4365</v>
      </c>
      <c r="C591" s="261" t="str">
        <f t="shared" si="94"/>
        <v>0001-0064</v>
      </c>
      <c r="D591" s="261" t="str">
        <f t="shared" si="95"/>
        <v>0001-0064-0001</v>
      </c>
      <c r="E591" s="407" t="s">
        <v>507</v>
      </c>
      <c r="F591" s="261" t="str">
        <f>TEXT(VLOOKUP(J591,'[3]1'!$B$2:$D$37,2,0),"0000")</f>
        <v>0001</v>
      </c>
      <c r="G591" s="261" t="str">
        <f t="shared" si="96"/>
        <v>0064</v>
      </c>
      <c r="H591" s="408">
        <f t="shared" si="97"/>
        <v>1</v>
      </c>
      <c r="I591" s="407" t="s">
        <v>507</v>
      </c>
      <c r="J591" s="258" t="s">
        <v>828</v>
      </c>
      <c r="K591" s="258" t="s">
        <v>2718</v>
      </c>
      <c r="L591" s="258" t="s">
        <v>2192</v>
      </c>
      <c r="M591" s="409">
        <v>48050000</v>
      </c>
      <c r="N591" s="258">
        <v>2959</v>
      </c>
      <c r="O591" s="258" t="s">
        <v>78</v>
      </c>
      <c r="P591" s="258" t="s">
        <v>1965</v>
      </c>
      <c r="Q591" s="258" t="s">
        <v>72</v>
      </c>
      <c r="R591" s="258">
        <v>6</v>
      </c>
      <c r="S591" s="410">
        <v>5</v>
      </c>
      <c r="T591" s="261">
        <v>6</v>
      </c>
      <c r="U591" s="261">
        <v>6</v>
      </c>
      <c r="V591" s="258" t="s">
        <v>3329</v>
      </c>
      <c r="W591" s="261" t="str">
        <f t="shared" si="99"/>
        <v>기아자동차모하비3.0 플래티넘(6인승)48050000</v>
      </c>
      <c r="X591" s="411">
        <f t="shared" si="100"/>
        <v>4365</v>
      </c>
      <c r="Y591" s="261">
        <v>6</v>
      </c>
      <c r="Z591" s="261">
        <v>6</v>
      </c>
      <c r="AA591" s="407" t="s">
        <v>507</v>
      </c>
      <c r="AB591" s="258" t="s">
        <v>1965</v>
      </c>
      <c r="AC591" s="258"/>
      <c r="AD591" s="258" t="s">
        <v>2131</v>
      </c>
      <c r="AE591" s="258" t="s">
        <v>2129</v>
      </c>
      <c r="AF591" s="259"/>
      <c r="AG591" s="260"/>
      <c r="AH591" s="259"/>
      <c r="AI591" s="259"/>
      <c r="AJ591" s="260"/>
      <c r="AK591" s="259">
        <v>26</v>
      </c>
      <c r="AL591" s="259"/>
      <c r="AM591" s="259" t="s">
        <v>93</v>
      </c>
      <c r="AN591" s="449"/>
      <c r="AO591" s="449"/>
      <c r="AP591" s="449"/>
      <c r="AQ591" s="392" t="str">
        <f>IFERROR(VLOOKUP(BG591,#REF!,1,0),"")</f>
        <v/>
      </c>
      <c r="AS591" s="259" t="s">
        <v>93</v>
      </c>
      <c r="BD591" s="202" t="str">
        <f t="shared" si="92"/>
        <v>모하비3.0 플래티넘(6인승)</v>
      </c>
      <c r="BE591" s="261" t="str">
        <f t="shared" si="98"/>
        <v>0064</v>
      </c>
      <c r="BF591" s="407" t="s">
        <v>507</v>
      </c>
      <c r="BG591" s="202" t="str">
        <f t="shared" si="93"/>
        <v>0064-0590</v>
      </c>
    </row>
    <row r="592" spans="1:59">
      <c r="A592" s="405">
        <v>4366</v>
      </c>
      <c r="B592" s="406">
        <v>4366</v>
      </c>
      <c r="C592" s="261" t="str">
        <f t="shared" si="94"/>
        <v>0001-0064</v>
      </c>
      <c r="D592" s="261" t="str">
        <f t="shared" si="95"/>
        <v>0001-0064-0002</v>
      </c>
      <c r="E592" s="407" t="s">
        <v>506</v>
      </c>
      <c r="F592" s="261" t="str">
        <f>TEXT(VLOOKUP(J592,'[3]1'!$B$2:$D$37,2,0),"0000")</f>
        <v>0001</v>
      </c>
      <c r="G592" s="261" t="str">
        <f t="shared" si="96"/>
        <v>0064</v>
      </c>
      <c r="H592" s="408">
        <f t="shared" si="97"/>
        <v>2</v>
      </c>
      <c r="I592" s="407" t="s">
        <v>506</v>
      </c>
      <c r="J592" s="258" t="s">
        <v>828</v>
      </c>
      <c r="K592" s="258" t="s">
        <v>2718</v>
      </c>
      <c r="L592" s="258" t="s">
        <v>2194</v>
      </c>
      <c r="M592" s="409">
        <v>47660000</v>
      </c>
      <c r="N592" s="258">
        <v>2959</v>
      </c>
      <c r="O592" s="258" t="s">
        <v>78</v>
      </c>
      <c r="P592" s="258" t="s">
        <v>1965</v>
      </c>
      <c r="Q592" s="258" t="s">
        <v>72</v>
      </c>
      <c r="R592" s="258">
        <v>7</v>
      </c>
      <c r="S592" s="410">
        <v>5</v>
      </c>
      <c r="T592" s="261">
        <v>6</v>
      </c>
      <c r="U592" s="261">
        <v>6</v>
      </c>
      <c r="V592" s="258" t="s">
        <v>3329</v>
      </c>
      <c r="W592" s="261" t="str">
        <f t="shared" si="99"/>
        <v>기아자동차모하비3.0 플래티넘(7인승)47660000</v>
      </c>
      <c r="X592" s="411">
        <f t="shared" si="100"/>
        <v>4366</v>
      </c>
      <c r="Y592" s="261">
        <v>6</v>
      </c>
      <c r="Z592" s="261">
        <v>6</v>
      </c>
      <c r="AA592" s="407" t="s">
        <v>506</v>
      </c>
      <c r="AB592" s="258" t="s">
        <v>1965</v>
      </c>
      <c r="AC592" s="258"/>
      <c r="AD592" s="258" t="s">
        <v>2131</v>
      </c>
      <c r="AE592" s="258" t="s">
        <v>2129</v>
      </c>
      <c r="AF592" s="259"/>
      <c r="AG592" s="260"/>
      <c r="AH592" s="259"/>
      <c r="AI592" s="259"/>
      <c r="AJ592" s="260"/>
      <c r="AK592" s="259">
        <v>26</v>
      </c>
      <c r="AL592" s="259"/>
      <c r="AM592" s="259" t="s">
        <v>93</v>
      </c>
      <c r="AN592" s="449"/>
      <c r="AO592" s="449"/>
      <c r="AP592" s="449"/>
      <c r="AQ592" s="392" t="str">
        <f>IFERROR(VLOOKUP(BG592,#REF!,1,0),"")</f>
        <v/>
      </c>
      <c r="AS592" s="259" t="s">
        <v>93</v>
      </c>
      <c r="BD592" s="202" t="str">
        <f t="shared" si="92"/>
        <v>모하비3.0 플래티넘(7인승)</v>
      </c>
      <c r="BE592" s="261" t="str">
        <f t="shared" si="98"/>
        <v>0064</v>
      </c>
      <c r="BF592" s="407" t="s">
        <v>506</v>
      </c>
      <c r="BG592" s="202" t="str">
        <f t="shared" si="93"/>
        <v>0064-0591</v>
      </c>
    </row>
    <row r="593" spans="1:59">
      <c r="A593" s="405">
        <v>4367</v>
      </c>
      <c r="B593" s="406">
        <v>4367</v>
      </c>
      <c r="C593" s="261" t="str">
        <f t="shared" si="94"/>
        <v>0001-0064</v>
      </c>
      <c r="D593" s="261" t="str">
        <f t="shared" si="95"/>
        <v>0001-0064-0003</v>
      </c>
      <c r="E593" s="407" t="s">
        <v>505</v>
      </c>
      <c r="F593" s="261" t="str">
        <f>TEXT(VLOOKUP(J593,'[3]1'!$B$2:$D$37,2,0),"0000")</f>
        <v>0001</v>
      </c>
      <c r="G593" s="261" t="str">
        <f t="shared" si="96"/>
        <v>0064</v>
      </c>
      <c r="H593" s="408">
        <f t="shared" si="97"/>
        <v>3</v>
      </c>
      <c r="I593" s="407" t="s">
        <v>505</v>
      </c>
      <c r="J593" s="258" t="s">
        <v>828</v>
      </c>
      <c r="K593" s="258" t="s">
        <v>2718</v>
      </c>
      <c r="L593" s="258" t="s">
        <v>2198</v>
      </c>
      <c r="M593" s="409">
        <v>47020000</v>
      </c>
      <c r="N593" s="258">
        <v>2959</v>
      </c>
      <c r="O593" s="258" t="s">
        <v>78</v>
      </c>
      <c r="P593" s="258" t="s">
        <v>1965</v>
      </c>
      <c r="Q593" s="258" t="s">
        <v>72</v>
      </c>
      <c r="R593" s="258">
        <v>5</v>
      </c>
      <c r="S593" s="410">
        <v>5</v>
      </c>
      <c r="T593" s="261">
        <v>6</v>
      </c>
      <c r="U593" s="261">
        <v>6</v>
      </c>
      <c r="V593" s="258" t="s">
        <v>3329</v>
      </c>
      <c r="W593" s="261" t="str">
        <f t="shared" si="99"/>
        <v>기아자동차모하비3.0 플래티넘(5인승)47020000</v>
      </c>
      <c r="X593" s="411">
        <f t="shared" si="100"/>
        <v>4367</v>
      </c>
      <c r="Y593" s="261">
        <v>6</v>
      </c>
      <c r="Z593" s="261">
        <v>6</v>
      </c>
      <c r="AA593" s="407" t="s">
        <v>505</v>
      </c>
      <c r="AB593" s="258" t="s">
        <v>1965</v>
      </c>
      <c r="AC593" s="258"/>
      <c r="AD593" s="258" t="s">
        <v>2131</v>
      </c>
      <c r="AE593" s="258" t="s">
        <v>2129</v>
      </c>
      <c r="AF593" s="259"/>
      <c r="AG593" s="260"/>
      <c r="AH593" s="259"/>
      <c r="AI593" s="259"/>
      <c r="AJ593" s="260"/>
      <c r="AK593" s="259">
        <v>26</v>
      </c>
      <c r="AL593" s="259"/>
      <c r="AM593" s="259" t="s">
        <v>93</v>
      </c>
      <c r="AN593" s="449"/>
      <c r="AO593" s="449"/>
      <c r="AP593" s="449"/>
      <c r="AQ593" s="392" t="str">
        <f>IFERROR(VLOOKUP(BG593,#REF!,1,0),"")</f>
        <v/>
      </c>
      <c r="AS593" s="259" t="s">
        <v>93</v>
      </c>
      <c r="BD593" s="202" t="str">
        <f t="shared" si="92"/>
        <v>모하비3.0 플래티넘(5인승)</v>
      </c>
      <c r="BE593" s="261" t="str">
        <f t="shared" si="98"/>
        <v>0064</v>
      </c>
      <c r="BF593" s="407" t="s">
        <v>505</v>
      </c>
      <c r="BG593" s="202" t="str">
        <f t="shared" si="93"/>
        <v>0064-0592</v>
      </c>
    </row>
    <row r="594" spans="1:59">
      <c r="A594" s="405">
        <v>4368</v>
      </c>
      <c r="B594" s="406">
        <v>4368</v>
      </c>
      <c r="C594" s="261" t="str">
        <f t="shared" si="94"/>
        <v>0001-0064</v>
      </c>
      <c r="D594" s="261" t="str">
        <f t="shared" si="95"/>
        <v>0001-0064-0004</v>
      </c>
      <c r="E594" s="407" t="s">
        <v>504</v>
      </c>
      <c r="F594" s="261" t="str">
        <f>TEXT(VLOOKUP(J594,'[3]1'!$B$2:$D$37,2,0),"0000")</f>
        <v>0001</v>
      </c>
      <c r="G594" s="261" t="str">
        <f t="shared" si="96"/>
        <v>0064</v>
      </c>
      <c r="H594" s="408">
        <f t="shared" si="97"/>
        <v>4</v>
      </c>
      <c r="I594" s="407" t="s">
        <v>504</v>
      </c>
      <c r="J594" s="258" t="s">
        <v>828</v>
      </c>
      <c r="K594" s="258" t="s">
        <v>2718</v>
      </c>
      <c r="L594" s="258" t="s">
        <v>2190</v>
      </c>
      <c r="M594" s="409">
        <v>52670000</v>
      </c>
      <c r="N594" s="258">
        <v>2959</v>
      </c>
      <c r="O594" s="258" t="s">
        <v>78</v>
      </c>
      <c r="P594" s="258" t="s">
        <v>1965</v>
      </c>
      <c r="Q594" s="258" t="s">
        <v>72</v>
      </c>
      <c r="R594" s="258">
        <v>6</v>
      </c>
      <c r="S594" s="410">
        <v>5</v>
      </c>
      <c r="T594" s="261">
        <v>6</v>
      </c>
      <c r="U594" s="261">
        <v>6</v>
      </c>
      <c r="V594" s="258" t="s">
        <v>3329</v>
      </c>
      <c r="W594" s="261" t="str">
        <f t="shared" si="99"/>
        <v>기아자동차모하비3.0 마스터즈(6인승)52670000</v>
      </c>
      <c r="X594" s="411">
        <f t="shared" si="100"/>
        <v>4368</v>
      </c>
      <c r="Y594" s="261">
        <v>6</v>
      </c>
      <c r="Z594" s="261">
        <v>6</v>
      </c>
      <c r="AA594" s="407" t="s">
        <v>504</v>
      </c>
      <c r="AB594" s="258" t="s">
        <v>1965</v>
      </c>
      <c r="AC594" s="258"/>
      <c r="AD594" s="258" t="s">
        <v>2131</v>
      </c>
      <c r="AE594" s="258" t="s">
        <v>2129</v>
      </c>
      <c r="AF594" s="259"/>
      <c r="AG594" s="260"/>
      <c r="AH594" s="259"/>
      <c r="AI594" s="259"/>
      <c r="AJ594" s="260"/>
      <c r="AK594" s="259">
        <v>26</v>
      </c>
      <c r="AL594" s="259"/>
      <c r="AM594" s="259" t="s">
        <v>93</v>
      </c>
      <c r="AN594" s="449"/>
      <c r="AO594" s="449"/>
      <c r="AP594" s="449"/>
      <c r="AQ594" s="392" t="str">
        <f>IFERROR(VLOOKUP(BG594,#REF!,1,0),"")</f>
        <v/>
      </c>
      <c r="AS594" s="259" t="s">
        <v>93</v>
      </c>
      <c r="BD594" s="202" t="str">
        <f t="shared" si="92"/>
        <v>모하비3.0 마스터즈(6인승)</v>
      </c>
      <c r="BE594" s="261" t="str">
        <f t="shared" si="98"/>
        <v>0064</v>
      </c>
      <c r="BF594" s="407" t="s">
        <v>504</v>
      </c>
      <c r="BG594" s="202" t="str">
        <f t="shared" si="93"/>
        <v>0064-0593</v>
      </c>
    </row>
    <row r="595" spans="1:59">
      <c r="A595" s="405">
        <v>4369</v>
      </c>
      <c r="B595" s="406">
        <v>4369</v>
      </c>
      <c r="C595" s="261" t="str">
        <f t="shared" si="94"/>
        <v>0001-0064</v>
      </c>
      <c r="D595" s="261" t="str">
        <f t="shared" si="95"/>
        <v>0001-0064-0005</v>
      </c>
      <c r="E595" s="407" t="s">
        <v>503</v>
      </c>
      <c r="F595" s="261" t="str">
        <f>TEXT(VLOOKUP(J595,'[3]1'!$B$2:$D$37,2,0),"0000")</f>
        <v>0001</v>
      </c>
      <c r="G595" s="261" t="str">
        <f t="shared" si="96"/>
        <v>0064</v>
      </c>
      <c r="H595" s="408">
        <f t="shared" si="97"/>
        <v>5</v>
      </c>
      <c r="I595" s="407" t="s">
        <v>503</v>
      </c>
      <c r="J595" s="258" t="s">
        <v>828</v>
      </c>
      <c r="K595" s="258" t="s">
        <v>2718</v>
      </c>
      <c r="L595" s="258" t="s">
        <v>2191</v>
      </c>
      <c r="M595" s="409">
        <v>52280000</v>
      </c>
      <c r="N595" s="258">
        <v>2959</v>
      </c>
      <c r="O595" s="258" t="s">
        <v>78</v>
      </c>
      <c r="P595" s="258" t="s">
        <v>1965</v>
      </c>
      <c r="Q595" s="258" t="s">
        <v>72</v>
      </c>
      <c r="R595" s="258">
        <v>7</v>
      </c>
      <c r="S595" s="410">
        <v>5</v>
      </c>
      <c r="T595" s="261">
        <v>6</v>
      </c>
      <c r="U595" s="261">
        <v>6</v>
      </c>
      <c r="V595" s="258" t="s">
        <v>3329</v>
      </c>
      <c r="W595" s="261" t="str">
        <f t="shared" si="99"/>
        <v>기아자동차모하비3.0 마스터즈(7인승)52280000</v>
      </c>
      <c r="X595" s="411">
        <f t="shared" si="100"/>
        <v>4369</v>
      </c>
      <c r="Y595" s="261">
        <v>6</v>
      </c>
      <c r="Z595" s="261">
        <v>6</v>
      </c>
      <c r="AA595" s="407" t="s">
        <v>503</v>
      </c>
      <c r="AB595" s="258" t="s">
        <v>1965</v>
      </c>
      <c r="AC595" s="258"/>
      <c r="AD595" s="258" t="s">
        <v>2131</v>
      </c>
      <c r="AE595" s="258" t="s">
        <v>2129</v>
      </c>
      <c r="AF595" s="259"/>
      <c r="AG595" s="260"/>
      <c r="AH595" s="259"/>
      <c r="AI595" s="259"/>
      <c r="AJ595" s="260"/>
      <c r="AK595" s="259">
        <v>26</v>
      </c>
      <c r="AL595" s="259"/>
      <c r="AM595" s="259" t="s">
        <v>93</v>
      </c>
      <c r="AN595" s="449"/>
      <c r="AO595" s="449"/>
      <c r="AP595" s="449"/>
      <c r="AQ595" s="392" t="str">
        <f>IFERROR(VLOOKUP(BG595,#REF!,1,0),"")</f>
        <v/>
      </c>
      <c r="AS595" s="259" t="s">
        <v>93</v>
      </c>
      <c r="BD595" s="202" t="str">
        <f t="shared" si="92"/>
        <v>모하비3.0 마스터즈(7인승)</v>
      </c>
      <c r="BE595" s="261" t="str">
        <f t="shared" si="98"/>
        <v>0064</v>
      </c>
      <c r="BF595" s="407" t="s">
        <v>503</v>
      </c>
      <c r="BG595" s="202" t="str">
        <f t="shared" si="93"/>
        <v>0064-0594</v>
      </c>
    </row>
    <row r="596" spans="1:59">
      <c r="A596" s="405">
        <v>4370</v>
      </c>
      <c r="B596" s="406">
        <v>4370</v>
      </c>
      <c r="C596" s="261" t="str">
        <f t="shared" si="94"/>
        <v>0001-0064</v>
      </c>
      <c r="D596" s="261" t="str">
        <f t="shared" si="95"/>
        <v>0001-0064-0006</v>
      </c>
      <c r="E596" s="407" t="s">
        <v>502</v>
      </c>
      <c r="F596" s="261" t="str">
        <f>TEXT(VLOOKUP(J596,'[3]1'!$B$2:$D$37,2,0),"0000")</f>
        <v>0001</v>
      </c>
      <c r="G596" s="261" t="str">
        <f t="shared" si="96"/>
        <v>0064</v>
      </c>
      <c r="H596" s="408">
        <f t="shared" si="97"/>
        <v>6</v>
      </c>
      <c r="I596" s="407" t="s">
        <v>502</v>
      </c>
      <c r="J596" s="258" t="s">
        <v>828</v>
      </c>
      <c r="K596" s="258" t="s">
        <v>2718</v>
      </c>
      <c r="L596" s="258" t="s">
        <v>2193</v>
      </c>
      <c r="M596" s="409">
        <v>51640000</v>
      </c>
      <c r="N596" s="258">
        <v>2959</v>
      </c>
      <c r="O596" s="258" t="s">
        <v>78</v>
      </c>
      <c r="P596" s="258" t="s">
        <v>1965</v>
      </c>
      <c r="Q596" s="258" t="s">
        <v>72</v>
      </c>
      <c r="R596" s="258">
        <v>5</v>
      </c>
      <c r="S596" s="410">
        <v>5</v>
      </c>
      <c r="T596" s="261">
        <v>6</v>
      </c>
      <c r="U596" s="261">
        <v>6</v>
      </c>
      <c r="V596" s="258" t="s">
        <v>3329</v>
      </c>
      <c r="W596" s="261" t="str">
        <f t="shared" si="99"/>
        <v>기아자동차모하비3.0 마스터즈(5인승)51640000</v>
      </c>
      <c r="X596" s="411">
        <f t="shared" si="100"/>
        <v>4370</v>
      </c>
      <c r="Y596" s="261">
        <v>6</v>
      </c>
      <c r="Z596" s="261">
        <v>6</v>
      </c>
      <c r="AA596" s="407" t="s">
        <v>502</v>
      </c>
      <c r="AB596" s="258" t="s">
        <v>1965</v>
      </c>
      <c r="AC596" s="258"/>
      <c r="AD596" s="258" t="s">
        <v>2131</v>
      </c>
      <c r="AE596" s="258" t="s">
        <v>2129</v>
      </c>
      <c r="AF596" s="259"/>
      <c r="AG596" s="260"/>
      <c r="AH596" s="259"/>
      <c r="AI596" s="259"/>
      <c r="AJ596" s="260"/>
      <c r="AK596" s="259">
        <v>26</v>
      </c>
      <c r="AL596" s="259"/>
      <c r="AM596" s="259" t="s">
        <v>93</v>
      </c>
      <c r="AN596" s="449"/>
      <c r="AO596" s="449"/>
      <c r="AP596" s="449"/>
      <c r="AQ596" s="392" t="str">
        <f>IFERROR(VLOOKUP(BG596,#REF!,1,0),"")</f>
        <v/>
      </c>
      <c r="AS596" s="259" t="s">
        <v>93</v>
      </c>
      <c r="BD596" s="202" t="str">
        <f t="shared" si="92"/>
        <v>모하비3.0 마스터즈(5인승)</v>
      </c>
      <c r="BE596" s="261" t="str">
        <f t="shared" si="98"/>
        <v>0064</v>
      </c>
      <c r="BF596" s="407" t="s">
        <v>502</v>
      </c>
      <c r="BG596" s="202" t="str">
        <f t="shared" si="93"/>
        <v>0064-0595</v>
      </c>
    </row>
    <row r="597" spans="1:59">
      <c r="A597" s="405">
        <v>4371</v>
      </c>
      <c r="B597" s="406">
        <v>4371</v>
      </c>
      <c r="C597" s="261" t="str">
        <f t="shared" si="94"/>
        <v>0001-0064</v>
      </c>
      <c r="D597" s="261" t="str">
        <f t="shared" si="95"/>
        <v>0001-0064-0007</v>
      </c>
      <c r="E597" s="407" t="s">
        <v>501</v>
      </c>
      <c r="F597" s="261" t="str">
        <f>TEXT(VLOOKUP(J597,'[3]1'!$B$2:$D$37,2,0),"0000")</f>
        <v>0001</v>
      </c>
      <c r="G597" s="261" t="str">
        <f t="shared" si="96"/>
        <v>0064</v>
      </c>
      <c r="H597" s="408">
        <f t="shared" si="97"/>
        <v>7</v>
      </c>
      <c r="I597" s="407" t="s">
        <v>501</v>
      </c>
      <c r="J597" s="258" t="s">
        <v>828</v>
      </c>
      <c r="K597" s="258" t="s">
        <v>2718</v>
      </c>
      <c r="L597" s="258" t="s">
        <v>2195</v>
      </c>
      <c r="M597" s="409">
        <v>55860000</v>
      </c>
      <c r="N597" s="258">
        <v>2959</v>
      </c>
      <c r="O597" s="258" t="s">
        <v>78</v>
      </c>
      <c r="P597" s="258" t="s">
        <v>1965</v>
      </c>
      <c r="Q597" s="258" t="s">
        <v>72</v>
      </c>
      <c r="R597" s="258">
        <v>5</v>
      </c>
      <c r="S597" s="410">
        <v>5</v>
      </c>
      <c r="T597" s="261">
        <v>6</v>
      </c>
      <c r="U597" s="261">
        <v>6</v>
      </c>
      <c r="V597" s="258" t="s">
        <v>71</v>
      </c>
      <c r="W597" s="261" t="str">
        <f t="shared" si="99"/>
        <v>기아자동차모하비3.0 마스터즈 그래비티(5인승)55860000</v>
      </c>
      <c r="X597" s="411">
        <f t="shared" si="100"/>
        <v>4371</v>
      </c>
      <c r="Y597" s="261">
        <v>6</v>
      </c>
      <c r="Z597" s="261">
        <v>6</v>
      </c>
      <c r="AA597" s="407" t="s">
        <v>501</v>
      </c>
      <c r="AB597" s="258" t="s">
        <v>1965</v>
      </c>
      <c r="AC597" s="258"/>
      <c r="AD597" s="258" t="s">
        <v>2131</v>
      </c>
      <c r="AE597" s="258" t="s">
        <v>2129</v>
      </c>
      <c r="AF597" s="259"/>
      <c r="AG597" s="260"/>
      <c r="AH597" s="259"/>
      <c r="AI597" s="259"/>
      <c r="AJ597" s="260"/>
      <c r="AK597" s="259">
        <v>26</v>
      </c>
      <c r="AL597" s="259"/>
      <c r="AM597" s="259" t="s">
        <v>93</v>
      </c>
      <c r="AN597" s="449"/>
      <c r="AO597" s="449"/>
      <c r="AP597" s="449"/>
      <c r="AQ597" s="392" t="str">
        <f>IFERROR(VLOOKUP(BG597,#REF!,1,0),"")</f>
        <v/>
      </c>
      <c r="AS597" s="259" t="s">
        <v>93</v>
      </c>
      <c r="BD597" s="202" t="str">
        <f t="shared" si="92"/>
        <v>모하비3.0 마스터즈 그래비티(5인승)</v>
      </c>
      <c r="BE597" s="261" t="str">
        <f t="shared" si="98"/>
        <v>0064</v>
      </c>
      <c r="BF597" s="407" t="s">
        <v>501</v>
      </c>
      <c r="BG597" s="202" t="str">
        <f t="shared" si="93"/>
        <v>0064-0596</v>
      </c>
    </row>
    <row r="598" spans="1:59">
      <c r="A598" s="405">
        <v>4372</v>
      </c>
      <c r="B598" s="406">
        <v>4372</v>
      </c>
      <c r="C598" s="261" t="str">
        <f t="shared" si="94"/>
        <v>0001-0064</v>
      </c>
      <c r="D598" s="261" t="str">
        <f t="shared" si="95"/>
        <v>0001-0064-0008</v>
      </c>
      <c r="E598" s="407" t="s">
        <v>500</v>
      </c>
      <c r="F598" s="261" t="str">
        <f>TEXT(VLOOKUP(J598,'[3]1'!$B$2:$D$37,2,0),"0000")</f>
        <v>0001</v>
      </c>
      <c r="G598" s="261" t="str">
        <f t="shared" si="96"/>
        <v>0064</v>
      </c>
      <c r="H598" s="408">
        <f t="shared" si="97"/>
        <v>8</v>
      </c>
      <c r="I598" s="407" t="s">
        <v>500</v>
      </c>
      <c r="J598" s="258" t="s">
        <v>828</v>
      </c>
      <c r="K598" s="258" t="s">
        <v>2718</v>
      </c>
      <c r="L598" s="258" t="s">
        <v>2196</v>
      </c>
      <c r="M598" s="409">
        <v>56890000</v>
      </c>
      <c r="N598" s="258">
        <v>2959</v>
      </c>
      <c r="O598" s="258" t="s">
        <v>78</v>
      </c>
      <c r="P598" s="258" t="s">
        <v>1965</v>
      </c>
      <c r="Q598" s="258" t="s">
        <v>72</v>
      </c>
      <c r="R598" s="258">
        <v>6</v>
      </c>
      <c r="S598" s="410">
        <v>5</v>
      </c>
      <c r="T598" s="261">
        <v>6</v>
      </c>
      <c r="U598" s="261">
        <v>6</v>
      </c>
      <c r="V598" s="258" t="s">
        <v>3329</v>
      </c>
      <c r="W598" s="261" t="str">
        <f t="shared" si="99"/>
        <v>기아자동차모하비3.0 마스터즈 그래비티(6인승)56890000</v>
      </c>
      <c r="X598" s="411">
        <f t="shared" si="100"/>
        <v>4372</v>
      </c>
      <c r="Y598" s="261">
        <v>6</v>
      </c>
      <c r="Z598" s="261">
        <v>6</v>
      </c>
      <c r="AA598" s="407" t="s">
        <v>500</v>
      </c>
      <c r="AB598" s="258" t="s">
        <v>1965</v>
      </c>
      <c r="AC598" s="258"/>
      <c r="AD598" s="258" t="s">
        <v>2131</v>
      </c>
      <c r="AE598" s="258" t="s">
        <v>2129</v>
      </c>
      <c r="AF598" s="259"/>
      <c r="AG598" s="260"/>
      <c r="AH598" s="259"/>
      <c r="AI598" s="259"/>
      <c r="AJ598" s="260"/>
      <c r="AK598" s="259">
        <v>26</v>
      </c>
      <c r="AL598" s="259"/>
      <c r="AM598" s="259" t="s">
        <v>93</v>
      </c>
      <c r="AN598" s="449"/>
      <c r="AO598" s="449"/>
      <c r="AP598" s="449"/>
      <c r="AQ598" s="392" t="str">
        <f>IFERROR(VLOOKUP(BG598,#REF!,1,0),"")</f>
        <v/>
      </c>
      <c r="AS598" s="259" t="s">
        <v>93</v>
      </c>
      <c r="BD598" s="202" t="str">
        <f t="shared" si="92"/>
        <v>모하비3.0 마스터즈 그래비티(6인승)</v>
      </c>
      <c r="BE598" s="261" t="str">
        <f t="shared" si="98"/>
        <v>0064</v>
      </c>
      <c r="BF598" s="407" t="s">
        <v>500</v>
      </c>
      <c r="BG598" s="202" t="str">
        <f t="shared" si="93"/>
        <v>0064-0597</v>
      </c>
    </row>
    <row r="599" spans="1:59">
      <c r="A599" s="405">
        <v>4373</v>
      </c>
      <c r="B599" s="406">
        <v>4373</v>
      </c>
      <c r="C599" s="261" t="str">
        <f t="shared" si="94"/>
        <v>0001-0064</v>
      </c>
      <c r="D599" s="261" t="str">
        <f t="shared" si="95"/>
        <v>0001-0064-0009</v>
      </c>
      <c r="E599" s="407" t="s">
        <v>499</v>
      </c>
      <c r="F599" s="261" t="str">
        <f>TEXT(VLOOKUP(J599,'[3]1'!$B$2:$D$37,2,0),"0000")</f>
        <v>0001</v>
      </c>
      <c r="G599" s="261" t="str">
        <f t="shared" si="96"/>
        <v>0064</v>
      </c>
      <c r="H599" s="408">
        <f t="shared" si="97"/>
        <v>9</v>
      </c>
      <c r="I599" s="407" t="s">
        <v>499</v>
      </c>
      <c r="J599" s="258" t="s">
        <v>828</v>
      </c>
      <c r="K599" s="258" t="s">
        <v>2718</v>
      </c>
      <c r="L599" s="258" t="s">
        <v>2197</v>
      </c>
      <c r="M599" s="409">
        <v>56500000</v>
      </c>
      <c r="N599" s="258">
        <v>2959</v>
      </c>
      <c r="O599" s="258" t="s">
        <v>78</v>
      </c>
      <c r="P599" s="258" t="s">
        <v>1965</v>
      </c>
      <c r="Q599" s="258" t="s">
        <v>72</v>
      </c>
      <c r="R599" s="258">
        <v>2</v>
      </c>
      <c r="S599" s="410">
        <v>5</v>
      </c>
      <c r="T599" s="261">
        <v>6</v>
      </c>
      <c r="U599" s="261">
        <v>6</v>
      </c>
      <c r="V599" s="258" t="s">
        <v>71</v>
      </c>
      <c r="W599" s="261" t="str">
        <f t="shared" si="99"/>
        <v>기아자동차모하비3.0 마스터즈 그래비티(7인승)56500000</v>
      </c>
      <c r="X599" s="411">
        <f t="shared" si="100"/>
        <v>4373</v>
      </c>
      <c r="Y599" s="261">
        <v>6</v>
      </c>
      <c r="Z599" s="261">
        <v>6</v>
      </c>
      <c r="AA599" s="407" t="s">
        <v>499</v>
      </c>
      <c r="AB599" s="258" t="s">
        <v>1965</v>
      </c>
      <c r="AC599" s="258"/>
      <c r="AD599" s="258" t="s">
        <v>2131</v>
      </c>
      <c r="AE599" s="258" t="s">
        <v>2129</v>
      </c>
      <c r="AF599" s="259"/>
      <c r="AG599" s="260"/>
      <c r="AH599" s="259"/>
      <c r="AI599" s="259"/>
      <c r="AJ599" s="260"/>
      <c r="AK599" s="259">
        <v>26</v>
      </c>
      <c r="AL599" s="259"/>
      <c r="AM599" s="259" t="s">
        <v>93</v>
      </c>
      <c r="AN599" s="449"/>
      <c r="AO599" s="449"/>
      <c r="AP599" s="449"/>
      <c r="AQ599" s="392" t="str">
        <f>IFERROR(VLOOKUP(BG599,#REF!,1,0),"")</f>
        <v/>
      </c>
      <c r="AS599" s="259" t="s">
        <v>93</v>
      </c>
      <c r="BD599" s="202" t="str">
        <f t="shared" si="92"/>
        <v>모하비3.0 마스터즈 그래비티(7인승)</v>
      </c>
      <c r="BE599" s="261" t="str">
        <f t="shared" si="98"/>
        <v>0064</v>
      </c>
      <c r="BF599" s="407" t="s">
        <v>499</v>
      </c>
      <c r="BG599" s="202" t="str">
        <f t="shared" si="93"/>
        <v>0064-0598</v>
      </c>
    </row>
    <row r="600" spans="1:59">
      <c r="A600" s="405">
        <v>4374</v>
      </c>
      <c r="B600" s="406">
        <v>4374</v>
      </c>
      <c r="C600" s="261" t="str">
        <f t="shared" si="94"/>
        <v>0001-0065</v>
      </c>
      <c r="D600" s="261" t="str">
        <f t="shared" si="95"/>
        <v>0001-0065-0001</v>
      </c>
      <c r="E600" s="407" t="s">
        <v>498</v>
      </c>
      <c r="F600" s="261" t="str">
        <f>TEXT(VLOOKUP(J600,'[3]1'!$B$2:$D$37,2,0),"0000")</f>
        <v>0001</v>
      </c>
      <c r="G600" s="261" t="str">
        <f t="shared" si="96"/>
        <v>0065</v>
      </c>
      <c r="H600" s="408">
        <f t="shared" si="97"/>
        <v>1</v>
      </c>
      <c r="I600" s="407" t="s">
        <v>498</v>
      </c>
      <c r="J600" s="258" t="s">
        <v>828</v>
      </c>
      <c r="K600" s="258" t="s">
        <v>2719</v>
      </c>
      <c r="L600" s="258" t="s">
        <v>2199</v>
      </c>
      <c r="M600" s="409">
        <v>16590000</v>
      </c>
      <c r="N600" s="258">
        <v>2497</v>
      </c>
      <c r="O600" s="258" t="s">
        <v>78</v>
      </c>
      <c r="P600" s="258" t="s">
        <v>86</v>
      </c>
      <c r="Q600" s="258" t="s">
        <v>88</v>
      </c>
      <c r="R600" s="258">
        <v>2</v>
      </c>
      <c r="S600" s="410">
        <v>12</v>
      </c>
      <c r="T600" s="261">
        <v>6</v>
      </c>
      <c r="U600" s="261">
        <v>6</v>
      </c>
      <c r="V600" s="258" t="s">
        <v>71</v>
      </c>
      <c r="W600" s="261" t="str">
        <f t="shared" si="99"/>
        <v>기아자동차봉고3봉고 1톤 초장축 더블캡 디젤 디럭스 2WD16590000</v>
      </c>
      <c r="X600" s="411">
        <f t="shared" si="100"/>
        <v>4374</v>
      </c>
      <c r="Y600" s="261">
        <v>6</v>
      </c>
      <c r="Z600" s="261">
        <v>6</v>
      </c>
      <c r="AA600" s="407" t="s">
        <v>498</v>
      </c>
      <c r="AB600" s="258" t="s">
        <v>73</v>
      </c>
      <c r="AC600" s="258"/>
      <c r="AD600" s="258" t="s">
        <v>2132</v>
      </c>
      <c r="AE600" s="258" t="s">
        <v>2129</v>
      </c>
      <c r="AF600" s="259"/>
      <c r="AG600" s="260"/>
      <c r="AH600" s="259"/>
      <c r="AI600" s="259"/>
      <c r="AJ600" s="260"/>
      <c r="AK600" s="259">
        <v>26</v>
      </c>
      <c r="AL600" s="259"/>
      <c r="AM600" s="259" t="s">
        <v>3228</v>
      </c>
      <c r="AN600" s="449"/>
      <c r="AO600" s="449"/>
      <c r="AP600" s="449"/>
      <c r="AQ600" s="392" t="str">
        <f>IFERROR(VLOOKUP(BG600,#REF!,1,0),"")</f>
        <v/>
      </c>
      <c r="AS600" s="259" t="s">
        <v>3228</v>
      </c>
      <c r="BD600" s="202" t="str">
        <f t="shared" si="92"/>
        <v>봉고3봉고 1톤 초장축 더블캡 디젤 디럭스 2WD</v>
      </c>
      <c r="BE600" s="261" t="str">
        <f t="shared" si="98"/>
        <v>0065</v>
      </c>
      <c r="BF600" s="407" t="s">
        <v>498</v>
      </c>
      <c r="BG600" s="202" t="str">
        <f t="shared" si="93"/>
        <v>0065-0599</v>
      </c>
    </row>
    <row r="601" spans="1:59">
      <c r="A601" s="405">
        <v>4375</v>
      </c>
      <c r="B601" s="406">
        <v>4375</v>
      </c>
      <c r="C601" s="261" t="str">
        <f t="shared" si="94"/>
        <v>0001-0065</v>
      </c>
      <c r="D601" s="261" t="str">
        <f t="shared" si="95"/>
        <v>0001-0065-0002</v>
      </c>
      <c r="E601" s="407" t="s">
        <v>497</v>
      </c>
      <c r="F601" s="261" t="str">
        <f>TEXT(VLOOKUP(J601,'[3]1'!$B$2:$D$37,2,0),"0000")</f>
        <v>0001</v>
      </c>
      <c r="G601" s="261" t="str">
        <f t="shared" si="96"/>
        <v>0065</v>
      </c>
      <c r="H601" s="408">
        <f t="shared" si="97"/>
        <v>2</v>
      </c>
      <c r="I601" s="407" t="s">
        <v>497</v>
      </c>
      <c r="J601" s="413" t="s">
        <v>828</v>
      </c>
      <c r="K601" s="413" t="s">
        <v>2719</v>
      </c>
      <c r="L601" s="413" t="s">
        <v>2791</v>
      </c>
      <c r="M601" s="415">
        <v>21860000</v>
      </c>
      <c r="N601" s="416">
        <v>2497</v>
      </c>
      <c r="O601" s="413" t="s">
        <v>78</v>
      </c>
      <c r="P601" s="413" t="s">
        <v>86</v>
      </c>
      <c r="Q601" s="413" t="s">
        <v>72</v>
      </c>
      <c r="R601" s="416">
        <v>3</v>
      </c>
      <c r="S601" s="410">
        <v>12</v>
      </c>
      <c r="T601" s="261">
        <v>6</v>
      </c>
      <c r="U601" s="261">
        <v>6</v>
      </c>
      <c r="V601" s="258" t="s">
        <v>1969</v>
      </c>
      <c r="W601" s="261" t="str">
        <f t="shared" si="99"/>
        <v>기아자동차봉고3봉고3 1톤 카고 초장축 더블캡 디젤 GLS 2WD A/T 기본형(오토론)21860000</v>
      </c>
      <c r="X601" s="411">
        <f t="shared" si="100"/>
        <v>4375</v>
      </c>
      <c r="Y601" s="261">
        <v>6</v>
      </c>
      <c r="Z601" s="261">
        <v>6</v>
      </c>
      <c r="AA601" s="407" t="s">
        <v>497</v>
      </c>
      <c r="AB601" s="258" t="s">
        <v>73</v>
      </c>
      <c r="AC601" s="258"/>
      <c r="AD601" s="258" t="s">
        <v>2132</v>
      </c>
      <c r="AE601" s="258" t="s">
        <v>2129</v>
      </c>
      <c r="AF601" s="259"/>
      <c r="AG601" s="260"/>
      <c r="AH601" s="259"/>
      <c r="AI601" s="259"/>
      <c r="AJ601" s="260"/>
      <c r="AK601" s="259">
        <v>26</v>
      </c>
      <c r="AL601" s="259"/>
      <c r="AM601" s="259" t="s">
        <v>3228</v>
      </c>
      <c r="AN601" s="449"/>
      <c r="AO601" s="449"/>
      <c r="AP601" s="449"/>
      <c r="AQ601" s="392" t="str">
        <f>IFERROR(VLOOKUP(BG601,#REF!,1,0),"")</f>
        <v/>
      </c>
      <c r="AS601" s="259" t="s">
        <v>3228</v>
      </c>
      <c r="BD601" s="202" t="str">
        <f t="shared" si="92"/>
        <v>봉고3봉고3 1톤 카고 초장축 더블캡 디젤 GLS 2WD A/T 기본형(오토론)</v>
      </c>
      <c r="BE601" s="261" t="str">
        <f t="shared" si="98"/>
        <v>0065</v>
      </c>
      <c r="BF601" s="407" t="s">
        <v>497</v>
      </c>
      <c r="BG601" s="202" t="str">
        <f t="shared" si="93"/>
        <v>0065-0600</v>
      </c>
    </row>
    <row r="602" spans="1:59">
      <c r="A602" s="405">
        <v>4376</v>
      </c>
      <c r="B602" s="406">
        <v>4376</v>
      </c>
      <c r="C602" s="261" t="str">
        <f t="shared" si="94"/>
        <v>0001-0065</v>
      </c>
      <c r="D602" s="261" t="str">
        <f t="shared" si="95"/>
        <v>0001-0065-0003</v>
      </c>
      <c r="E602" s="407" t="s">
        <v>496</v>
      </c>
      <c r="F602" s="261" t="str">
        <f>TEXT(VLOOKUP(J602,'[3]1'!$B$2:$D$37,2,0),"0000")</f>
        <v>0001</v>
      </c>
      <c r="G602" s="261" t="str">
        <f t="shared" si="96"/>
        <v>0065</v>
      </c>
      <c r="H602" s="408">
        <f t="shared" si="97"/>
        <v>3</v>
      </c>
      <c r="I602" s="407" t="s">
        <v>496</v>
      </c>
      <c r="J602" s="258" t="s">
        <v>828</v>
      </c>
      <c r="K602" s="258" t="s">
        <v>2719</v>
      </c>
      <c r="L602" s="258" t="s">
        <v>2200</v>
      </c>
      <c r="M602" s="409">
        <v>20430000</v>
      </c>
      <c r="N602" s="258">
        <v>2497</v>
      </c>
      <c r="O602" s="258" t="s">
        <v>78</v>
      </c>
      <c r="P602" s="258" t="s">
        <v>86</v>
      </c>
      <c r="Q602" s="258" t="s">
        <v>88</v>
      </c>
      <c r="R602" s="258" t="e">
        <v>#N/A</v>
      </c>
      <c r="S602" s="410">
        <v>10</v>
      </c>
      <c r="T602" s="261">
        <v>6</v>
      </c>
      <c r="U602" s="261">
        <v>6</v>
      </c>
      <c r="V602" s="258" t="s">
        <v>3993</v>
      </c>
      <c r="W602" s="261" t="str">
        <f t="shared" si="99"/>
        <v>기아자동차봉고3봉고3 1.2 2WD 킹캡 초장축 노블레스20430000</v>
      </c>
      <c r="X602" s="411">
        <f t="shared" si="100"/>
        <v>4376</v>
      </c>
      <c r="Y602" s="261">
        <v>6</v>
      </c>
      <c r="Z602" s="261">
        <v>6</v>
      </c>
      <c r="AA602" s="407" t="s">
        <v>496</v>
      </c>
      <c r="AB602" s="258" t="e">
        <v>#N/A</v>
      </c>
      <c r="AC602" s="258"/>
      <c r="AD602" s="258" t="s">
        <v>2132</v>
      </c>
      <c r="AE602" s="258" t="s">
        <v>2129</v>
      </c>
      <c r="AF602" s="259"/>
      <c r="AG602" s="260"/>
      <c r="AH602" s="259"/>
      <c r="AI602" s="259"/>
      <c r="AJ602" s="260"/>
      <c r="AK602" s="259">
        <v>26</v>
      </c>
      <c r="AL602" s="259"/>
      <c r="AM602" s="259" t="s">
        <v>3224</v>
      </c>
      <c r="AN602" s="449"/>
      <c r="AO602" s="449"/>
      <c r="AP602" s="449"/>
      <c r="AQ602" s="392" t="str">
        <f>IFERROR(VLOOKUP(BG602,#REF!,1,0),"")</f>
        <v/>
      </c>
      <c r="AS602" s="259" t="s">
        <v>3224</v>
      </c>
      <c r="BD602" s="202" t="str">
        <f t="shared" si="92"/>
        <v>봉고3봉고3 1.2 2WD 킹캡 초장축 노블레스</v>
      </c>
      <c r="BE602" s="261" t="str">
        <f t="shared" si="98"/>
        <v>0065</v>
      </c>
      <c r="BF602" s="407" t="s">
        <v>496</v>
      </c>
      <c r="BG602" s="202" t="str">
        <f t="shared" si="93"/>
        <v>0065-0601</v>
      </c>
    </row>
    <row r="603" spans="1:59">
      <c r="A603" s="405">
        <v>4377</v>
      </c>
      <c r="B603" s="406">
        <v>4377</v>
      </c>
      <c r="C603" s="261" t="str">
        <f t="shared" si="94"/>
        <v>0001-0065</v>
      </c>
      <c r="D603" s="261" t="str">
        <f t="shared" si="95"/>
        <v>0001-0065-0004</v>
      </c>
      <c r="E603" s="407" t="s">
        <v>495</v>
      </c>
      <c r="F603" s="261" t="str">
        <f>TEXT(VLOOKUP(J603,'[3]1'!$B$2:$D$37,2,0),"0000")</f>
        <v>0001</v>
      </c>
      <c r="G603" s="261" t="str">
        <f t="shared" si="96"/>
        <v>0065</v>
      </c>
      <c r="H603" s="408">
        <f t="shared" si="97"/>
        <v>4</v>
      </c>
      <c r="I603" s="407" t="s">
        <v>495</v>
      </c>
      <c r="J603" s="258" t="s">
        <v>828</v>
      </c>
      <c r="K603" s="258" t="s">
        <v>2719</v>
      </c>
      <c r="L603" s="258" t="s">
        <v>2201</v>
      </c>
      <c r="M603" s="409">
        <v>18970000</v>
      </c>
      <c r="N603" s="258">
        <v>2497</v>
      </c>
      <c r="O603" s="258" t="s">
        <v>78</v>
      </c>
      <c r="P603" s="258" t="s">
        <v>86</v>
      </c>
      <c r="Q603" s="258" t="s">
        <v>88</v>
      </c>
      <c r="R603" s="258" t="e">
        <v>#N/A</v>
      </c>
      <c r="S603" s="410">
        <v>12</v>
      </c>
      <c r="T603" s="261">
        <v>6</v>
      </c>
      <c r="U603" s="261">
        <v>6</v>
      </c>
      <c r="V603" s="258" t="s">
        <v>3993</v>
      </c>
      <c r="W603" s="261" t="str">
        <f t="shared" si="99"/>
        <v>기아자동차봉고3봉고3 1.2 2WD 표준캡 초장축 프레스티지18970000</v>
      </c>
      <c r="X603" s="411">
        <f t="shared" si="100"/>
        <v>4377</v>
      </c>
      <c r="Y603" s="261">
        <v>6</v>
      </c>
      <c r="Z603" s="261">
        <v>6</v>
      </c>
      <c r="AA603" s="407" t="s">
        <v>495</v>
      </c>
      <c r="AB603" s="258" t="e">
        <v>#N/A</v>
      </c>
      <c r="AC603" s="258"/>
      <c r="AD603" s="258" t="s">
        <v>2132</v>
      </c>
      <c r="AE603" s="258" t="s">
        <v>2129</v>
      </c>
      <c r="AF603" s="259"/>
      <c r="AG603" s="260"/>
      <c r="AH603" s="259"/>
      <c r="AI603" s="259"/>
      <c r="AJ603" s="260"/>
      <c r="AK603" s="259">
        <v>26</v>
      </c>
      <c r="AL603" s="259"/>
      <c r="AM603" s="259" t="s">
        <v>3228</v>
      </c>
      <c r="AN603" s="449"/>
      <c r="AO603" s="449"/>
      <c r="AP603" s="449"/>
      <c r="AQ603" s="392" t="str">
        <f>IFERROR(VLOOKUP(BG603,#REF!,1,0),"")</f>
        <v/>
      </c>
      <c r="AS603" s="259" t="s">
        <v>3228</v>
      </c>
      <c r="BD603" s="202" t="str">
        <f t="shared" si="92"/>
        <v>봉고3봉고3 1.2 2WD 표준캡 초장축 프레스티지</v>
      </c>
      <c r="BE603" s="261" t="str">
        <f t="shared" si="98"/>
        <v>0065</v>
      </c>
      <c r="BF603" s="407" t="s">
        <v>495</v>
      </c>
      <c r="BG603" s="202" t="str">
        <f t="shared" si="93"/>
        <v>0065-0602</v>
      </c>
    </row>
    <row r="604" spans="1:59">
      <c r="A604" s="405">
        <v>4378</v>
      </c>
      <c r="B604" s="406">
        <v>4378</v>
      </c>
      <c r="C604" s="261" t="str">
        <f t="shared" si="94"/>
        <v>0001-0065</v>
      </c>
      <c r="D604" s="261" t="str">
        <f t="shared" si="95"/>
        <v>0001-0065-0005</v>
      </c>
      <c r="E604" s="407" t="s">
        <v>494</v>
      </c>
      <c r="F604" s="261" t="str">
        <f>TEXT(VLOOKUP(J604,'[3]1'!$B$2:$D$37,2,0),"0000")</f>
        <v>0001</v>
      </c>
      <c r="G604" s="261" t="str">
        <f t="shared" si="96"/>
        <v>0065</v>
      </c>
      <c r="H604" s="408">
        <f t="shared" si="97"/>
        <v>5</v>
      </c>
      <c r="I604" s="407" t="s">
        <v>494</v>
      </c>
      <c r="J604" s="258" t="s">
        <v>828</v>
      </c>
      <c r="K604" s="258" t="s">
        <v>2719</v>
      </c>
      <c r="L604" s="258" t="s">
        <v>2202</v>
      </c>
      <c r="M604" s="409">
        <v>19070000</v>
      </c>
      <c r="N604" s="258">
        <v>2497</v>
      </c>
      <c r="O604" s="258" t="s">
        <v>78</v>
      </c>
      <c r="P604" s="258" t="s">
        <v>86</v>
      </c>
      <c r="Q604" s="258" t="s">
        <v>88</v>
      </c>
      <c r="R604" s="258" t="e">
        <v>#N/A</v>
      </c>
      <c r="S604" s="410">
        <v>10</v>
      </c>
      <c r="T604" s="261">
        <v>6</v>
      </c>
      <c r="U604" s="261">
        <v>6</v>
      </c>
      <c r="V604" s="258" t="s">
        <v>3993</v>
      </c>
      <c r="W604" s="261" t="str">
        <f t="shared" si="99"/>
        <v>기아자동차봉고3봉고3 1.2톤 2WD 킹캡 초장축 프레스티지19070000</v>
      </c>
      <c r="X604" s="411">
        <f t="shared" si="100"/>
        <v>4378</v>
      </c>
      <c r="Y604" s="261">
        <v>6</v>
      </c>
      <c r="Z604" s="261">
        <v>6</v>
      </c>
      <c r="AA604" s="407" t="s">
        <v>494</v>
      </c>
      <c r="AB604" s="258" t="e">
        <v>#N/A</v>
      </c>
      <c r="AC604" s="258"/>
      <c r="AD604" s="258" t="s">
        <v>2132</v>
      </c>
      <c r="AE604" s="258" t="s">
        <v>2129</v>
      </c>
      <c r="AF604" s="259"/>
      <c r="AG604" s="260"/>
      <c r="AH604" s="259"/>
      <c r="AI604" s="259"/>
      <c r="AJ604" s="260"/>
      <c r="AK604" s="259">
        <v>26</v>
      </c>
      <c r="AL604" s="259"/>
      <c r="AM604" s="259" t="s">
        <v>3224</v>
      </c>
      <c r="AN604" s="449"/>
      <c r="AO604" s="449"/>
      <c r="AP604" s="449"/>
      <c r="AQ604" s="392" t="str">
        <f>IFERROR(VLOOKUP(BG604,#REF!,1,0),"")</f>
        <v/>
      </c>
      <c r="AS604" s="259" t="s">
        <v>3224</v>
      </c>
      <c r="BD604" s="202" t="str">
        <f t="shared" si="92"/>
        <v>봉고3봉고3 1.2톤 2WD 킹캡 초장축 프레스티지</v>
      </c>
      <c r="BE604" s="261" t="str">
        <f t="shared" si="98"/>
        <v>0065</v>
      </c>
      <c r="BF604" s="407" t="s">
        <v>494</v>
      </c>
      <c r="BG604" s="202" t="str">
        <f t="shared" si="93"/>
        <v>0065-0603</v>
      </c>
    </row>
    <row r="605" spans="1:59">
      <c r="A605" s="405">
        <v>4379</v>
      </c>
      <c r="B605" s="406">
        <v>4379</v>
      </c>
      <c r="C605" s="261" t="str">
        <f t="shared" si="94"/>
        <v>0001-0065</v>
      </c>
      <c r="D605" s="261" t="str">
        <f t="shared" si="95"/>
        <v>0001-0065-0006</v>
      </c>
      <c r="E605" s="407" t="s">
        <v>493</v>
      </c>
      <c r="F605" s="261" t="str">
        <f>TEXT(VLOOKUP(J605,'[3]1'!$B$2:$D$37,2,0),"0000")</f>
        <v>0001</v>
      </c>
      <c r="G605" s="261" t="str">
        <f t="shared" si="96"/>
        <v>0065</v>
      </c>
      <c r="H605" s="408">
        <f t="shared" si="97"/>
        <v>6</v>
      </c>
      <c r="I605" s="407" t="s">
        <v>493</v>
      </c>
      <c r="J605" s="258" t="s">
        <v>828</v>
      </c>
      <c r="K605" s="258" t="s">
        <v>2719</v>
      </c>
      <c r="L605" s="258" t="s">
        <v>2203</v>
      </c>
      <c r="M605" s="409">
        <v>20330000</v>
      </c>
      <c r="N605" s="258">
        <v>2497</v>
      </c>
      <c r="O605" s="258" t="s">
        <v>78</v>
      </c>
      <c r="P605" s="258" t="s">
        <v>86</v>
      </c>
      <c r="Q605" s="258" t="s">
        <v>88</v>
      </c>
      <c r="R605" s="258" t="e">
        <v>#N/A</v>
      </c>
      <c r="S605" s="410">
        <v>12</v>
      </c>
      <c r="T605" s="261">
        <v>6</v>
      </c>
      <c r="U605" s="261">
        <v>6</v>
      </c>
      <c r="V605" s="258" t="s">
        <v>3993</v>
      </c>
      <c r="W605" s="261" t="str">
        <f t="shared" si="99"/>
        <v>기아자동차봉고3봉고3 1.2톤 2WD 표준캡 초장축 노블레스20330000</v>
      </c>
      <c r="X605" s="411">
        <f t="shared" si="100"/>
        <v>4379</v>
      </c>
      <c r="Y605" s="261">
        <v>6</v>
      </c>
      <c r="Z605" s="261">
        <v>6</v>
      </c>
      <c r="AA605" s="407" t="s">
        <v>493</v>
      </c>
      <c r="AB605" s="258" t="e">
        <v>#N/A</v>
      </c>
      <c r="AC605" s="258"/>
      <c r="AD605" s="258" t="s">
        <v>2132</v>
      </c>
      <c r="AE605" s="258" t="s">
        <v>2129</v>
      </c>
      <c r="AF605" s="259"/>
      <c r="AG605" s="260"/>
      <c r="AH605" s="259"/>
      <c r="AI605" s="259"/>
      <c r="AJ605" s="260"/>
      <c r="AK605" s="259">
        <v>26</v>
      </c>
      <c r="AL605" s="259"/>
      <c r="AM605" s="259" t="s">
        <v>3228</v>
      </c>
      <c r="AN605" s="449"/>
      <c r="AO605" s="449"/>
      <c r="AP605" s="449"/>
      <c r="AQ605" s="392" t="str">
        <f>IFERROR(VLOOKUP(BG605,#REF!,1,0),"")</f>
        <v/>
      </c>
      <c r="AS605" s="259" t="s">
        <v>3228</v>
      </c>
      <c r="BD605" s="202" t="str">
        <f t="shared" si="92"/>
        <v>봉고3봉고3 1.2톤 2WD 표준캡 초장축 노블레스</v>
      </c>
      <c r="BE605" s="261" t="str">
        <f t="shared" si="98"/>
        <v>0065</v>
      </c>
      <c r="BF605" s="407" t="s">
        <v>493</v>
      </c>
      <c r="BG605" s="202" t="str">
        <f t="shared" si="93"/>
        <v>0065-0604</v>
      </c>
    </row>
    <row r="606" spans="1:59">
      <c r="A606" s="405">
        <v>4380</v>
      </c>
      <c r="B606" s="406">
        <v>4380</v>
      </c>
      <c r="C606" s="261" t="str">
        <f t="shared" si="94"/>
        <v>0001-0065</v>
      </c>
      <c r="D606" s="261" t="str">
        <f t="shared" si="95"/>
        <v>0001-0065-0007</v>
      </c>
      <c r="E606" s="407" t="s">
        <v>492</v>
      </c>
      <c r="F606" s="261" t="str">
        <f>TEXT(VLOOKUP(J606,'[3]1'!$B$2:$D$37,2,0),"0000")</f>
        <v>0001</v>
      </c>
      <c r="G606" s="261" t="str">
        <f t="shared" si="96"/>
        <v>0065</v>
      </c>
      <c r="H606" s="408">
        <f t="shared" si="97"/>
        <v>7</v>
      </c>
      <c r="I606" s="407" t="s">
        <v>492</v>
      </c>
      <c r="J606" s="258" t="s">
        <v>828</v>
      </c>
      <c r="K606" s="258" t="s">
        <v>2719</v>
      </c>
      <c r="L606" s="258" t="s">
        <v>2204</v>
      </c>
      <c r="M606" s="409">
        <v>17860000</v>
      </c>
      <c r="N606" s="258">
        <v>2497</v>
      </c>
      <c r="O606" s="258" t="s">
        <v>78</v>
      </c>
      <c r="P606" s="258" t="s">
        <v>86</v>
      </c>
      <c r="Q606" s="258" t="s">
        <v>88</v>
      </c>
      <c r="R606" s="258" t="e">
        <v>#N/A</v>
      </c>
      <c r="S606" s="410">
        <v>12</v>
      </c>
      <c r="T606" s="261">
        <v>6</v>
      </c>
      <c r="U606" s="261">
        <v>6</v>
      </c>
      <c r="V606" s="258" t="s">
        <v>3993</v>
      </c>
      <c r="W606" s="261" t="str">
        <f t="shared" si="99"/>
        <v>기아자동차봉고3봉고3 1톤 2WD 더블캡 장축 프레스티지17860000</v>
      </c>
      <c r="X606" s="411">
        <f t="shared" si="100"/>
        <v>4380</v>
      </c>
      <c r="Y606" s="261">
        <v>6</v>
      </c>
      <c r="Z606" s="261">
        <v>6</v>
      </c>
      <c r="AA606" s="407" t="s">
        <v>492</v>
      </c>
      <c r="AB606" s="258" t="e">
        <v>#N/A</v>
      </c>
      <c r="AC606" s="258"/>
      <c r="AD606" s="258" t="s">
        <v>2132</v>
      </c>
      <c r="AE606" s="258" t="s">
        <v>2129</v>
      </c>
      <c r="AF606" s="259"/>
      <c r="AG606" s="260"/>
      <c r="AH606" s="259"/>
      <c r="AI606" s="259"/>
      <c r="AJ606" s="260"/>
      <c r="AK606" s="259">
        <v>26</v>
      </c>
      <c r="AL606" s="259"/>
      <c r="AM606" s="259" t="s">
        <v>3228</v>
      </c>
      <c r="AN606" s="449"/>
      <c r="AO606" s="449"/>
      <c r="AP606" s="449"/>
      <c r="AQ606" s="392" t="str">
        <f>IFERROR(VLOOKUP(BG606,#REF!,1,0),"")</f>
        <v/>
      </c>
      <c r="AS606" s="259" t="s">
        <v>3228</v>
      </c>
      <c r="BD606" s="202" t="str">
        <f t="shared" si="92"/>
        <v>봉고3봉고3 1톤 2WD 더블캡 장축 프레스티지</v>
      </c>
      <c r="BE606" s="261" t="str">
        <f t="shared" si="98"/>
        <v>0065</v>
      </c>
      <c r="BF606" s="407" t="s">
        <v>492</v>
      </c>
      <c r="BG606" s="202" t="str">
        <f t="shared" si="93"/>
        <v>0065-0605</v>
      </c>
    </row>
    <row r="607" spans="1:59">
      <c r="A607" s="405">
        <v>4381</v>
      </c>
      <c r="B607" s="406">
        <v>4381</v>
      </c>
      <c r="C607" s="261" t="str">
        <f t="shared" si="94"/>
        <v>0001-0065</v>
      </c>
      <c r="D607" s="261" t="str">
        <f t="shared" si="95"/>
        <v>0001-0065-0008</v>
      </c>
      <c r="E607" s="407" t="s">
        <v>491</v>
      </c>
      <c r="F607" s="261" t="str">
        <f>TEXT(VLOOKUP(J607,'[3]1'!$B$2:$D$37,2,0),"0000")</f>
        <v>0001</v>
      </c>
      <c r="G607" s="261" t="str">
        <f t="shared" si="96"/>
        <v>0065</v>
      </c>
      <c r="H607" s="408">
        <f t="shared" si="97"/>
        <v>8</v>
      </c>
      <c r="I607" s="407" t="s">
        <v>491</v>
      </c>
      <c r="J607" s="258" t="s">
        <v>828</v>
      </c>
      <c r="K607" s="258" t="s">
        <v>2719</v>
      </c>
      <c r="L607" s="258" t="s">
        <v>2205</v>
      </c>
      <c r="M607" s="409">
        <v>19180000</v>
      </c>
      <c r="N607" s="258">
        <v>2497</v>
      </c>
      <c r="O607" s="258" t="s">
        <v>78</v>
      </c>
      <c r="P607" s="258" t="s">
        <v>86</v>
      </c>
      <c r="Q607" s="258" t="s">
        <v>88</v>
      </c>
      <c r="R607" s="258" t="e">
        <v>#N/A</v>
      </c>
      <c r="S607" s="410">
        <v>12</v>
      </c>
      <c r="T607" s="261">
        <v>6</v>
      </c>
      <c r="U607" s="261">
        <v>6</v>
      </c>
      <c r="V607" s="258" t="s">
        <v>3993</v>
      </c>
      <c r="W607" s="261" t="str">
        <f t="shared" si="99"/>
        <v>기아자동차봉고3봉고3 1톤 2WD 더블캡 초장축 노블레스19180000</v>
      </c>
      <c r="X607" s="411">
        <f t="shared" si="100"/>
        <v>4381</v>
      </c>
      <c r="Y607" s="261">
        <v>6</v>
      </c>
      <c r="Z607" s="261">
        <v>6</v>
      </c>
      <c r="AA607" s="407" t="s">
        <v>491</v>
      </c>
      <c r="AB607" s="258" t="e">
        <v>#N/A</v>
      </c>
      <c r="AC607" s="258"/>
      <c r="AD607" s="258" t="s">
        <v>2132</v>
      </c>
      <c r="AE607" s="258" t="s">
        <v>2129</v>
      </c>
      <c r="AF607" s="259"/>
      <c r="AG607" s="260"/>
      <c r="AH607" s="259"/>
      <c r="AI607" s="259"/>
      <c r="AJ607" s="260"/>
      <c r="AK607" s="259">
        <v>26</v>
      </c>
      <c r="AL607" s="259"/>
      <c r="AM607" s="259" t="s">
        <v>3228</v>
      </c>
      <c r="AN607" s="449"/>
      <c r="AO607" s="449"/>
      <c r="AP607" s="449"/>
      <c r="AQ607" s="392" t="str">
        <f>IFERROR(VLOOKUP(BG607,#REF!,1,0),"")</f>
        <v/>
      </c>
      <c r="AS607" s="259" t="s">
        <v>3228</v>
      </c>
      <c r="BD607" s="202" t="str">
        <f t="shared" si="92"/>
        <v>봉고3봉고3 1톤 2WD 더블캡 초장축 노블레스</v>
      </c>
      <c r="BE607" s="261" t="str">
        <f t="shared" si="98"/>
        <v>0065</v>
      </c>
      <c r="BF607" s="407" t="s">
        <v>491</v>
      </c>
      <c r="BG607" s="202" t="str">
        <f t="shared" si="93"/>
        <v>0065-0606</v>
      </c>
    </row>
    <row r="608" spans="1:59">
      <c r="A608" s="405">
        <v>4382</v>
      </c>
      <c r="B608" s="406">
        <v>4382</v>
      </c>
      <c r="C608" s="261" t="str">
        <f t="shared" si="94"/>
        <v>0001-0065</v>
      </c>
      <c r="D608" s="261" t="str">
        <f t="shared" si="95"/>
        <v>0001-0065-0009</v>
      </c>
      <c r="E608" s="407" t="s">
        <v>490</v>
      </c>
      <c r="F608" s="261" t="str">
        <f>TEXT(VLOOKUP(J608,'[3]1'!$B$2:$D$37,2,0),"0000")</f>
        <v>0001</v>
      </c>
      <c r="G608" s="261" t="str">
        <f t="shared" si="96"/>
        <v>0065</v>
      </c>
      <c r="H608" s="408">
        <f t="shared" si="97"/>
        <v>9</v>
      </c>
      <c r="I608" s="407" t="s">
        <v>490</v>
      </c>
      <c r="J608" s="258" t="s">
        <v>828</v>
      </c>
      <c r="K608" s="258" t="s">
        <v>2719</v>
      </c>
      <c r="L608" s="258" t="s">
        <v>2206</v>
      </c>
      <c r="M608" s="409">
        <v>20300000</v>
      </c>
      <c r="N608" s="258">
        <v>2497</v>
      </c>
      <c r="O608" s="258" t="s">
        <v>78</v>
      </c>
      <c r="P608" s="258" t="s">
        <v>86</v>
      </c>
      <c r="Q608" s="258" t="s">
        <v>72</v>
      </c>
      <c r="R608" s="258">
        <v>2</v>
      </c>
      <c r="S608" s="410">
        <v>12</v>
      </c>
      <c r="T608" s="261">
        <v>6</v>
      </c>
      <c r="U608" s="261">
        <v>6</v>
      </c>
      <c r="V608" s="258" t="s">
        <v>71</v>
      </c>
      <c r="W608" s="261" t="str">
        <f t="shared" si="99"/>
        <v>기아자동차봉고3봉고3 1톤 2WD 더블캡 초장축 노블레스 A/T20300000</v>
      </c>
      <c r="X608" s="411">
        <f t="shared" si="100"/>
        <v>4382</v>
      </c>
      <c r="Y608" s="261">
        <v>6</v>
      </c>
      <c r="Z608" s="261">
        <v>6</v>
      </c>
      <c r="AA608" s="407" t="s">
        <v>490</v>
      </c>
      <c r="AB608" s="258" t="s">
        <v>73</v>
      </c>
      <c r="AC608" s="258"/>
      <c r="AD608" s="258" t="s">
        <v>2132</v>
      </c>
      <c r="AE608" s="258" t="s">
        <v>2129</v>
      </c>
      <c r="AF608" s="259"/>
      <c r="AG608" s="260"/>
      <c r="AH608" s="259"/>
      <c r="AI608" s="259"/>
      <c r="AJ608" s="260"/>
      <c r="AK608" s="259">
        <v>26</v>
      </c>
      <c r="AL608" s="259"/>
      <c r="AM608" s="259" t="s">
        <v>3228</v>
      </c>
      <c r="AN608" s="449"/>
      <c r="AO608" s="449"/>
      <c r="AP608" s="449"/>
      <c r="AQ608" s="392" t="str">
        <f>IFERROR(VLOOKUP(BG608,#REF!,1,0),"")</f>
        <v/>
      </c>
      <c r="AS608" s="259" t="s">
        <v>3228</v>
      </c>
      <c r="BD608" s="202" t="str">
        <f t="shared" si="92"/>
        <v>봉고3봉고3 1톤 2WD 더블캡 초장축 노블레스 A/T</v>
      </c>
      <c r="BE608" s="261" t="str">
        <f t="shared" si="98"/>
        <v>0065</v>
      </c>
      <c r="BF608" s="407" t="s">
        <v>490</v>
      </c>
      <c r="BG608" s="202" t="str">
        <f t="shared" si="93"/>
        <v>0065-0607</v>
      </c>
    </row>
    <row r="609" spans="1:59">
      <c r="A609" s="405">
        <v>4383</v>
      </c>
      <c r="B609" s="406">
        <v>4383</v>
      </c>
      <c r="C609" s="261" t="str">
        <f t="shared" si="94"/>
        <v>0001-0065</v>
      </c>
      <c r="D609" s="261" t="str">
        <f t="shared" si="95"/>
        <v>0001-0065-0010</v>
      </c>
      <c r="E609" s="407" t="s">
        <v>489</v>
      </c>
      <c r="F609" s="261" t="str">
        <f>TEXT(VLOOKUP(J609,'[3]1'!$B$2:$D$37,2,0),"0000")</f>
        <v>0001</v>
      </c>
      <c r="G609" s="261" t="str">
        <f t="shared" si="96"/>
        <v>0065</v>
      </c>
      <c r="H609" s="408">
        <f t="shared" si="97"/>
        <v>10</v>
      </c>
      <c r="I609" s="407" t="s">
        <v>489</v>
      </c>
      <c r="J609" s="258" t="s">
        <v>828</v>
      </c>
      <c r="K609" s="258" t="s">
        <v>2719</v>
      </c>
      <c r="L609" s="258" t="s">
        <v>2207</v>
      </c>
      <c r="M609" s="409">
        <v>15750000</v>
      </c>
      <c r="N609" s="258">
        <v>2497</v>
      </c>
      <c r="O609" s="258" t="s">
        <v>78</v>
      </c>
      <c r="P609" s="258" t="s">
        <v>86</v>
      </c>
      <c r="Q609" s="258" t="s">
        <v>88</v>
      </c>
      <c r="R609" s="258">
        <v>2</v>
      </c>
      <c r="S609" s="410">
        <v>12</v>
      </c>
      <c r="T609" s="261">
        <v>6</v>
      </c>
      <c r="U609" s="261">
        <v>6</v>
      </c>
      <c r="V609" s="258" t="s">
        <v>71</v>
      </c>
      <c r="W609" s="261" t="str">
        <f t="shared" si="99"/>
        <v>기아자동차봉고3봉고3 1톤 2WD 더블캡 초장축 디럭스15750000</v>
      </c>
      <c r="X609" s="411">
        <f t="shared" si="100"/>
        <v>4383</v>
      </c>
      <c r="Y609" s="261">
        <v>6</v>
      </c>
      <c r="Z609" s="261">
        <v>6</v>
      </c>
      <c r="AA609" s="407" t="s">
        <v>489</v>
      </c>
      <c r="AB609" s="258" t="s">
        <v>73</v>
      </c>
      <c r="AC609" s="258"/>
      <c r="AD609" s="258" t="s">
        <v>2132</v>
      </c>
      <c r="AE609" s="258" t="s">
        <v>2129</v>
      </c>
      <c r="AF609" s="259"/>
      <c r="AG609" s="260"/>
      <c r="AH609" s="259"/>
      <c r="AI609" s="259"/>
      <c r="AJ609" s="260"/>
      <c r="AK609" s="259">
        <v>26</v>
      </c>
      <c r="AL609" s="259"/>
      <c r="AM609" s="259" t="s">
        <v>3228</v>
      </c>
      <c r="AN609" s="449"/>
      <c r="AO609" s="449"/>
      <c r="AP609" s="449"/>
      <c r="AQ609" s="392" t="str">
        <f>IFERROR(VLOOKUP(BG609,#REF!,1,0),"")</f>
        <v/>
      </c>
      <c r="AS609" s="259" t="s">
        <v>3228</v>
      </c>
      <c r="BD609" s="202" t="str">
        <f t="shared" si="92"/>
        <v>봉고3봉고3 1톤 2WD 더블캡 초장축 디럭스</v>
      </c>
      <c r="BE609" s="261" t="str">
        <f t="shared" si="98"/>
        <v>0065</v>
      </c>
      <c r="BF609" s="407" t="s">
        <v>489</v>
      </c>
      <c r="BG609" s="202" t="str">
        <f t="shared" si="93"/>
        <v>0065-0608</v>
      </c>
    </row>
    <row r="610" spans="1:59">
      <c r="A610" s="405">
        <v>4384</v>
      </c>
      <c r="B610" s="406">
        <v>4384</v>
      </c>
      <c r="C610" s="261" t="str">
        <f t="shared" si="94"/>
        <v>0001-0065</v>
      </c>
      <c r="D610" s="261" t="str">
        <f t="shared" si="95"/>
        <v>0001-0065-0011</v>
      </c>
      <c r="E610" s="407" t="s">
        <v>488</v>
      </c>
      <c r="F610" s="261" t="str">
        <f>TEXT(VLOOKUP(J610,'[3]1'!$B$2:$D$37,2,0),"0000")</f>
        <v>0001</v>
      </c>
      <c r="G610" s="261" t="str">
        <f t="shared" si="96"/>
        <v>0065</v>
      </c>
      <c r="H610" s="408">
        <f t="shared" si="97"/>
        <v>11</v>
      </c>
      <c r="I610" s="407" t="s">
        <v>488</v>
      </c>
      <c r="J610" s="258" t="s">
        <v>828</v>
      </c>
      <c r="K610" s="258" t="s">
        <v>2719</v>
      </c>
      <c r="L610" s="258" t="s">
        <v>2208</v>
      </c>
      <c r="M610" s="409">
        <v>16870000</v>
      </c>
      <c r="N610" s="258">
        <v>2497</v>
      </c>
      <c r="O610" s="258" t="s">
        <v>78</v>
      </c>
      <c r="P610" s="258" t="s">
        <v>86</v>
      </c>
      <c r="Q610" s="258" t="s">
        <v>72</v>
      </c>
      <c r="R610" s="258">
        <v>2</v>
      </c>
      <c r="S610" s="410">
        <v>12</v>
      </c>
      <c r="T610" s="261">
        <v>6</v>
      </c>
      <c r="U610" s="261">
        <v>6</v>
      </c>
      <c r="V610" s="258" t="s">
        <v>71</v>
      </c>
      <c r="W610" s="261" t="str">
        <f t="shared" si="99"/>
        <v>기아자동차봉고3봉고3 1톤 2WD 더블캡 초장축 디럭스 A/T16870000</v>
      </c>
      <c r="X610" s="411">
        <f t="shared" si="100"/>
        <v>4384</v>
      </c>
      <c r="Y610" s="261">
        <v>6</v>
      </c>
      <c r="Z610" s="261">
        <v>6</v>
      </c>
      <c r="AA610" s="407" t="s">
        <v>488</v>
      </c>
      <c r="AB610" s="258" t="s">
        <v>73</v>
      </c>
      <c r="AC610" s="258"/>
      <c r="AD610" s="258" t="s">
        <v>2132</v>
      </c>
      <c r="AE610" s="258" t="s">
        <v>2129</v>
      </c>
      <c r="AF610" s="259"/>
      <c r="AG610" s="260"/>
      <c r="AH610" s="259"/>
      <c r="AI610" s="259"/>
      <c r="AJ610" s="260"/>
      <c r="AK610" s="259">
        <v>26</v>
      </c>
      <c r="AL610" s="259"/>
      <c r="AM610" s="259" t="s">
        <v>3228</v>
      </c>
      <c r="AN610" s="449"/>
      <c r="AO610" s="449"/>
      <c r="AP610" s="449"/>
      <c r="AQ610" s="392" t="str">
        <f>IFERROR(VLOOKUP(BG610,#REF!,1,0),"")</f>
        <v/>
      </c>
      <c r="AS610" s="259" t="s">
        <v>3228</v>
      </c>
      <c r="BD610" s="202" t="str">
        <f t="shared" si="92"/>
        <v>봉고3봉고3 1톤 2WD 더블캡 초장축 디럭스 A/T</v>
      </c>
      <c r="BE610" s="261" t="str">
        <f t="shared" si="98"/>
        <v>0065</v>
      </c>
      <c r="BF610" s="407" t="s">
        <v>488</v>
      </c>
      <c r="BG610" s="202" t="str">
        <f t="shared" si="93"/>
        <v>0065-0609</v>
      </c>
    </row>
    <row r="611" spans="1:59">
      <c r="A611" s="405">
        <v>4385</v>
      </c>
      <c r="B611" s="406">
        <v>4385</v>
      </c>
      <c r="C611" s="261" t="str">
        <f t="shared" si="94"/>
        <v>0001-0065</v>
      </c>
      <c r="D611" s="261" t="str">
        <f t="shared" si="95"/>
        <v>0001-0065-0012</v>
      </c>
      <c r="E611" s="407" t="s">
        <v>487</v>
      </c>
      <c r="F611" s="261" t="str">
        <f>TEXT(VLOOKUP(J611,'[3]1'!$B$2:$D$37,2,0),"0000")</f>
        <v>0001</v>
      </c>
      <c r="G611" s="261" t="str">
        <f t="shared" si="96"/>
        <v>0065</v>
      </c>
      <c r="H611" s="408">
        <f t="shared" si="97"/>
        <v>12</v>
      </c>
      <c r="I611" s="407" t="s">
        <v>487</v>
      </c>
      <c r="J611" s="258" t="s">
        <v>828</v>
      </c>
      <c r="K611" s="258" t="s">
        <v>2719</v>
      </c>
      <c r="L611" s="258" t="s">
        <v>2209</v>
      </c>
      <c r="M611" s="409">
        <v>16590000</v>
      </c>
      <c r="N611" s="258">
        <v>2497</v>
      </c>
      <c r="O611" s="258" t="s">
        <v>78</v>
      </c>
      <c r="P611" s="258" t="s">
        <v>86</v>
      </c>
      <c r="Q611" s="258" t="s">
        <v>88</v>
      </c>
      <c r="R611" s="258">
        <v>5</v>
      </c>
      <c r="S611" s="410">
        <v>12</v>
      </c>
      <c r="T611" s="261">
        <v>6</v>
      </c>
      <c r="U611" s="261">
        <v>6</v>
      </c>
      <c r="V611" s="258" t="s">
        <v>71</v>
      </c>
      <c r="W611" s="261" t="str">
        <f t="shared" si="99"/>
        <v>기아자동차봉고3봉고3 1톤 2WD 더블캡 초장축 디럭스 M/T16590000</v>
      </c>
      <c r="X611" s="411">
        <f t="shared" si="100"/>
        <v>4385</v>
      </c>
      <c r="Y611" s="261">
        <v>6</v>
      </c>
      <c r="Z611" s="261">
        <v>6</v>
      </c>
      <c r="AA611" s="407" t="s">
        <v>487</v>
      </c>
      <c r="AB611" s="258" t="s">
        <v>73</v>
      </c>
      <c r="AC611" s="258"/>
      <c r="AD611" s="258" t="s">
        <v>2132</v>
      </c>
      <c r="AE611" s="258" t="s">
        <v>2129</v>
      </c>
      <c r="AF611" s="259"/>
      <c r="AG611" s="260"/>
      <c r="AH611" s="259"/>
      <c r="AI611" s="259"/>
      <c r="AJ611" s="260"/>
      <c r="AK611" s="259">
        <v>26</v>
      </c>
      <c r="AL611" s="259"/>
      <c r="AM611" s="259" t="s">
        <v>3228</v>
      </c>
      <c r="AN611" s="449"/>
      <c r="AO611" s="449"/>
      <c r="AP611" s="449"/>
      <c r="AQ611" s="392" t="str">
        <f>IFERROR(VLOOKUP(BG611,#REF!,1,0),"")</f>
        <v/>
      </c>
      <c r="AS611" s="259" t="s">
        <v>3228</v>
      </c>
      <c r="BD611" s="202" t="str">
        <f t="shared" si="92"/>
        <v>봉고3봉고3 1톤 2WD 더블캡 초장축 디럭스 M/T</v>
      </c>
      <c r="BE611" s="261" t="str">
        <f t="shared" si="98"/>
        <v>0065</v>
      </c>
      <c r="BF611" s="407" t="s">
        <v>487</v>
      </c>
      <c r="BG611" s="202" t="str">
        <f t="shared" si="93"/>
        <v>0065-0610</v>
      </c>
    </row>
    <row r="612" spans="1:59">
      <c r="A612" s="405">
        <v>4386</v>
      </c>
      <c r="B612" s="406">
        <v>4386</v>
      </c>
      <c r="C612" s="261" t="str">
        <f t="shared" si="94"/>
        <v>0001-0065</v>
      </c>
      <c r="D612" s="261" t="str">
        <f t="shared" si="95"/>
        <v>0001-0065-0013</v>
      </c>
      <c r="E612" s="407" t="s">
        <v>486</v>
      </c>
      <c r="F612" s="261" t="str">
        <f>TEXT(VLOOKUP(J612,'[3]1'!$B$2:$D$37,2,0),"0000")</f>
        <v>0001</v>
      </c>
      <c r="G612" s="261" t="str">
        <f t="shared" si="96"/>
        <v>0065</v>
      </c>
      <c r="H612" s="408">
        <f t="shared" si="97"/>
        <v>13</v>
      </c>
      <c r="I612" s="407" t="s">
        <v>486</v>
      </c>
      <c r="J612" s="258" t="s">
        <v>828</v>
      </c>
      <c r="K612" s="258" t="s">
        <v>2719</v>
      </c>
      <c r="L612" s="258" t="s">
        <v>2210</v>
      </c>
      <c r="M612" s="409">
        <v>17190000</v>
      </c>
      <c r="N612" s="258">
        <v>2497</v>
      </c>
      <c r="O612" s="258" t="s">
        <v>78</v>
      </c>
      <c r="P612" s="258" t="s">
        <v>86</v>
      </c>
      <c r="Q612" s="258" t="s">
        <v>88</v>
      </c>
      <c r="R612" s="258" t="e">
        <v>#N/A</v>
      </c>
      <c r="S612" s="410">
        <v>12</v>
      </c>
      <c r="T612" s="261">
        <v>6</v>
      </c>
      <c r="U612" s="261">
        <v>6</v>
      </c>
      <c r="V612" s="258" t="s">
        <v>3993</v>
      </c>
      <c r="W612" s="261" t="str">
        <f t="shared" si="99"/>
        <v>기아자동차봉고3봉고3 1톤 2WD 더블캡 초장축 럭셔리17190000</v>
      </c>
      <c r="X612" s="411">
        <f t="shared" si="100"/>
        <v>4386</v>
      </c>
      <c r="Y612" s="261">
        <v>6</v>
      </c>
      <c r="Z612" s="261">
        <v>6</v>
      </c>
      <c r="AA612" s="407" t="s">
        <v>486</v>
      </c>
      <c r="AB612" s="258" t="e">
        <v>#N/A</v>
      </c>
      <c r="AC612" s="258"/>
      <c r="AD612" s="258" t="s">
        <v>2132</v>
      </c>
      <c r="AE612" s="258" t="s">
        <v>2129</v>
      </c>
      <c r="AF612" s="259"/>
      <c r="AG612" s="260"/>
      <c r="AH612" s="259"/>
      <c r="AI612" s="259"/>
      <c r="AJ612" s="260"/>
      <c r="AK612" s="259">
        <v>26</v>
      </c>
      <c r="AL612" s="259"/>
      <c r="AM612" s="259" t="s">
        <v>3228</v>
      </c>
      <c r="AN612" s="449"/>
      <c r="AO612" s="449"/>
      <c r="AP612" s="449"/>
      <c r="AQ612" s="392" t="str">
        <f>IFERROR(VLOOKUP(BG612,#REF!,1,0),"")</f>
        <v/>
      </c>
      <c r="AS612" s="259" t="s">
        <v>3228</v>
      </c>
      <c r="BD612" s="202" t="str">
        <f t="shared" si="92"/>
        <v>봉고3봉고3 1톤 2WD 더블캡 초장축 럭셔리</v>
      </c>
      <c r="BE612" s="261" t="str">
        <f t="shared" si="98"/>
        <v>0065</v>
      </c>
      <c r="BF612" s="407" t="s">
        <v>486</v>
      </c>
      <c r="BG612" s="202" t="str">
        <f t="shared" si="93"/>
        <v>0065-0611</v>
      </c>
    </row>
    <row r="613" spans="1:59">
      <c r="A613" s="405">
        <v>4387</v>
      </c>
      <c r="B613" s="406">
        <v>4387</v>
      </c>
      <c r="C613" s="261" t="str">
        <f t="shared" si="94"/>
        <v>0001-0065</v>
      </c>
      <c r="D613" s="261" t="str">
        <f t="shared" si="95"/>
        <v>0001-0065-0014</v>
      </c>
      <c r="E613" s="407" t="s">
        <v>485</v>
      </c>
      <c r="F613" s="261" t="str">
        <f>TEXT(VLOOKUP(J613,'[3]1'!$B$2:$D$37,2,0),"0000")</f>
        <v>0001</v>
      </c>
      <c r="G613" s="261" t="str">
        <f t="shared" si="96"/>
        <v>0065</v>
      </c>
      <c r="H613" s="408">
        <f t="shared" si="97"/>
        <v>14</v>
      </c>
      <c r="I613" s="407" t="s">
        <v>485</v>
      </c>
      <c r="J613" s="258" t="s">
        <v>828</v>
      </c>
      <c r="K613" s="258" t="s">
        <v>2719</v>
      </c>
      <c r="L613" s="258" t="s">
        <v>2211</v>
      </c>
      <c r="M613" s="409">
        <v>17870000</v>
      </c>
      <c r="N613" s="258">
        <v>2497</v>
      </c>
      <c r="O613" s="258" t="s">
        <v>78</v>
      </c>
      <c r="P613" s="258" t="s">
        <v>86</v>
      </c>
      <c r="Q613" s="258" t="s">
        <v>72</v>
      </c>
      <c r="R613" s="258" t="e">
        <v>#N/A</v>
      </c>
      <c r="S613" s="410">
        <v>12</v>
      </c>
      <c r="T613" s="261">
        <v>6</v>
      </c>
      <c r="U613" s="261">
        <v>6</v>
      </c>
      <c r="V613" s="258" t="s">
        <v>3993</v>
      </c>
      <c r="W613" s="261" t="str">
        <f t="shared" si="99"/>
        <v>기아자동차봉고3봉고3 1톤 2WD 더블캡 초장축 럭셔리 A/T17870000</v>
      </c>
      <c r="X613" s="411">
        <f t="shared" si="100"/>
        <v>4387</v>
      </c>
      <c r="Y613" s="261">
        <v>6</v>
      </c>
      <c r="Z613" s="261">
        <v>6</v>
      </c>
      <c r="AA613" s="407" t="s">
        <v>485</v>
      </c>
      <c r="AB613" s="258" t="e">
        <v>#N/A</v>
      </c>
      <c r="AC613" s="258"/>
      <c r="AD613" s="258" t="s">
        <v>2132</v>
      </c>
      <c r="AE613" s="258" t="s">
        <v>2129</v>
      </c>
      <c r="AF613" s="259"/>
      <c r="AG613" s="260"/>
      <c r="AH613" s="259"/>
      <c r="AI613" s="259"/>
      <c r="AJ613" s="260"/>
      <c r="AK613" s="259">
        <v>26</v>
      </c>
      <c r="AL613" s="259"/>
      <c r="AM613" s="259" t="s">
        <v>3228</v>
      </c>
      <c r="AN613" s="449"/>
      <c r="AO613" s="449"/>
      <c r="AP613" s="449"/>
      <c r="AQ613" s="392" t="str">
        <f>IFERROR(VLOOKUP(BG613,#REF!,1,0),"")</f>
        <v/>
      </c>
      <c r="AS613" s="259" t="s">
        <v>3228</v>
      </c>
      <c r="BD613" s="202" t="str">
        <f t="shared" si="92"/>
        <v>봉고3봉고3 1톤 2WD 더블캡 초장축 럭셔리 A/T</v>
      </c>
      <c r="BE613" s="261" t="str">
        <f t="shared" si="98"/>
        <v>0065</v>
      </c>
      <c r="BF613" s="407" t="s">
        <v>485</v>
      </c>
      <c r="BG613" s="202" t="str">
        <f t="shared" si="93"/>
        <v>0065-0612</v>
      </c>
    </row>
    <row r="614" spans="1:59">
      <c r="A614" s="405">
        <v>4388</v>
      </c>
      <c r="B614" s="406">
        <v>4388</v>
      </c>
      <c r="C614" s="261" t="str">
        <f t="shared" si="94"/>
        <v>0001-0065</v>
      </c>
      <c r="D614" s="261" t="str">
        <f t="shared" si="95"/>
        <v>0001-0065-0015</v>
      </c>
      <c r="E614" s="407" t="s">
        <v>484</v>
      </c>
      <c r="F614" s="261" t="str">
        <f>TEXT(VLOOKUP(J614,'[3]1'!$B$2:$D$37,2,0),"0000")</f>
        <v>0001</v>
      </c>
      <c r="G614" s="261" t="str">
        <f t="shared" si="96"/>
        <v>0065</v>
      </c>
      <c r="H614" s="408">
        <f t="shared" si="97"/>
        <v>15</v>
      </c>
      <c r="I614" s="407" t="s">
        <v>484</v>
      </c>
      <c r="J614" s="258" t="s">
        <v>828</v>
      </c>
      <c r="K614" s="258" t="s">
        <v>2719</v>
      </c>
      <c r="L614" s="258" t="s">
        <v>2212</v>
      </c>
      <c r="M614" s="409">
        <v>18160000</v>
      </c>
      <c r="N614" s="258">
        <v>2497</v>
      </c>
      <c r="O614" s="258" t="s">
        <v>78</v>
      </c>
      <c r="P614" s="258" t="s">
        <v>86</v>
      </c>
      <c r="Q614" s="258" t="s">
        <v>88</v>
      </c>
      <c r="R614" s="258" t="e">
        <v>#N/A</v>
      </c>
      <c r="S614" s="410">
        <v>12</v>
      </c>
      <c r="T614" s="261">
        <v>6</v>
      </c>
      <c r="U614" s="261">
        <v>6</v>
      </c>
      <c r="V614" s="258" t="s">
        <v>3993</v>
      </c>
      <c r="W614" s="261" t="str">
        <f t="shared" si="99"/>
        <v>기아자동차봉고3봉고3 1톤 2WD 더블캡 초장축 프레스티지18160000</v>
      </c>
      <c r="X614" s="411">
        <f t="shared" si="100"/>
        <v>4388</v>
      </c>
      <c r="Y614" s="261">
        <v>6</v>
      </c>
      <c r="Z614" s="261">
        <v>6</v>
      </c>
      <c r="AA614" s="407" t="s">
        <v>484</v>
      </c>
      <c r="AB614" s="258" t="e">
        <v>#N/A</v>
      </c>
      <c r="AC614" s="258"/>
      <c r="AD614" s="258" t="s">
        <v>2132</v>
      </c>
      <c r="AE614" s="258" t="s">
        <v>2129</v>
      </c>
      <c r="AF614" s="259"/>
      <c r="AG614" s="260"/>
      <c r="AH614" s="259"/>
      <c r="AI614" s="259"/>
      <c r="AJ614" s="260"/>
      <c r="AK614" s="259">
        <v>26</v>
      </c>
      <c r="AL614" s="259"/>
      <c r="AM614" s="259" t="s">
        <v>3228</v>
      </c>
      <c r="AN614" s="449"/>
      <c r="AO614" s="449"/>
      <c r="AP614" s="449"/>
      <c r="AQ614" s="392" t="str">
        <f>IFERROR(VLOOKUP(BG614,#REF!,1,0),"")</f>
        <v/>
      </c>
      <c r="AS614" s="259" t="s">
        <v>3228</v>
      </c>
      <c r="BD614" s="202" t="str">
        <f t="shared" si="92"/>
        <v>봉고3봉고3 1톤 2WD 더블캡 초장축 프레스티지</v>
      </c>
      <c r="BE614" s="261" t="str">
        <f t="shared" si="98"/>
        <v>0065</v>
      </c>
      <c r="BF614" s="407" t="s">
        <v>484</v>
      </c>
      <c r="BG614" s="202" t="str">
        <f t="shared" si="93"/>
        <v>0065-0613</v>
      </c>
    </row>
    <row r="615" spans="1:59">
      <c r="A615" s="405">
        <v>4389</v>
      </c>
      <c r="B615" s="406">
        <v>4389</v>
      </c>
      <c r="C615" s="261" t="str">
        <f t="shared" si="94"/>
        <v>0001-0065</v>
      </c>
      <c r="D615" s="261" t="str">
        <f t="shared" si="95"/>
        <v>0001-0065-0016</v>
      </c>
      <c r="E615" s="407" t="s">
        <v>483</v>
      </c>
      <c r="F615" s="261" t="str">
        <f>TEXT(VLOOKUP(J615,'[3]1'!$B$2:$D$37,2,0),"0000")</f>
        <v>0001</v>
      </c>
      <c r="G615" s="261" t="str">
        <f t="shared" si="96"/>
        <v>0065</v>
      </c>
      <c r="H615" s="408">
        <f t="shared" si="97"/>
        <v>16</v>
      </c>
      <c r="I615" s="407" t="s">
        <v>483</v>
      </c>
      <c r="J615" s="258" t="s">
        <v>828</v>
      </c>
      <c r="K615" s="258" t="s">
        <v>2719</v>
      </c>
      <c r="L615" s="258" t="s">
        <v>2213</v>
      </c>
      <c r="M615" s="409">
        <v>18730000</v>
      </c>
      <c r="N615" s="258">
        <v>2497</v>
      </c>
      <c r="O615" s="258" t="s">
        <v>78</v>
      </c>
      <c r="P615" s="258" t="s">
        <v>86</v>
      </c>
      <c r="Q615" s="258" t="s">
        <v>72</v>
      </c>
      <c r="R615" s="258">
        <v>4</v>
      </c>
      <c r="S615" s="410">
        <v>12</v>
      </c>
      <c r="T615" s="261">
        <v>6</v>
      </c>
      <c r="U615" s="261">
        <v>6</v>
      </c>
      <c r="V615" s="258" t="s">
        <v>71</v>
      </c>
      <c r="W615" s="261" t="str">
        <f t="shared" si="99"/>
        <v>기아자동차봉고3봉고3 1톤 2WD 더블캡 초장축 프레스티지 A/T18730000</v>
      </c>
      <c r="X615" s="411">
        <f t="shared" si="100"/>
        <v>4389</v>
      </c>
      <c r="Y615" s="261">
        <v>6</v>
      </c>
      <c r="Z615" s="261">
        <v>6</v>
      </c>
      <c r="AA615" s="407" t="s">
        <v>483</v>
      </c>
      <c r="AB615" s="258" t="s">
        <v>73</v>
      </c>
      <c r="AC615" s="258"/>
      <c r="AD615" s="258" t="s">
        <v>2132</v>
      </c>
      <c r="AE615" s="258" t="s">
        <v>2129</v>
      </c>
      <c r="AF615" s="259"/>
      <c r="AG615" s="260"/>
      <c r="AH615" s="259"/>
      <c r="AI615" s="259"/>
      <c r="AJ615" s="260"/>
      <c r="AK615" s="259">
        <v>26</v>
      </c>
      <c r="AL615" s="259"/>
      <c r="AM615" s="259" t="s">
        <v>3228</v>
      </c>
      <c r="AN615" s="449"/>
      <c r="AO615" s="449"/>
      <c r="AP615" s="449"/>
      <c r="AQ615" s="392" t="str">
        <f>IFERROR(VLOOKUP(BG615,#REF!,1,0),"")</f>
        <v/>
      </c>
      <c r="AS615" s="259" t="s">
        <v>3228</v>
      </c>
      <c r="BD615" s="202" t="str">
        <f t="shared" si="92"/>
        <v>봉고3봉고3 1톤 2WD 더블캡 초장축 프레스티지 A/T</v>
      </c>
      <c r="BE615" s="261" t="str">
        <f t="shared" si="98"/>
        <v>0065</v>
      </c>
      <c r="BF615" s="407" t="s">
        <v>483</v>
      </c>
      <c r="BG615" s="202" t="str">
        <f t="shared" si="93"/>
        <v>0065-0614</v>
      </c>
    </row>
    <row r="616" spans="1:59">
      <c r="A616" s="405">
        <v>4390</v>
      </c>
      <c r="B616" s="406">
        <v>4390</v>
      </c>
      <c r="C616" s="261" t="str">
        <f t="shared" si="94"/>
        <v>0001-0065</v>
      </c>
      <c r="D616" s="261" t="str">
        <f t="shared" si="95"/>
        <v>0001-0065-0017</v>
      </c>
      <c r="E616" s="407" t="s">
        <v>482</v>
      </c>
      <c r="F616" s="261" t="str">
        <f>TEXT(VLOOKUP(J616,'[3]1'!$B$2:$D$37,2,0),"0000")</f>
        <v>0001</v>
      </c>
      <c r="G616" s="261" t="str">
        <f t="shared" si="96"/>
        <v>0065</v>
      </c>
      <c r="H616" s="408">
        <f t="shared" si="97"/>
        <v>17</v>
      </c>
      <c r="I616" s="407" t="s">
        <v>482</v>
      </c>
      <c r="J616" s="258" t="s">
        <v>828</v>
      </c>
      <c r="K616" s="258" t="s">
        <v>2719</v>
      </c>
      <c r="L616" s="258" t="s">
        <v>2214</v>
      </c>
      <c r="M616" s="409">
        <v>16550000</v>
      </c>
      <c r="N616" s="258">
        <v>2497</v>
      </c>
      <c r="O616" s="258" t="s">
        <v>78</v>
      </c>
      <c r="P616" s="258" t="s">
        <v>86</v>
      </c>
      <c r="Q616" s="258" t="s">
        <v>88</v>
      </c>
      <c r="R616" s="258">
        <v>4</v>
      </c>
      <c r="S616" s="410">
        <v>10</v>
      </c>
      <c r="T616" s="261">
        <v>6</v>
      </c>
      <c r="U616" s="261">
        <v>6</v>
      </c>
      <c r="V616" s="258" t="s">
        <v>71</v>
      </c>
      <c r="W616" s="261" t="str">
        <f t="shared" si="99"/>
        <v>기아자동차봉고3봉고3 1톤 2WD 킹캡 장축 프레스티지16550000</v>
      </c>
      <c r="X616" s="411">
        <f t="shared" si="100"/>
        <v>4390</v>
      </c>
      <c r="Y616" s="261">
        <v>6</v>
      </c>
      <c r="Z616" s="261">
        <v>6</v>
      </c>
      <c r="AA616" s="407" t="s">
        <v>482</v>
      </c>
      <c r="AB616" s="258" t="s">
        <v>73</v>
      </c>
      <c r="AC616" s="258"/>
      <c r="AD616" s="258" t="s">
        <v>2132</v>
      </c>
      <c r="AE616" s="258" t="s">
        <v>2129</v>
      </c>
      <c r="AF616" s="259"/>
      <c r="AG616" s="260"/>
      <c r="AH616" s="259"/>
      <c r="AI616" s="259"/>
      <c r="AJ616" s="260"/>
      <c r="AK616" s="259">
        <v>26</v>
      </c>
      <c r="AL616" s="259"/>
      <c r="AM616" s="259" t="s">
        <v>3224</v>
      </c>
      <c r="AN616" s="449"/>
      <c r="AO616" s="449"/>
      <c r="AP616" s="449"/>
      <c r="AQ616" s="392" t="str">
        <f>IFERROR(VLOOKUP(BG616,#REF!,1,0),"")</f>
        <v/>
      </c>
      <c r="AS616" s="259" t="s">
        <v>3224</v>
      </c>
      <c r="BD616" s="202" t="str">
        <f t="shared" si="92"/>
        <v>봉고3봉고3 1톤 2WD 킹캡 장축 프레스티지</v>
      </c>
      <c r="BE616" s="261" t="str">
        <f t="shared" si="98"/>
        <v>0065</v>
      </c>
      <c r="BF616" s="407" t="s">
        <v>482</v>
      </c>
      <c r="BG616" s="202" t="str">
        <f t="shared" si="93"/>
        <v>0065-0615</v>
      </c>
    </row>
    <row r="617" spans="1:59">
      <c r="A617" s="405">
        <v>4391</v>
      </c>
      <c r="B617" s="406">
        <v>4391</v>
      </c>
      <c r="C617" s="261" t="str">
        <f t="shared" si="94"/>
        <v>0001-0065</v>
      </c>
      <c r="D617" s="261" t="str">
        <f t="shared" si="95"/>
        <v>0001-0065-0018</v>
      </c>
      <c r="E617" s="407" t="s">
        <v>481</v>
      </c>
      <c r="F617" s="261" t="str">
        <f>TEXT(VLOOKUP(J617,'[3]1'!$B$2:$D$37,2,0),"0000")</f>
        <v>0001</v>
      </c>
      <c r="G617" s="261" t="str">
        <f t="shared" si="96"/>
        <v>0065</v>
      </c>
      <c r="H617" s="408">
        <f t="shared" si="97"/>
        <v>18</v>
      </c>
      <c r="I617" s="407" t="s">
        <v>481</v>
      </c>
      <c r="J617" s="258" t="s">
        <v>828</v>
      </c>
      <c r="K617" s="258" t="s">
        <v>2719</v>
      </c>
      <c r="L617" s="258" t="s">
        <v>2215</v>
      </c>
      <c r="M617" s="409">
        <v>17900000</v>
      </c>
      <c r="N617" s="258">
        <v>2497</v>
      </c>
      <c r="O617" s="258" t="s">
        <v>78</v>
      </c>
      <c r="P617" s="258" t="s">
        <v>86</v>
      </c>
      <c r="Q617" s="258" t="s">
        <v>88</v>
      </c>
      <c r="R617" s="258">
        <v>4</v>
      </c>
      <c r="S617" s="410">
        <v>10</v>
      </c>
      <c r="T617" s="261">
        <v>6</v>
      </c>
      <c r="U617" s="261">
        <v>6</v>
      </c>
      <c r="V617" s="258" t="s">
        <v>71</v>
      </c>
      <c r="W617" s="261" t="str">
        <f t="shared" si="99"/>
        <v>기아자동차봉고3봉고3 1톤 2WD 킹캡 초장축 노블레스17900000</v>
      </c>
      <c r="X617" s="411">
        <f t="shared" si="100"/>
        <v>4391</v>
      </c>
      <c r="Y617" s="261">
        <v>6</v>
      </c>
      <c r="Z617" s="261">
        <v>6</v>
      </c>
      <c r="AA617" s="407" t="s">
        <v>481</v>
      </c>
      <c r="AB617" s="258" t="s">
        <v>73</v>
      </c>
      <c r="AC617" s="258"/>
      <c r="AD617" s="258" t="s">
        <v>2132</v>
      </c>
      <c r="AE617" s="258" t="s">
        <v>2129</v>
      </c>
      <c r="AF617" s="259"/>
      <c r="AG617" s="260"/>
      <c r="AH617" s="259"/>
      <c r="AI617" s="259"/>
      <c r="AJ617" s="260"/>
      <c r="AK617" s="259">
        <v>26</v>
      </c>
      <c r="AL617" s="259"/>
      <c r="AM617" s="259" t="s">
        <v>3224</v>
      </c>
      <c r="AN617" s="449"/>
      <c r="AO617" s="449"/>
      <c r="AP617" s="449"/>
      <c r="AQ617" s="392" t="str">
        <f>IFERROR(VLOOKUP(BG617,#REF!,1,0),"")</f>
        <v/>
      </c>
      <c r="AS617" s="259" t="s">
        <v>3224</v>
      </c>
      <c r="BD617" s="202" t="str">
        <f t="shared" si="92"/>
        <v>봉고3봉고3 1톤 2WD 킹캡 초장축 노블레스</v>
      </c>
      <c r="BE617" s="261" t="str">
        <f t="shared" si="98"/>
        <v>0065</v>
      </c>
      <c r="BF617" s="407" t="s">
        <v>481</v>
      </c>
      <c r="BG617" s="202" t="str">
        <f t="shared" si="93"/>
        <v>0065-0616</v>
      </c>
    </row>
    <row r="618" spans="1:59">
      <c r="A618" s="405">
        <v>4392</v>
      </c>
      <c r="B618" s="406">
        <v>4392</v>
      </c>
      <c r="C618" s="261" t="str">
        <f t="shared" si="94"/>
        <v>0001-0065</v>
      </c>
      <c r="D618" s="261" t="str">
        <f t="shared" si="95"/>
        <v>0001-0065-0019</v>
      </c>
      <c r="E618" s="407" t="s">
        <v>480</v>
      </c>
      <c r="F618" s="261" t="str">
        <f>TEXT(VLOOKUP(J618,'[3]1'!$B$2:$D$37,2,0),"0000")</f>
        <v>0001</v>
      </c>
      <c r="G618" s="261" t="str">
        <f t="shared" si="96"/>
        <v>0065</v>
      </c>
      <c r="H618" s="408">
        <f t="shared" si="97"/>
        <v>19</v>
      </c>
      <c r="I618" s="407" t="s">
        <v>480</v>
      </c>
      <c r="J618" s="258" t="s">
        <v>828</v>
      </c>
      <c r="K618" s="258" t="s">
        <v>2719</v>
      </c>
      <c r="L618" s="258" t="s">
        <v>2216</v>
      </c>
      <c r="M618" s="409">
        <v>18040000</v>
      </c>
      <c r="N618" s="258">
        <v>2497</v>
      </c>
      <c r="O618" s="258" t="s">
        <v>78</v>
      </c>
      <c r="P618" s="258" t="s">
        <v>86</v>
      </c>
      <c r="Q618" s="258" t="s">
        <v>72</v>
      </c>
      <c r="R618" s="258">
        <v>5</v>
      </c>
      <c r="S618" s="410">
        <v>10</v>
      </c>
      <c r="T618" s="261">
        <v>6</v>
      </c>
      <c r="U618" s="261">
        <v>6</v>
      </c>
      <c r="V618" s="258" t="s">
        <v>71</v>
      </c>
      <c r="W618" s="261" t="str">
        <f t="shared" si="99"/>
        <v>기아자동차봉고3봉고3 1톤 2WD 킹캡 초장축 노블레스 A/T18040000</v>
      </c>
      <c r="X618" s="411">
        <f t="shared" si="100"/>
        <v>4392</v>
      </c>
      <c r="Y618" s="261">
        <v>6</v>
      </c>
      <c r="Z618" s="261">
        <v>6</v>
      </c>
      <c r="AA618" s="407" t="s">
        <v>480</v>
      </c>
      <c r="AB618" s="258" t="s">
        <v>73</v>
      </c>
      <c r="AC618" s="258"/>
      <c r="AD618" s="258" t="s">
        <v>2132</v>
      </c>
      <c r="AE618" s="258" t="s">
        <v>2129</v>
      </c>
      <c r="AF618" s="259"/>
      <c r="AG618" s="260"/>
      <c r="AH618" s="259"/>
      <c r="AI618" s="259"/>
      <c r="AJ618" s="260"/>
      <c r="AK618" s="259">
        <v>26</v>
      </c>
      <c r="AL618" s="259"/>
      <c r="AM618" s="259" t="s">
        <v>3224</v>
      </c>
      <c r="AN618" s="449"/>
      <c r="AO618" s="449"/>
      <c r="AP618" s="449"/>
      <c r="AQ618" s="392" t="str">
        <f>IFERROR(VLOOKUP(BG618,#REF!,1,0),"")</f>
        <v/>
      </c>
      <c r="AS618" s="259" t="s">
        <v>3224</v>
      </c>
      <c r="BD618" s="202" t="str">
        <f t="shared" si="92"/>
        <v>봉고3봉고3 1톤 2WD 킹캡 초장축 노블레스 A/T</v>
      </c>
      <c r="BE618" s="261" t="str">
        <f t="shared" si="98"/>
        <v>0065</v>
      </c>
      <c r="BF618" s="407" t="s">
        <v>480</v>
      </c>
      <c r="BG618" s="202" t="str">
        <f t="shared" si="93"/>
        <v>0065-0617</v>
      </c>
    </row>
    <row r="619" spans="1:59">
      <c r="A619" s="405">
        <v>4393</v>
      </c>
      <c r="B619" s="406">
        <v>4393</v>
      </c>
      <c r="C619" s="261" t="str">
        <f t="shared" si="94"/>
        <v>0001-0065</v>
      </c>
      <c r="D619" s="261" t="str">
        <f t="shared" si="95"/>
        <v>0001-0065-0020</v>
      </c>
      <c r="E619" s="407" t="s">
        <v>479</v>
      </c>
      <c r="F619" s="261" t="str">
        <f>TEXT(VLOOKUP(J619,'[3]1'!$B$2:$D$37,2,0),"0000")</f>
        <v>0001</v>
      </c>
      <c r="G619" s="261" t="str">
        <f t="shared" si="96"/>
        <v>0065</v>
      </c>
      <c r="H619" s="408">
        <f t="shared" si="97"/>
        <v>20</v>
      </c>
      <c r="I619" s="407" t="s">
        <v>479</v>
      </c>
      <c r="J619" s="258" t="s">
        <v>828</v>
      </c>
      <c r="K619" s="258" t="s">
        <v>2719</v>
      </c>
      <c r="L619" s="258" t="s">
        <v>2217</v>
      </c>
      <c r="M619" s="409">
        <v>15300000</v>
      </c>
      <c r="N619" s="258">
        <v>2497</v>
      </c>
      <c r="O619" s="258" t="s">
        <v>78</v>
      </c>
      <c r="P619" s="258" t="s">
        <v>86</v>
      </c>
      <c r="Q619" s="258" t="s">
        <v>88</v>
      </c>
      <c r="R619" s="258">
        <v>5</v>
      </c>
      <c r="S619" s="410">
        <v>10</v>
      </c>
      <c r="T619" s="261">
        <v>6</v>
      </c>
      <c r="U619" s="261">
        <v>6</v>
      </c>
      <c r="V619" s="258" t="s">
        <v>71</v>
      </c>
      <c r="W619" s="261" t="str">
        <f t="shared" si="99"/>
        <v>기아자동차봉고3봉고3 1톤 2WD 킹캡 초장축 디럭스15300000</v>
      </c>
      <c r="X619" s="411">
        <f t="shared" si="100"/>
        <v>4393</v>
      </c>
      <c r="Y619" s="261">
        <v>6</v>
      </c>
      <c r="Z619" s="261">
        <v>6</v>
      </c>
      <c r="AA619" s="407" t="s">
        <v>479</v>
      </c>
      <c r="AB619" s="258" t="s">
        <v>73</v>
      </c>
      <c r="AC619" s="258"/>
      <c r="AD619" s="258" t="s">
        <v>2132</v>
      </c>
      <c r="AE619" s="258" t="s">
        <v>2129</v>
      </c>
      <c r="AF619" s="259"/>
      <c r="AG619" s="260"/>
      <c r="AH619" s="259"/>
      <c r="AI619" s="259"/>
      <c r="AJ619" s="260"/>
      <c r="AK619" s="259">
        <v>26</v>
      </c>
      <c r="AL619" s="259"/>
      <c r="AM619" s="259" t="s">
        <v>3224</v>
      </c>
      <c r="AN619" s="449"/>
      <c r="AO619" s="449"/>
      <c r="AP619" s="449"/>
      <c r="AQ619" s="392" t="str">
        <f>IFERROR(VLOOKUP(BG619,#REF!,1,0),"")</f>
        <v/>
      </c>
      <c r="AS619" s="259" t="s">
        <v>3224</v>
      </c>
      <c r="BD619" s="202" t="str">
        <f t="shared" si="92"/>
        <v>봉고3봉고3 1톤 2WD 킹캡 초장축 디럭스</v>
      </c>
      <c r="BE619" s="261" t="str">
        <f t="shared" si="98"/>
        <v>0065</v>
      </c>
      <c r="BF619" s="407" t="s">
        <v>479</v>
      </c>
      <c r="BG619" s="202" t="str">
        <f t="shared" si="93"/>
        <v>0065-0618</v>
      </c>
    </row>
    <row r="620" spans="1:59">
      <c r="A620" s="405">
        <v>4394</v>
      </c>
      <c r="B620" s="406">
        <v>4394</v>
      </c>
      <c r="C620" s="261" t="str">
        <f t="shared" si="94"/>
        <v>0001-0065</v>
      </c>
      <c r="D620" s="261" t="str">
        <f t="shared" si="95"/>
        <v>0001-0065-0021</v>
      </c>
      <c r="E620" s="407" t="s">
        <v>478</v>
      </c>
      <c r="F620" s="261" t="str">
        <f>TEXT(VLOOKUP(J620,'[3]1'!$B$2:$D$37,2,0),"0000")</f>
        <v>0001</v>
      </c>
      <c r="G620" s="261" t="str">
        <f t="shared" si="96"/>
        <v>0065</v>
      </c>
      <c r="H620" s="408">
        <f t="shared" si="97"/>
        <v>21</v>
      </c>
      <c r="I620" s="407" t="s">
        <v>478</v>
      </c>
      <c r="J620" s="258" t="s">
        <v>828</v>
      </c>
      <c r="K620" s="258" t="s">
        <v>2719</v>
      </c>
      <c r="L620" s="258" t="s">
        <v>2218</v>
      </c>
      <c r="M620" s="409">
        <v>15620000</v>
      </c>
      <c r="N620" s="258">
        <v>2497</v>
      </c>
      <c r="O620" s="258" t="s">
        <v>78</v>
      </c>
      <c r="P620" s="258" t="s">
        <v>86</v>
      </c>
      <c r="Q620" s="258" t="s">
        <v>72</v>
      </c>
      <c r="R620" s="258">
        <v>5</v>
      </c>
      <c r="S620" s="410">
        <v>10</v>
      </c>
      <c r="T620" s="261">
        <v>6</v>
      </c>
      <c r="U620" s="261">
        <v>6</v>
      </c>
      <c r="V620" s="258" t="s">
        <v>71</v>
      </c>
      <c r="W620" s="261" t="str">
        <f t="shared" si="99"/>
        <v>기아자동차봉고3봉고3 1톤 2WD 킹캡 초장축 디럭스 A/T15620000</v>
      </c>
      <c r="X620" s="411">
        <f t="shared" si="100"/>
        <v>4394</v>
      </c>
      <c r="Y620" s="261">
        <v>6</v>
      </c>
      <c r="Z620" s="261">
        <v>6</v>
      </c>
      <c r="AA620" s="407" t="s">
        <v>478</v>
      </c>
      <c r="AB620" s="258" t="s">
        <v>73</v>
      </c>
      <c r="AC620" s="258"/>
      <c r="AD620" s="258" t="s">
        <v>2132</v>
      </c>
      <c r="AE620" s="258" t="s">
        <v>2129</v>
      </c>
      <c r="AF620" s="259"/>
      <c r="AG620" s="260"/>
      <c r="AH620" s="259"/>
      <c r="AI620" s="259"/>
      <c r="AJ620" s="260"/>
      <c r="AK620" s="259">
        <v>26</v>
      </c>
      <c r="AL620" s="259"/>
      <c r="AM620" s="259" t="s">
        <v>3224</v>
      </c>
      <c r="AN620" s="449"/>
      <c r="AO620" s="449"/>
      <c r="AP620" s="449"/>
      <c r="AQ620" s="392" t="str">
        <f>IFERROR(VLOOKUP(BG620,#REF!,1,0),"")</f>
        <v/>
      </c>
      <c r="AS620" s="259" t="s">
        <v>3224</v>
      </c>
      <c r="BD620" s="202" t="str">
        <f t="shared" si="92"/>
        <v>봉고3봉고3 1톤 2WD 킹캡 초장축 디럭스 A/T</v>
      </c>
      <c r="BE620" s="261" t="str">
        <f t="shared" si="98"/>
        <v>0065</v>
      </c>
      <c r="BF620" s="407" t="s">
        <v>478</v>
      </c>
      <c r="BG620" s="202" t="str">
        <f t="shared" si="93"/>
        <v>0065-0619</v>
      </c>
    </row>
    <row r="621" spans="1:59">
      <c r="A621" s="405">
        <v>4395</v>
      </c>
      <c r="B621" s="406">
        <v>4395</v>
      </c>
      <c r="C621" s="261" t="str">
        <f t="shared" si="94"/>
        <v>0001-0065</v>
      </c>
      <c r="D621" s="261" t="str">
        <f t="shared" si="95"/>
        <v>0001-0065-0022</v>
      </c>
      <c r="E621" s="407" t="s">
        <v>477</v>
      </c>
      <c r="F621" s="261" t="str">
        <f>TEXT(VLOOKUP(J621,'[3]1'!$B$2:$D$37,2,0),"0000")</f>
        <v>0001</v>
      </c>
      <c r="G621" s="261" t="str">
        <f t="shared" si="96"/>
        <v>0065</v>
      </c>
      <c r="H621" s="408">
        <f t="shared" si="97"/>
        <v>22</v>
      </c>
      <c r="I621" s="407" t="s">
        <v>477</v>
      </c>
      <c r="J621" s="258" t="s">
        <v>828</v>
      </c>
      <c r="K621" s="258" t="s">
        <v>2719</v>
      </c>
      <c r="L621" s="258" t="s">
        <v>2219</v>
      </c>
      <c r="M621" s="409">
        <v>15900000</v>
      </c>
      <c r="N621" s="258">
        <v>2497</v>
      </c>
      <c r="O621" s="258" t="s">
        <v>78</v>
      </c>
      <c r="P621" s="258" t="s">
        <v>86</v>
      </c>
      <c r="Q621" s="258" t="s">
        <v>88</v>
      </c>
      <c r="R621" s="258">
        <v>5</v>
      </c>
      <c r="S621" s="410">
        <v>10</v>
      </c>
      <c r="T621" s="261">
        <v>6</v>
      </c>
      <c r="U621" s="261">
        <v>6</v>
      </c>
      <c r="V621" s="258" t="s">
        <v>71</v>
      </c>
      <c r="W621" s="261" t="str">
        <f t="shared" si="99"/>
        <v>기아자동차봉고3봉고3 1톤 2WD 킹캡 초장축 럭셔리15900000</v>
      </c>
      <c r="X621" s="411">
        <f t="shared" si="100"/>
        <v>4395</v>
      </c>
      <c r="Y621" s="261">
        <v>6</v>
      </c>
      <c r="Z621" s="261">
        <v>6</v>
      </c>
      <c r="AA621" s="407" t="s">
        <v>477</v>
      </c>
      <c r="AB621" s="258" t="s">
        <v>73</v>
      </c>
      <c r="AC621" s="258"/>
      <c r="AD621" s="258" t="s">
        <v>2132</v>
      </c>
      <c r="AE621" s="258" t="s">
        <v>2129</v>
      </c>
      <c r="AF621" s="259"/>
      <c r="AG621" s="260"/>
      <c r="AH621" s="259"/>
      <c r="AI621" s="259"/>
      <c r="AJ621" s="260"/>
      <c r="AK621" s="259">
        <v>26</v>
      </c>
      <c r="AL621" s="259"/>
      <c r="AM621" s="259" t="s">
        <v>3224</v>
      </c>
      <c r="AN621" s="449"/>
      <c r="AO621" s="449"/>
      <c r="AP621" s="449"/>
      <c r="AQ621" s="392" t="str">
        <f>IFERROR(VLOOKUP(BG621,#REF!,1,0),"")</f>
        <v/>
      </c>
      <c r="AS621" s="259" t="s">
        <v>3224</v>
      </c>
      <c r="BD621" s="202" t="str">
        <f t="shared" si="92"/>
        <v>봉고3봉고3 1톤 2WD 킹캡 초장축 럭셔리</v>
      </c>
      <c r="BE621" s="261" t="str">
        <f t="shared" si="98"/>
        <v>0065</v>
      </c>
      <c r="BF621" s="407" t="s">
        <v>477</v>
      </c>
      <c r="BG621" s="202" t="str">
        <f t="shared" si="93"/>
        <v>0065-0620</v>
      </c>
    </row>
    <row r="622" spans="1:59">
      <c r="A622" s="405">
        <v>4396</v>
      </c>
      <c r="B622" s="406">
        <v>4396</v>
      </c>
      <c r="C622" s="261" t="str">
        <f t="shared" si="94"/>
        <v>0001-0065</v>
      </c>
      <c r="D622" s="261" t="str">
        <f t="shared" si="95"/>
        <v>0001-0065-0023</v>
      </c>
      <c r="E622" s="407" t="s">
        <v>476</v>
      </c>
      <c r="F622" s="261" t="str">
        <f>TEXT(VLOOKUP(J622,'[3]1'!$B$2:$D$37,2,0),"0000")</f>
        <v>0001</v>
      </c>
      <c r="G622" s="261" t="str">
        <f t="shared" si="96"/>
        <v>0065</v>
      </c>
      <c r="H622" s="408">
        <f t="shared" si="97"/>
        <v>23</v>
      </c>
      <c r="I622" s="407" t="s">
        <v>476</v>
      </c>
      <c r="J622" s="258" t="s">
        <v>828</v>
      </c>
      <c r="K622" s="258" t="s">
        <v>2719</v>
      </c>
      <c r="L622" s="258" t="s">
        <v>2220</v>
      </c>
      <c r="M622" s="409">
        <v>17020000</v>
      </c>
      <c r="N622" s="258">
        <v>2497</v>
      </c>
      <c r="O622" s="258" t="s">
        <v>78</v>
      </c>
      <c r="P622" s="258" t="s">
        <v>86</v>
      </c>
      <c r="Q622" s="258" t="s">
        <v>72</v>
      </c>
      <c r="R622" s="258">
        <v>5</v>
      </c>
      <c r="S622" s="410">
        <v>10</v>
      </c>
      <c r="T622" s="261">
        <v>6</v>
      </c>
      <c r="U622" s="261">
        <v>6</v>
      </c>
      <c r="V622" s="258" t="s">
        <v>71</v>
      </c>
      <c r="W622" s="261" t="str">
        <f t="shared" si="99"/>
        <v>기아자동차봉고3봉고3 1톤 2WD 킹캡 초장축 럭셔리 A/T17020000</v>
      </c>
      <c r="X622" s="411">
        <f t="shared" si="100"/>
        <v>4396</v>
      </c>
      <c r="Y622" s="261">
        <v>6</v>
      </c>
      <c r="Z622" s="261">
        <v>6</v>
      </c>
      <c r="AA622" s="407" t="s">
        <v>476</v>
      </c>
      <c r="AB622" s="258" t="s">
        <v>73</v>
      </c>
      <c r="AC622" s="258"/>
      <c r="AD622" s="258" t="s">
        <v>2132</v>
      </c>
      <c r="AE622" s="258" t="s">
        <v>2129</v>
      </c>
      <c r="AF622" s="259"/>
      <c r="AG622" s="260"/>
      <c r="AH622" s="259"/>
      <c r="AI622" s="259"/>
      <c r="AJ622" s="260"/>
      <c r="AK622" s="259">
        <v>26</v>
      </c>
      <c r="AL622" s="259"/>
      <c r="AM622" s="259" t="s">
        <v>3224</v>
      </c>
      <c r="AN622" s="449"/>
      <c r="AO622" s="449"/>
      <c r="AP622" s="449"/>
      <c r="AQ622" s="392" t="str">
        <f>IFERROR(VLOOKUP(BG622,#REF!,1,0),"")</f>
        <v/>
      </c>
      <c r="AS622" s="259" t="s">
        <v>3224</v>
      </c>
      <c r="BD622" s="202" t="str">
        <f t="shared" si="92"/>
        <v>봉고3봉고3 1톤 2WD 킹캡 초장축 럭셔리 A/T</v>
      </c>
      <c r="BE622" s="261" t="str">
        <f t="shared" si="98"/>
        <v>0065</v>
      </c>
      <c r="BF622" s="407" t="s">
        <v>476</v>
      </c>
      <c r="BG622" s="202" t="str">
        <f t="shared" si="93"/>
        <v>0065-0621</v>
      </c>
    </row>
    <row r="623" spans="1:59">
      <c r="A623" s="405">
        <v>4397</v>
      </c>
      <c r="B623" s="406">
        <v>4397</v>
      </c>
      <c r="C623" s="261" t="str">
        <f t="shared" si="94"/>
        <v>0001-0065</v>
      </c>
      <c r="D623" s="261" t="str">
        <f t="shared" si="95"/>
        <v>0001-0065-0024</v>
      </c>
      <c r="E623" s="407" t="s">
        <v>475</v>
      </c>
      <c r="F623" s="261" t="str">
        <f>TEXT(VLOOKUP(J623,'[3]1'!$B$2:$D$37,2,0),"0000")</f>
        <v>0001</v>
      </c>
      <c r="G623" s="261" t="str">
        <f t="shared" si="96"/>
        <v>0065</v>
      </c>
      <c r="H623" s="408">
        <f t="shared" si="97"/>
        <v>24</v>
      </c>
      <c r="I623" s="407" t="s">
        <v>475</v>
      </c>
      <c r="J623" s="258" t="s">
        <v>828</v>
      </c>
      <c r="K623" s="258" t="s">
        <v>2719</v>
      </c>
      <c r="L623" s="258" t="s">
        <v>2221</v>
      </c>
      <c r="M623" s="409">
        <v>15900000</v>
      </c>
      <c r="N623" s="258">
        <v>2497</v>
      </c>
      <c r="O623" s="258" t="s">
        <v>78</v>
      </c>
      <c r="P623" s="258" t="s">
        <v>86</v>
      </c>
      <c r="Q623" s="258" t="s">
        <v>88</v>
      </c>
      <c r="R623" s="258">
        <v>5</v>
      </c>
      <c r="S623" s="410">
        <v>10</v>
      </c>
      <c r="T623" s="261">
        <v>6</v>
      </c>
      <c r="U623" s="261">
        <v>6</v>
      </c>
      <c r="V623" s="258" t="s">
        <v>71</v>
      </c>
      <c r="W623" s="261" t="str">
        <f t="shared" si="99"/>
        <v>기아자동차봉고3봉고3 1톤 2WD 킹캡 초장축 럭셔리 M/T15900000</v>
      </c>
      <c r="X623" s="411">
        <f t="shared" si="100"/>
        <v>4397</v>
      </c>
      <c r="Y623" s="261">
        <v>6</v>
      </c>
      <c r="Z623" s="261">
        <v>6</v>
      </c>
      <c r="AA623" s="407" t="s">
        <v>475</v>
      </c>
      <c r="AB623" s="258" t="s">
        <v>73</v>
      </c>
      <c r="AC623" s="258"/>
      <c r="AD623" s="258" t="s">
        <v>2132</v>
      </c>
      <c r="AE623" s="258" t="s">
        <v>2129</v>
      </c>
      <c r="AF623" s="259"/>
      <c r="AG623" s="260"/>
      <c r="AH623" s="259"/>
      <c r="AI623" s="259"/>
      <c r="AJ623" s="260"/>
      <c r="AK623" s="259">
        <v>26</v>
      </c>
      <c r="AL623" s="259"/>
      <c r="AM623" s="259" t="s">
        <v>3224</v>
      </c>
      <c r="AN623" s="449"/>
      <c r="AO623" s="449"/>
      <c r="AP623" s="449"/>
      <c r="AQ623" s="392" t="str">
        <f>IFERROR(VLOOKUP(BG623,#REF!,1,0),"")</f>
        <v/>
      </c>
      <c r="AS623" s="259" t="s">
        <v>3224</v>
      </c>
      <c r="BD623" s="202" t="str">
        <f t="shared" si="92"/>
        <v>봉고3봉고3 1톤 2WD 킹캡 초장축 럭셔리 M/T</v>
      </c>
      <c r="BE623" s="261" t="str">
        <f t="shared" si="98"/>
        <v>0065</v>
      </c>
      <c r="BF623" s="407" t="s">
        <v>475</v>
      </c>
      <c r="BG623" s="202" t="str">
        <f t="shared" si="93"/>
        <v>0065-0622</v>
      </c>
    </row>
    <row r="624" spans="1:59">
      <c r="A624" s="405">
        <v>4398</v>
      </c>
      <c r="B624" s="406">
        <v>4398</v>
      </c>
      <c r="C624" s="261" t="str">
        <f t="shared" si="94"/>
        <v>0001-0065</v>
      </c>
      <c r="D624" s="261" t="str">
        <f t="shared" si="95"/>
        <v>0001-0065-0025</v>
      </c>
      <c r="E624" s="407" t="s">
        <v>474</v>
      </c>
      <c r="F624" s="261" t="str">
        <f>TEXT(VLOOKUP(J624,'[3]1'!$B$2:$D$37,2,0),"0000")</f>
        <v>0001</v>
      </c>
      <c r="G624" s="261" t="str">
        <f t="shared" si="96"/>
        <v>0065</v>
      </c>
      <c r="H624" s="408">
        <f t="shared" si="97"/>
        <v>25</v>
      </c>
      <c r="I624" s="407" t="s">
        <v>474</v>
      </c>
      <c r="J624" s="258" t="s">
        <v>828</v>
      </c>
      <c r="K624" s="258" t="s">
        <v>2719</v>
      </c>
      <c r="L624" s="258" t="s">
        <v>2222</v>
      </c>
      <c r="M624" s="409">
        <v>16900000</v>
      </c>
      <c r="N624" s="258">
        <v>2497</v>
      </c>
      <c r="O624" s="258" t="s">
        <v>78</v>
      </c>
      <c r="P624" s="258" t="s">
        <v>86</v>
      </c>
      <c r="Q624" s="258" t="s">
        <v>88</v>
      </c>
      <c r="R624" s="258">
        <v>5</v>
      </c>
      <c r="S624" s="410">
        <v>10</v>
      </c>
      <c r="T624" s="261">
        <v>6</v>
      </c>
      <c r="U624" s="261">
        <v>6</v>
      </c>
      <c r="V624" s="258" t="s">
        <v>71</v>
      </c>
      <c r="W624" s="261" t="str">
        <f t="shared" si="99"/>
        <v>기아자동차봉고3봉고3 1톤 2WD 킹캡 초장축 프레스티지16900000</v>
      </c>
      <c r="X624" s="411">
        <f t="shared" si="100"/>
        <v>4398</v>
      </c>
      <c r="Y624" s="261">
        <v>6</v>
      </c>
      <c r="Z624" s="261">
        <v>6</v>
      </c>
      <c r="AA624" s="407" t="s">
        <v>474</v>
      </c>
      <c r="AB624" s="258" t="s">
        <v>73</v>
      </c>
      <c r="AC624" s="258"/>
      <c r="AD624" s="258" t="s">
        <v>2132</v>
      </c>
      <c r="AE624" s="258" t="s">
        <v>2129</v>
      </c>
      <c r="AF624" s="259"/>
      <c r="AG624" s="260"/>
      <c r="AH624" s="259"/>
      <c r="AI624" s="259"/>
      <c r="AJ624" s="260"/>
      <c r="AK624" s="259">
        <v>26</v>
      </c>
      <c r="AL624" s="259"/>
      <c r="AM624" s="259" t="s">
        <v>3224</v>
      </c>
      <c r="AN624" s="449"/>
      <c r="AO624" s="449"/>
      <c r="AP624" s="449"/>
      <c r="AQ624" s="392" t="str">
        <f>IFERROR(VLOOKUP(BG624,#REF!,1,0),"")</f>
        <v/>
      </c>
      <c r="AS624" s="259" t="s">
        <v>3224</v>
      </c>
      <c r="BD624" s="202" t="str">
        <f t="shared" si="92"/>
        <v>봉고3봉고3 1톤 2WD 킹캡 초장축 프레스티지</v>
      </c>
      <c r="BE624" s="261" t="str">
        <f t="shared" si="98"/>
        <v>0065</v>
      </c>
      <c r="BF624" s="407" t="s">
        <v>474</v>
      </c>
      <c r="BG624" s="202" t="str">
        <f t="shared" si="93"/>
        <v>0065-0623</v>
      </c>
    </row>
    <row r="625" spans="1:59">
      <c r="A625" s="405">
        <v>4399</v>
      </c>
      <c r="B625" s="406">
        <v>4399</v>
      </c>
      <c r="C625" s="261" t="str">
        <f t="shared" si="94"/>
        <v>0001-0065</v>
      </c>
      <c r="D625" s="261" t="str">
        <f t="shared" si="95"/>
        <v>0001-0065-0026</v>
      </c>
      <c r="E625" s="407" t="s">
        <v>473</v>
      </c>
      <c r="F625" s="261" t="str">
        <f>TEXT(VLOOKUP(J625,'[3]1'!$B$2:$D$37,2,0),"0000")</f>
        <v>0001</v>
      </c>
      <c r="G625" s="261" t="str">
        <f t="shared" si="96"/>
        <v>0065</v>
      </c>
      <c r="H625" s="408">
        <f t="shared" si="97"/>
        <v>26</v>
      </c>
      <c r="I625" s="407" t="s">
        <v>473</v>
      </c>
      <c r="J625" s="258" t="s">
        <v>828</v>
      </c>
      <c r="K625" s="258" t="s">
        <v>2719</v>
      </c>
      <c r="L625" s="258" t="s">
        <v>2223</v>
      </c>
      <c r="M625" s="409">
        <v>17510000</v>
      </c>
      <c r="N625" s="258">
        <v>2497</v>
      </c>
      <c r="O625" s="258" t="s">
        <v>78</v>
      </c>
      <c r="P625" s="258" t="s">
        <v>86</v>
      </c>
      <c r="Q625" s="258" t="s">
        <v>72</v>
      </c>
      <c r="R625" s="258" t="e">
        <v>#N/A</v>
      </c>
      <c r="S625" s="410">
        <v>10</v>
      </c>
      <c r="T625" s="261">
        <v>6</v>
      </c>
      <c r="U625" s="261">
        <v>6</v>
      </c>
      <c r="V625" s="258" t="s">
        <v>3993</v>
      </c>
      <c r="W625" s="261" t="str">
        <f t="shared" si="99"/>
        <v>기아자동차봉고3봉고3 1톤 2WD 킹캡 초장축 프레스티지 A/T17510000</v>
      </c>
      <c r="X625" s="411">
        <f t="shared" si="100"/>
        <v>4399</v>
      </c>
      <c r="Y625" s="261">
        <v>6</v>
      </c>
      <c r="Z625" s="261">
        <v>6</v>
      </c>
      <c r="AA625" s="407" t="s">
        <v>473</v>
      </c>
      <c r="AB625" s="258" t="e">
        <v>#N/A</v>
      </c>
      <c r="AC625" s="258"/>
      <c r="AD625" s="258" t="s">
        <v>2132</v>
      </c>
      <c r="AE625" s="258" t="s">
        <v>2129</v>
      </c>
      <c r="AF625" s="259"/>
      <c r="AG625" s="260"/>
      <c r="AH625" s="259"/>
      <c r="AI625" s="259"/>
      <c r="AJ625" s="260"/>
      <c r="AK625" s="259">
        <v>26</v>
      </c>
      <c r="AL625" s="259"/>
      <c r="AM625" s="259" t="s">
        <v>3224</v>
      </c>
      <c r="AN625" s="449"/>
      <c r="AO625" s="449"/>
      <c r="AP625" s="449"/>
      <c r="AQ625" s="392" t="str">
        <f>IFERROR(VLOOKUP(BG625,#REF!,1,0),"")</f>
        <v/>
      </c>
      <c r="AS625" s="259" t="s">
        <v>3224</v>
      </c>
      <c r="BD625" s="202" t="str">
        <f t="shared" si="92"/>
        <v>봉고3봉고3 1톤 2WD 킹캡 초장축 프레스티지 A/T</v>
      </c>
      <c r="BE625" s="261" t="str">
        <f t="shared" si="98"/>
        <v>0065</v>
      </c>
      <c r="BF625" s="407" t="s">
        <v>473</v>
      </c>
      <c r="BG625" s="202" t="str">
        <f t="shared" si="93"/>
        <v>0065-0624</v>
      </c>
    </row>
    <row r="626" spans="1:59">
      <c r="A626" s="405">
        <v>4400</v>
      </c>
      <c r="B626" s="406">
        <v>4400</v>
      </c>
      <c r="C626" s="261" t="str">
        <f t="shared" si="94"/>
        <v>0001-0065</v>
      </c>
      <c r="D626" s="261" t="str">
        <f t="shared" si="95"/>
        <v>0001-0065-0027</v>
      </c>
      <c r="E626" s="407" t="s">
        <v>472</v>
      </c>
      <c r="F626" s="261" t="str">
        <f>TEXT(VLOOKUP(J626,'[3]1'!$B$2:$D$37,2,0),"0000")</f>
        <v>0001</v>
      </c>
      <c r="G626" s="261" t="str">
        <f t="shared" si="96"/>
        <v>0065</v>
      </c>
      <c r="H626" s="408">
        <f t="shared" si="97"/>
        <v>27</v>
      </c>
      <c r="I626" s="407" t="s">
        <v>472</v>
      </c>
      <c r="J626" s="258" t="s">
        <v>828</v>
      </c>
      <c r="K626" s="258" t="s">
        <v>2719</v>
      </c>
      <c r="L626" s="258" t="s">
        <v>2224</v>
      </c>
      <c r="M626" s="409">
        <v>16450000</v>
      </c>
      <c r="N626" s="258">
        <v>2497</v>
      </c>
      <c r="O626" s="258" t="s">
        <v>78</v>
      </c>
      <c r="P626" s="258" t="s">
        <v>86</v>
      </c>
      <c r="Q626" s="258" t="s">
        <v>88</v>
      </c>
      <c r="R626" s="258">
        <v>5</v>
      </c>
      <c r="S626" s="410">
        <v>12</v>
      </c>
      <c r="T626" s="261">
        <v>6</v>
      </c>
      <c r="U626" s="261">
        <v>6</v>
      </c>
      <c r="V626" s="258" t="s">
        <v>71</v>
      </c>
      <c r="W626" s="261" t="str">
        <f t="shared" si="99"/>
        <v>기아자동차봉고3봉고3 1톤 2WD 표준캡 장축 프레스티지16450000</v>
      </c>
      <c r="X626" s="411">
        <f t="shared" si="100"/>
        <v>4400</v>
      </c>
      <c r="Y626" s="261">
        <v>6</v>
      </c>
      <c r="Z626" s="261">
        <v>6</v>
      </c>
      <c r="AA626" s="407" t="s">
        <v>472</v>
      </c>
      <c r="AB626" s="258" t="s">
        <v>73</v>
      </c>
      <c r="AC626" s="258"/>
      <c r="AD626" s="258" t="s">
        <v>2132</v>
      </c>
      <c r="AE626" s="258" t="s">
        <v>2129</v>
      </c>
      <c r="AF626" s="259"/>
      <c r="AG626" s="260"/>
      <c r="AH626" s="259"/>
      <c r="AI626" s="259"/>
      <c r="AJ626" s="260"/>
      <c r="AK626" s="259">
        <v>26</v>
      </c>
      <c r="AL626" s="259"/>
      <c r="AM626" s="259" t="s">
        <v>3228</v>
      </c>
      <c r="AN626" s="449"/>
      <c r="AO626" s="449"/>
      <c r="AP626" s="449"/>
      <c r="AQ626" s="392" t="str">
        <f>IFERROR(VLOOKUP(BG626,#REF!,1,0),"")</f>
        <v/>
      </c>
      <c r="AS626" s="259" t="s">
        <v>3228</v>
      </c>
      <c r="BD626" s="202" t="str">
        <f t="shared" si="92"/>
        <v>봉고3봉고3 1톤 2WD 표준캡 장축 프레스티지</v>
      </c>
      <c r="BE626" s="261" t="str">
        <f t="shared" si="98"/>
        <v>0065</v>
      </c>
      <c r="BF626" s="407" t="s">
        <v>472</v>
      </c>
      <c r="BG626" s="202" t="str">
        <f t="shared" si="93"/>
        <v>0065-0625</v>
      </c>
    </row>
    <row r="627" spans="1:59">
      <c r="A627" s="405">
        <v>4401</v>
      </c>
      <c r="B627" s="406">
        <v>4401</v>
      </c>
      <c r="C627" s="261" t="str">
        <f t="shared" si="94"/>
        <v>0001-0065</v>
      </c>
      <c r="D627" s="261" t="str">
        <f t="shared" si="95"/>
        <v>0001-0065-0028</v>
      </c>
      <c r="E627" s="407" t="s">
        <v>471</v>
      </c>
      <c r="F627" s="261" t="str">
        <f>TEXT(VLOOKUP(J627,'[3]1'!$B$2:$D$37,2,0),"0000")</f>
        <v>0001</v>
      </c>
      <c r="G627" s="261" t="str">
        <f t="shared" si="96"/>
        <v>0065</v>
      </c>
      <c r="H627" s="408">
        <f t="shared" si="97"/>
        <v>28</v>
      </c>
      <c r="I627" s="407" t="s">
        <v>471</v>
      </c>
      <c r="J627" s="258" t="s">
        <v>828</v>
      </c>
      <c r="K627" s="258" t="s">
        <v>2719</v>
      </c>
      <c r="L627" s="258" t="s">
        <v>2225</v>
      </c>
      <c r="M627" s="409">
        <v>16750000</v>
      </c>
      <c r="N627" s="258">
        <v>2497</v>
      </c>
      <c r="O627" s="258" t="s">
        <v>78</v>
      </c>
      <c r="P627" s="258" t="s">
        <v>86</v>
      </c>
      <c r="Q627" s="258" t="s">
        <v>88</v>
      </c>
      <c r="R627" s="258" t="e">
        <v>#N/A</v>
      </c>
      <c r="S627" s="410">
        <v>12</v>
      </c>
      <c r="T627" s="261">
        <v>6</v>
      </c>
      <c r="U627" s="261">
        <v>6</v>
      </c>
      <c r="V627" s="258" t="s">
        <v>3993</v>
      </c>
      <c r="W627" s="261" t="str">
        <f t="shared" si="99"/>
        <v>기아자동차봉고3봉고3 1톤 2WD 표준캡 초장축 노블레스16750000</v>
      </c>
      <c r="X627" s="411">
        <f t="shared" si="100"/>
        <v>4401</v>
      </c>
      <c r="Y627" s="261">
        <v>6</v>
      </c>
      <c r="Z627" s="261">
        <v>6</v>
      </c>
      <c r="AA627" s="407" t="s">
        <v>471</v>
      </c>
      <c r="AB627" s="258" t="e">
        <v>#N/A</v>
      </c>
      <c r="AC627" s="258"/>
      <c r="AD627" s="258" t="s">
        <v>2132</v>
      </c>
      <c r="AE627" s="258" t="s">
        <v>2129</v>
      </c>
      <c r="AF627" s="259"/>
      <c r="AG627" s="260"/>
      <c r="AH627" s="259"/>
      <c r="AI627" s="259"/>
      <c r="AJ627" s="260"/>
      <c r="AK627" s="259">
        <v>26</v>
      </c>
      <c r="AL627" s="259"/>
      <c r="AM627" s="259" t="s">
        <v>3228</v>
      </c>
      <c r="AN627" s="449"/>
      <c r="AO627" s="449"/>
      <c r="AP627" s="449"/>
      <c r="AQ627" s="392" t="str">
        <f>IFERROR(VLOOKUP(BG627,#REF!,1,0),"")</f>
        <v/>
      </c>
      <c r="AS627" s="259" t="s">
        <v>3228</v>
      </c>
      <c r="BD627" s="202" t="str">
        <f t="shared" si="92"/>
        <v>봉고3봉고3 1톤 2WD 표준캡 초장축 노블레스</v>
      </c>
      <c r="BE627" s="261" t="str">
        <f t="shared" si="98"/>
        <v>0065</v>
      </c>
      <c r="BF627" s="407" t="s">
        <v>471</v>
      </c>
      <c r="BG627" s="202" t="str">
        <f t="shared" si="93"/>
        <v>0065-0626</v>
      </c>
    </row>
    <row r="628" spans="1:59">
      <c r="A628" s="405">
        <v>4402</v>
      </c>
      <c r="B628" s="406">
        <v>4402</v>
      </c>
      <c r="C628" s="261" t="str">
        <f t="shared" si="94"/>
        <v>0001-0065</v>
      </c>
      <c r="D628" s="261" t="str">
        <f t="shared" si="95"/>
        <v>0001-0065-0029</v>
      </c>
      <c r="E628" s="407" t="s">
        <v>470</v>
      </c>
      <c r="F628" s="261" t="str">
        <f>TEXT(VLOOKUP(J628,'[3]1'!$B$2:$D$37,2,0),"0000")</f>
        <v>0001</v>
      </c>
      <c r="G628" s="261" t="str">
        <f t="shared" si="96"/>
        <v>0065</v>
      </c>
      <c r="H628" s="408">
        <f t="shared" si="97"/>
        <v>29</v>
      </c>
      <c r="I628" s="407" t="s">
        <v>470</v>
      </c>
      <c r="J628" s="258" t="s">
        <v>828</v>
      </c>
      <c r="K628" s="258" t="s">
        <v>2719</v>
      </c>
      <c r="L628" s="258" t="s">
        <v>2226</v>
      </c>
      <c r="M628" s="409">
        <v>17870000</v>
      </c>
      <c r="N628" s="258">
        <v>2497</v>
      </c>
      <c r="O628" s="258" t="s">
        <v>78</v>
      </c>
      <c r="P628" s="258" t="s">
        <v>86</v>
      </c>
      <c r="Q628" s="258" t="s">
        <v>72</v>
      </c>
      <c r="R628" s="258" t="e">
        <v>#N/A</v>
      </c>
      <c r="S628" s="410">
        <v>12</v>
      </c>
      <c r="T628" s="261">
        <v>6</v>
      </c>
      <c r="U628" s="261">
        <v>6</v>
      </c>
      <c r="V628" s="258" t="s">
        <v>3993</v>
      </c>
      <c r="W628" s="261" t="str">
        <f t="shared" si="99"/>
        <v>기아자동차봉고3봉고3 1톤 2WD 표준캡 초장축 노블레스 A/T17870000</v>
      </c>
      <c r="X628" s="411">
        <f t="shared" si="100"/>
        <v>4402</v>
      </c>
      <c r="Y628" s="261">
        <v>6</v>
      </c>
      <c r="Z628" s="261">
        <v>6</v>
      </c>
      <c r="AA628" s="407" t="s">
        <v>470</v>
      </c>
      <c r="AB628" s="258" t="e">
        <v>#N/A</v>
      </c>
      <c r="AC628" s="258"/>
      <c r="AD628" s="258" t="s">
        <v>2132</v>
      </c>
      <c r="AE628" s="258" t="s">
        <v>2129</v>
      </c>
      <c r="AF628" s="259"/>
      <c r="AG628" s="260"/>
      <c r="AH628" s="259"/>
      <c r="AI628" s="259"/>
      <c r="AJ628" s="260"/>
      <c r="AK628" s="259">
        <v>26</v>
      </c>
      <c r="AL628" s="259"/>
      <c r="AM628" s="259" t="s">
        <v>3228</v>
      </c>
      <c r="AN628" s="449"/>
      <c r="AO628" s="449"/>
      <c r="AP628" s="449"/>
      <c r="AQ628" s="392" t="str">
        <f>IFERROR(VLOOKUP(BG628,#REF!,1,0),"")</f>
        <v/>
      </c>
      <c r="AS628" s="259" t="s">
        <v>3228</v>
      </c>
      <c r="BD628" s="202" t="str">
        <f t="shared" si="92"/>
        <v>봉고3봉고3 1톤 2WD 표준캡 초장축 노블레스 A/T</v>
      </c>
      <c r="BE628" s="261" t="str">
        <f t="shared" si="98"/>
        <v>0065</v>
      </c>
      <c r="BF628" s="407" t="s">
        <v>470</v>
      </c>
      <c r="BG628" s="202" t="str">
        <f t="shared" si="93"/>
        <v>0065-0627</v>
      </c>
    </row>
    <row r="629" spans="1:59">
      <c r="A629" s="405">
        <v>4403</v>
      </c>
      <c r="B629" s="406">
        <v>4403</v>
      </c>
      <c r="C629" s="261" t="str">
        <f t="shared" si="94"/>
        <v>0001-0065</v>
      </c>
      <c r="D629" s="261" t="str">
        <f t="shared" si="95"/>
        <v>0001-0065-0030</v>
      </c>
      <c r="E629" s="407" t="s">
        <v>469</v>
      </c>
      <c r="F629" s="261" t="str">
        <f>TEXT(VLOOKUP(J629,'[3]1'!$B$2:$D$37,2,0),"0000")</f>
        <v>0001</v>
      </c>
      <c r="G629" s="261" t="str">
        <f t="shared" si="96"/>
        <v>0065</v>
      </c>
      <c r="H629" s="408">
        <f t="shared" si="97"/>
        <v>30</v>
      </c>
      <c r="I629" s="407" t="s">
        <v>469</v>
      </c>
      <c r="J629" s="258" t="s">
        <v>828</v>
      </c>
      <c r="K629" s="258" t="s">
        <v>2719</v>
      </c>
      <c r="L629" s="258" t="s">
        <v>2227</v>
      </c>
      <c r="M629" s="409">
        <v>15200000</v>
      </c>
      <c r="N629" s="258">
        <v>2497</v>
      </c>
      <c r="O629" s="258" t="s">
        <v>78</v>
      </c>
      <c r="P629" s="258" t="s">
        <v>86</v>
      </c>
      <c r="Q629" s="258" t="s">
        <v>88</v>
      </c>
      <c r="R629" s="258">
        <v>5</v>
      </c>
      <c r="S629" s="410">
        <v>12</v>
      </c>
      <c r="T629" s="261">
        <v>6</v>
      </c>
      <c r="U629" s="261">
        <v>6</v>
      </c>
      <c r="V629" s="258" t="s">
        <v>71</v>
      </c>
      <c r="W629" s="261" t="str">
        <f t="shared" si="99"/>
        <v>기아자동차봉고3봉고3 1톤 2WD 표준캡 초장축 디럭스15200000</v>
      </c>
      <c r="X629" s="411">
        <f t="shared" si="100"/>
        <v>4403</v>
      </c>
      <c r="Y629" s="261">
        <v>6</v>
      </c>
      <c r="Z629" s="261">
        <v>6</v>
      </c>
      <c r="AA629" s="407" t="s">
        <v>469</v>
      </c>
      <c r="AB629" s="258" t="s">
        <v>73</v>
      </c>
      <c r="AC629" s="258"/>
      <c r="AD629" s="258" t="s">
        <v>2132</v>
      </c>
      <c r="AE629" s="258" t="s">
        <v>2129</v>
      </c>
      <c r="AF629" s="259"/>
      <c r="AG629" s="260"/>
      <c r="AH629" s="259"/>
      <c r="AI629" s="259"/>
      <c r="AJ629" s="260"/>
      <c r="AK629" s="259">
        <v>26</v>
      </c>
      <c r="AL629" s="259"/>
      <c r="AM629" s="259" t="s">
        <v>3228</v>
      </c>
      <c r="AN629" s="449"/>
      <c r="AO629" s="449"/>
      <c r="AP629" s="449"/>
      <c r="AQ629" s="392" t="str">
        <f>IFERROR(VLOOKUP(BG629,#REF!,1,0),"")</f>
        <v/>
      </c>
      <c r="AS629" s="259" t="s">
        <v>3228</v>
      </c>
      <c r="BD629" s="202" t="str">
        <f t="shared" si="92"/>
        <v>봉고3봉고3 1톤 2WD 표준캡 초장축 디럭스</v>
      </c>
      <c r="BE629" s="261" t="str">
        <f t="shared" si="98"/>
        <v>0065</v>
      </c>
      <c r="BF629" s="407" t="s">
        <v>469</v>
      </c>
      <c r="BG629" s="202" t="str">
        <f t="shared" si="93"/>
        <v>0065-0628</v>
      </c>
    </row>
    <row r="630" spans="1:59">
      <c r="A630" s="405">
        <v>4404</v>
      </c>
      <c r="B630" s="406">
        <v>4404</v>
      </c>
      <c r="C630" s="261" t="str">
        <f t="shared" si="94"/>
        <v>0001-0065</v>
      </c>
      <c r="D630" s="261" t="str">
        <f t="shared" si="95"/>
        <v>0001-0065-0031</v>
      </c>
      <c r="E630" s="407" t="s">
        <v>468</v>
      </c>
      <c r="F630" s="261" t="str">
        <f>TEXT(VLOOKUP(J630,'[3]1'!$B$2:$D$37,2,0),"0000")</f>
        <v>0001</v>
      </c>
      <c r="G630" s="261" t="str">
        <f t="shared" si="96"/>
        <v>0065</v>
      </c>
      <c r="H630" s="408">
        <f t="shared" si="97"/>
        <v>31</v>
      </c>
      <c r="I630" s="407" t="s">
        <v>468</v>
      </c>
      <c r="J630" s="258" t="s">
        <v>828</v>
      </c>
      <c r="K630" s="258" t="s">
        <v>2719</v>
      </c>
      <c r="L630" s="258" t="s">
        <v>2228</v>
      </c>
      <c r="M630" s="409">
        <v>16320000</v>
      </c>
      <c r="N630" s="258">
        <v>2497</v>
      </c>
      <c r="O630" s="258" t="s">
        <v>78</v>
      </c>
      <c r="P630" s="258" t="s">
        <v>86</v>
      </c>
      <c r="Q630" s="258" t="s">
        <v>72</v>
      </c>
      <c r="R630" s="258">
        <v>5</v>
      </c>
      <c r="S630" s="410">
        <v>12</v>
      </c>
      <c r="T630" s="261">
        <v>6</v>
      </c>
      <c r="U630" s="261">
        <v>6</v>
      </c>
      <c r="V630" s="258" t="s">
        <v>71</v>
      </c>
      <c r="W630" s="261" t="str">
        <f t="shared" si="99"/>
        <v>기아자동차봉고3봉고3 1톤 2WD 표준캡 초장축 디럭스 A/T16320000</v>
      </c>
      <c r="X630" s="411">
        <f t="shared" si="100"/>
        <v>4404</v>
      </c>
      <c r="Y630" s="261">
        <v>6</v>
      </c>
      <c r="Z630" s="261">
        <v>6</v>
      </c>
      <c r="AA630" s="407" t="s">
        <v>468</v>
      </c>
      <c r="AB630" s="258" t="s">
        <v>73</v>
      </c>
      <c r="AC630" s="258"/>
      <c r="AD630" s="258" t="s">
        <v>2132</v>
      </c>
      <c r="AE630" s="258" t="s">
        <v>2129</v>
      </c>
      <c r="AF630" s="259"/>
      <c r="AG630" s="260"/>
      <c r="AH630" s="259"/>
      <c r="AI630" s="259"/>
      <c r="AJ630" s="260"/>
      <c r="AK630" s="259">
        <v>26</v>
      </c>
      <c r="AL630" s="259"/>
      <c r="AM630" s="259" t="s">
        <v>3228</v>
      </c>
      <c r="AN630" s="449"/>
      <c r="AO630" s="449"/>
      <c r="AP630" s="449"/>
      <c r="AQ630" s="392" t="str">
        <f>IFERROR(VLOOKUP(BG630,#REF!,1,0),"")</f>
        <v/>
      </c>
      <c r="AS630" s="259" t="s">
        <v>3228</v>
      </c>
      <c r="BD630" s="202" t="str">
        <f t="shared" si="92"/>
        <v>봉고3봉고3 1톤 2WD 표준캡 초장축 디럭스 A/T</v>
      </c>
      <c r="BE630" s="261" t="str">
        <f t="shared" si="98"/>
        <v>0065</v>
      </c>
      <c r="BF630" s="407" t="s">
        <v>468</v>
      </c>
      <c r="BG630" s="202" t="str">
        <f t="shared" si="93"/>
        <v>0065-0629</v>
      </c>
    </row>
    <row r="631" spans="1:59">
      <c r="A631" s="405">
        <v>4405</v>
      </c>
      <c r="B631" s="406">
        <v>4405</v>
      </c>
      <c r="C631" s="261" t="str">
        <f t="shared" si="94"/>
        <v>0001-0065</v>
      </c>
      <c r="D631" s="261" t="str">
        <f t="shared" si="95"/>
        <v>0001-0065-0032</v>
      </c>
      <c r="E631" s="407" t="s">
        <v>467</v>
      </c>
      <c r="F631" s="261" t="str">
        <f>TEXT(VLOOKUP(J631,'[3]1'!$B$2:$D$37,2,0),"0000")</f>
        <v>0001</v>
      </c>
      <c r="G631" s="261" t="str">
        <f t="shared" si="96"/>
        <v>0065</v>
      </c>
      <c r="H631" s="408">
        <f t="shared" si="97"/>
        <v>32</v>
      </c>
      <c r="I631" s="407" t="s">
        <v>467</v>
      </c>
      <c r="J631" s="258" t="s">
        <v>828</v>
      </c>
      <c r="K631" s="258" t="s">
        <v>2719</v>
      </c>
      <c r="L631" s="258" t="s">
        <v>2229</v>
      </c>
      <c r="M631" s="409">
        <v>15800000</v>
      </c>
      <c r="N631" s="258">
        <v>2497</v>
      </c>
      <c r="O631" s="258" t="s">
        <v>78</v>
      </c>
      <c r="P631" s="258" t="s">
        <v>86</v>
      </c>
      <c r="Q631" s="258" t="s">
        <v>88</v>
      </c>
      <c r="R631" s="258">
        <v>5</v>
      </c>
      <c r="S631" s="410">
        <v>12</v>
      </c>
      <c r="T631" s="261">
        <v>6</v>
      </c>
      <c r="U631" s="261">
        <v>6</v>
      </c>
      <c r="V631" s="258" t="s">
        <v>71</v>
      </c>
      <c r="W631" s="261" t="str">
        <f t="shared" si="99"/>
        <v>기아자동차봉고3봉고3 1톤 2WD 표준캡 초장축 럭셔리15800000</v>
      </c>
      <c r="X631" s="411">
        <f t="shared" si="100"/>
        <v>4405</v>
      </c>
      <c r="Y631" s="261">
        <v>6</v>
      </c>
      <c r="Z631" s="261">
        <v>6</v>
      </c>
      <c r="AA631" s="407" t="s">
        <v>467</v>
      </c>
      <c r="AB631" s="258" t="s">
        <v>73</v>
      </c>
      <c r="AC631" s="258"/>
      <c r="AD631" s="258" t="s">
        <v>2132</v>
      </c>
      <c r="AE631" s="258" t="s">
        <v>2129</v>
      </c>
      <c r="AF631" s="259"/>
      <c r="AG631" s="260"/>
      <c r="AH631" s="259"/>
      <c r="AI631" s="259"/>
      <c r="AJ631" s="260"/>
      <c r="AK631" s="259">
        <v>26</v>
      </c>
      <c r="AL631" s="259"/>
      <c r="AM631" s="259" t="s">
        <v>3228</v>
      </c>
      <c r="AN631" s="449"/>
      <c r="AO631" s="449"/>
      <c r="AP631" s="449"/>
      <c r="AQ631" s="392" t="str">
        <f>IFERROR(VLOOKUP(BG631,#REF!,1,0),"")</f>
        <v/>
      </c>
      <c r="AS631" s="259" t="s">
        <v>3228</v>
      </c>
      <c r="BD631" s="202" t="str">
        <f t="shared" si="92"/>
        <v>봉고3봉고3 1톤 2WD 표준캡 초장축 럭셔리</v>
      </c>
      <c r="BE631" s="261" t="str">
        <f t="shared" si="98"/>
        <v>0065</v>
      </c>
      <c r="BF631" s="407" t="s">
        <v>467</v>
      </c>
      <c r="BG631" s="202" t="str">
        <f t="shared" si="93"/>
        <v>0065-0630</v>
      </c>
    </row>
    <row r="632" spans="1:59">
      <c r="A632" s="405">
        <v>4406</v>
      </c>
      <c r="B632" s="406">
        <v>4406</v>
      </c>
      <c r="C632" s="261" t="str">
        <f t="shared" si="94"/>
        <v>0001-0065</v>
      </c>
      <c r="D632" s="261" t="str">
        <f t="shared" si="95"/>
        <v>0001-0065-0033</v>
      </c>
      <c r="E632" s="407" t="s">
        <v>466</v>
      </c>
      <c r="F632" s="261" t="str">
        <f>TEXT(VLOOKUP(J632,'[3]1'!$B$2:$D$37,2,0),"0000")</f>
        <v>0001</v>
      </c>
      <c r="G632" s="261" t="str">
        <f t="shared" si="96"/>
        <v>0065</v>
      </c>
      <c r="H632" s="408">
        <f t="shared" si="97"/>
        <v>33</v>
      </c>
      <c r="I632" s="407" t="s">
        <v>466</v>
      </c>
      <c r="J632" s="258" t="s">
        <v>828</v>
      </c>
      <c r="K632" s="258" t="s">
        <v>2719</v>
      </c>
      <c r="L632" s="258" t="s">
        <v>2230</v>
      </c>
      <c r="M632" s="409">
        <v>16520000</v>
      </c>
      <c r="N632" s="258">
        <v>2497</v>
      </c>
      <c r="O632" s="258" t="s">
        <v>78</v>
      </c>
      <c r="P632" s="258" t="s">
        <v>86</v>
      </c>
      <c r="Q632" s="258" t="s">
        <v>72</v>
      </c>
      <c r="R632" s="258">
        <v>5</v>
      </c>
      <c r="S632" s="410">
        <v>12</v>
      </c>
      <c r="T632" s="261">
        <v>6</v>
      </c>
      <c r="U632" s="261">
        <v>6</v>
      </c>
      <c r="V632" s="258" t="s">
        <v>71</v>
      </c>
      <c r="W632" s="261" t="str">
        <f t="shared" si="99"/>
        <v>기아자동차봉고3봉고3 1톤 2WD 표준캡 초장축 럭셔리 A/T16520000</v>
      </c>
      <c r="X632" s="411">
        <f t="shared" si="100"/>
        <v>4406</v>
      </c>
      <c r="Y632" s="261">
        <v>6</v>
      </c>
      <c r="Z632" s="261">
        <v>6</v>
      </c>
      <c r="AA632" s="407" t="s">
        <v>466</v>
      </c>
      <c r="AB632" s="258" t="s">
        <v>73</v>
      </c>
      <c r="AC632" s="258"/>
      <c r="AD632" s="258" t="s">
        <v>2132</v>
      </c>
      <c r="AE632" s="258" t="s">
        <v>2129</v>
      </c>
      <c r="AF632" s="259"/>
      <c r="AG632" s="260"/>
      <c r="AH632" s="259"/>
      <c r="AI632" s="259"/>
      <c r="AJ632" s="260"/>
      <c r="AK632" s="259">
        <v>26</v>
      </c>
      <c r="AL632" s="259"/>
      <c r="AM632" s="259" t="s">
        <v>3228</v>
      </c>
      <c r="AN632" s="449"/>
      <c r="AO632" s="449"/>
      <c r="AP632" s="449"/>
      <c r="AQ632" s="392" t="str">
        <f>IFERROR(VLOOKUP(BG632,#REF!,1,0),"")</f>
        <v/>
      </c>
      <c r="AS632" s="259" t="s">
        <v>3228</v>
      </c>
      <c r="BD632" s="202" t="str">
        <f t="shared" si="92"/>
        <v>봉고3봉고3 1톤 2WD 표준캡 초장축 럭셔리 A/T</v>
      </c>
      <c r="BE632" s="261" t="str">
        <f t="shared" si="98"/>
        <v>0065</v>
      </c>
      <c r="BF632" s="407" t="s">
        <v>466</v>
      </c>
      <c r="BG632" s="202" t="str">
        <f t="shared" si="93"/>
        <v>0065-0631</v>
      </c>
    </row>
    <row r="633" spans="1:59">
      <c r="A633" s="405">
        <v>4407</v>
      </c>
      <c r="B633" s="406">
        <v>4407</v>
      </c>
      <c r="C633" s="261" t="str">
        <f t="shared" si="94"/>
        <v>0001-0065</v>
      </c>
      <c r="D633" s="261" t="str">
        <f t="shared" si="95"/>
        <v>0001-0065-0034</v>
      </c>
      <c r="E633" s="407" t="s">
        <v>465</v>
      </c>
      <c r="F633" s="261" t="str">
        <f>TEXT(VLOOKUP(J633,'[3]1'!$B$2:$D$37,2,0),"0000")</f>
        <v>0001</v>
      </c>
      <c r="G633" s="261" t="str">
        <f t="shared" si="96"/>
        <v>0065</v>
      </c>
      <c r="H633" s="408">
        <f t="shared" si="97"/>
        <v>34</v>
      </c>
      <c r="I633" s="407" t="s">
        <v>465</v>
      </c>
      <c r="J633" s="258" t="s">
        <v>828</v>
      </c>
      <c r="K633" s="258" t="s">
        <v>2719</v>
      </c>
      <c r="L633" s="258" t="s">
        <v>2231</v>
      </c>
      <c r="M633" s="409">
        <v>16750000</v>
      </c>
      <c r="N633" s="258">
        <v>2497</v>
      </c>
      <c r="O633" s="258" t="s">
        <v>78</v>
      </c>
      <c r="P633" s="258" t="s">
        <v>86</v>
      </c>
      <c r="Q633" s="258" t="s">
        <v>88</v>
      </c>
      <c r="R633" s="258">
        <v>5</v>
      </c>
      <c r="S633" s="410">
        <v>12</v>
      </c>
      <c r="T633" s="261">
        <v>6</v>
      </c>
      <c r="U633" s="261">
        <v>6</v>
      </c>
      <c r="V633" s="258" t="s">
        <v>71</v>
      </c>
      <c r="W633" s="261" t="str">
        <f t="shared" si="99"/>
        <v>기아자동차봉고3봉고3 1톤 2WD 표준캡 초장축 프레스티지16750000</v>
      </c>
      <c r="X633" s="411">
        <f t="shared" si="100"/>
        <v>4407</v>
      </c>
      <c r="Y633" s="261">
        <v>6</v>
      </c>
      <c r="Z633" s="261">
        <v>6</v>
      </c>
      <c r="AA633" s="407" t="s">
        <v>465</v>
      </c>
      <c r="AB633" s="258" t="s">
        <v>73</v>
      </c>
      <c r="AC633" s="258"/>
      <c r="AD633" s="258" t="s">
        <v>2132</v>
      </c>
      <c r="AE633" s="258" t="s">
        <v>2129</v>
      </c>
      <c r="AF633" s="259"/>
      <c r="AG633" s="260"/>
      <c r="AH633" s="259"/>
      <c r="AI633" s="259"/>
      <c r="AJ633" s="260"/>
      <c r="AK633" s="259">
        <v>26</v>
      </c>
      <c r="AL633" s="259"/>
      <c r="AM633" s="259" t="s">
        <v>3228</v>
      </c>
      <c r="AN633" s="449"/>
      <c r="AO633" s="449"/>
      <c r="AP633" s="449"/>
      <c r="AQ633" s="392" t="str">
        <f>IFERROR(VLOOKUP(BG633,#REF!,1,0),"")</f>
        <v/>
      </c>
      <c r="AS633" s="259" t="s">
        <v>3228</v>
      </c>
      <c r="BD633" s="202" t="str">
        <f t="shared" si="92"/>
        <v>봉고3봉고3 1톤 2WD 표준캡 초장축 프레스티지</v>
      </c>
      <c r="BE633" s="261" t="str">
        <f t="shared" si="98"/>
        <v>0065</v>
      </c>
      <c r="BF633" s="407" t="s">
        <v>465</v>
      </c>
      <c r="BG633" s="202" t="str">
        <f t="shared" si="93"/>
        <v>0065-0632</v>
      </c>
    </row>
    <row r="634" spans="1:59">
      <c r="A634" s="405">
        <v>4408</v>
      </c>
      <c r="B634" s="406">
        <v>4408</v>
      </c>
      <c r="C634" s="261" t="str">
        <f t="shared" si="94"/>
        <v>0001-0065</v>
      </c>
      <c r="D634" s="261" t="str">
        <f t="shared" si="95"/>
        <v>0001-0065-0035</v>
      </c>
      <c r="E634" s="407" t="s">
        <v>464</v>
      </c>
      <c r="F634" s="261" t="str">
        <f>TEXT(VLOOKUP(J634,'[3]1'!$B$2:$D$37,2,0),"0000")</f>
        <v>0001</v>
      </c>
      <c r="G634" s="261" t="str">
        <f t="shared" si="96"/>
        <v>0065</v>
      </c>
      <c r="H634" s="408">
        <f t="shared" si="97"/>
        <v>35</v>
      </c>
      <c r="I634" s="407" t="s">
        <v>464</v>
      </c>
      <c r="J634" s="258" t="s">
        <v>828</v>
      </c>
      <c r="K634" s="258" t="s">
        <v>2719</v>
      </c>
      <c r="L634" s="258" t="s">
        <v>2232</v>
      </c>
      <c r="M634" s="409">
        <v>17360000</v>
      </c>
      <c r="N634" s="258">
        <v>2497</v>
      </c>
      <c r="O634" s="258" t="s">
        <v>78</v>
      </c>
      <c r="P634" s="258" t="s">
        <v>86</v>
      </c>
      <c r="Q634" s="258" t="s">
        <v>72</v>
      </c>
      <c r="R634" s="258" t="e">
        <v>#N/A</v>
      </c>
      <c r="S634" s="410">
        <v>12</v>
      </c>
      <c r="T634" s="261">
        <v>6</v>
      </c>
      <c r="U634" s="261">
        <v>6</v>
      </c>
      <c r="V634" s="258" t="s">
        <v>3993</v>
      </c>
      <c r="W634" s="261" t="str">
        <f t="shared" si="99"/>
        <v>기아자동차봉고3봉고3 1톤 2WD 표준캡 초장축 프레스티지 A/T17360000</v>
      </c>
      <c r="X634" s="411">
        <f t="shared" si="100"/>
        <v>4408</v>
      </c>
      <c r="Y634" s="261">
        <v>6</v>
      </c>
      <c r="Z634" s="261">
        <v>6</v>
      </c>
      <c r="AA634" s="407" t="s">
        <v>464</v>
      </c>
      <c r="AB634" s="258" t="e">
        <v>#N/A</v>
      </c>
      <c r="AC634" s="258"/>
      <c r="AD634" s="258" t="s">
        <v>2132</v>
      </c>
      <c r="AE634" s="258" t="s">
        <v>2129</v>
      </c>
      <c r="AF634" s="259"/>
      <c r="AG634" s="260"/>
      <c r="AH634" s="259"/>
      <c r="AI634" s="259"/>
      <c r="AJ634" s="260"/>
      <c r="AK634" s="259">
        <v>26</v>
      </c>
      <c r="AL634" s="259"/>
      <c r="AM634" s="259" t="s">
        <v>3228</v>
      </c>
      <c r="AN634" s="449"/>
      <c r="AO634" s="449"/>
      <c r="AP634" s="449"/>
      <c r="AQ634" s="392" t="str">
        <f>IFERROR(VLOOKUP(BG634,#REF!,1,0),"")</f>
        <v/>
      </c>
      <c r="AS634" s="259" t="s">
        <v>3228</v>
      </c>
      <c r="BD634" s="202" t="str">
        <f t="shared" si="92"/>
        <v>봉고3봉고3 1톤 2WD 표준캡 초장축 프레스티지 A/T</v>
      </c>
      <c r="BE634" s="261" t="str">
        <f t="shared" si="98"/>
        <v>0065</v>
      </c>
      <c r="BF634" s="407" t="s">
        <v>464</v>
      </c>
      <c r="BG634" s="202" t="str">
        <f t="shared" si="93"/>
        <v>0065-0633</v>
      </c>
    </row>
    <row r="635" spans="1:59">
      <c r="A635" s="405">
        <v>4409</v>
      </c>
      <c r="B635" s="406">
        <v>4409</v>
      </c>
      <c r="C635" s="261" t="str">
        <f t="shared" si="94"/>
        <v>0001-0065</v>
      </c>
      <c r="D635" s="261" t="str">
        <f t="shared" si="95"/>
        <v>0001-0065-0036</v>
      </c>
      <c r="E635" s="407" t="s">
        <v>463</v>
      </c>
      <c r="F635" s="261" t="str">
        <f>TEXT(VLOOKUP(J635,'[3]1'!$B$2:$D$37,2,0),"0000")</f>
        <v>0001</v>
      </c>
      <c r="G635" s="261" t="str">
        <f t="shared" si="96"/>
        <v>0065</v>
      </c>
      <c r="H635" s="408">
        <f t="shared" si="97"/>
        <v>36</v>
      </c>
      <c r="I635" s="407" t="s">
        <v>463</v>
      </c>
      <c r="J635" s="258" t="s">
        <v>828</v>
      </c>
      <c r="K635" s="258" t="s">
        <v>2719</v>
      </c>
      <c r="L635" s="258" t="s">
        <v>2233</v>
      </c>
      <c r="M635" s="409">
        <v>20340000</v>
      </c>
      <c r="N635" s="258">
        <v>2497</v>
      </c>
      <c r="O635" s="258" t="s">
        <v>78</v>
      </c>
      <c r="P635" s="258" t="s">
        <v>86</v>
      </c>
      <c r="Q635" s="258" t="s">
        <v>88</v>
      </c>
      <c r="R635" s="258" t="e">
        <v>#N/A</v>
      </c>
      <c r="S635" s="410">
        <v>12</v>
      </c>
      <c r="T635" s="261">
        <v>6</v>
      </c>
      <c r="U635" s="261">
        <v>6</v>
      </c>
      <c r="V635" s="258" t="s">
        <v>3993</v>
      </c>
      <c r="W635" s="261" t="str">
        <f t="shared" si="99"/>
        <v>기아자동차봉고3봉고3 1톤 4WD 더블캡 장축 노블레스20340000</v>
      </c>
      <c r="X635" s="411">
        <f t="shared" si="100"/>
        <v>4409</v>
      </c>
      <c r="Y635" s="261">
        <v>6</v>
      </c>
      <c r="Z635" s="261">
        <v>6</v>
      </c>
      <c r="AA635" s="407" t="s">
        <v>463</v>
      </c>
      <c r="AB635" s="258" t="e">
        <v>#N/A</v>
      </c>
      <c r="AC635" s="258"/>
      <c r="AD635" s="258" t="s">
        <v>2132</v>
      </c>
      <c r="AE635" s="258" t="s">
        <v>2129</v>
      </c>
      <c r="AF635" s="259"/>
      <c r="AG635" s="260"/>
      <c r="AH635" s="259"/>
      <c r="AI635" s="259"/>
      <c r="AJ635" s="260"/>
      <c r="AK635" s="259">
        <v>26</v>
      </c>
      <c r="AL635" s="259"/>
      <c r="AM635" s="259" t="s">
        <v>3228</v>
      </c>
      <c r="AN635" s="449"/>
      <c r="AO635" s="449"/>
      <c r="AP635" s="449"/>
      <c r="AQ635" s="392" t="str">
        <f>IFERROR(VLOOKUP(BG635,#REF!,1,0),"")</f>
        <v/>
      </c>
      <c r="AS635" s="259" t="s">
        <v>3228</v>
      </c>
      <c r="BD635" s="202" t="str">
        <f t="shared" si="92"/>
        <v>봉고3봉고3 1톤 4WD 더블캡 장축 노블레스</v>
      </c>
      <c r="BE635" s="261" t="str">
        <f t="shared" si="98"/>
        <v>0065</v>
      </c>
      <c r="BF635" s="407" t="s">
        <v>463</v>
      </c>
      <c r="BG635" s="202" t="str">
        <f t="shared" si="93"/>
        <v>0065-0634</v>
      </c>
    </row>
    <row r="636" spans="1:59" ht="15" customHeight="1">
      <c r="A636" s="405">
        <v>4410</v>
      </c>
      <c r="B636" s="406">
        <v>4410</v>
      </c>
      <c r="C636" s="261" t="str">
        <f t="shared" si="94"/>
        <v>0001-0065</v>
      </c>
      <c r="D636" s="261" t="str">
        <f t="shared" si="95"/>
        <v>0001-0065-0037</v>
      </c>
      <c r="E636" s="407" t="s">
        <v>462</v>
      </c>
      <c r="F636" s="261" t="str">
        <f>TEXT(VLOOKUP(J636,'[3]1'!$B$2:$D$37,2,0),"0000")</f>
        <v>0001</v>
      </c>
      <c r="G636" s="261" t="str">
        <f t="shared" si="96"/>
        <v>0065</v>
      </c>
      <c r="H636" s="408">
        <f t="shared" si="97"/>
        <v>37</v>
      </c>
      <c r="I636" s="407" t="s">
        <v>462</v>
      </c>
      <c r="J636" s="258" t="s">
        <v>828</v>
      </c>
      <c r="K636" s="258" t="s">
        <v>2719</v>
      </c>
      <c r="L636" s="258" t="s">
        <v>2234</v>
      </c>
      <c r="M636" s="409">
        <v>18440000</v>
      </c>
      <c r="N636" s="258">
        <v>2497</v>
      </c>
      <c r="O636" s="258" t="s">
        <v>78</v>
      </c>
      <c r="P636" s="258" t="s">
        <v>86</v>
      </c>
      <c r="Q636" s="258" t="s">
        <v>88</v>
      </c>
      <c r="R636" s="258" t="e">
        <v>#N/A</v>
      </c>
      <c r="S636" s="410">
        <v>12</v>
      </c>
      <c r="T636" s="261">
        <v>6</v>
      </c>
      <c r="U636" s="261">
        <v>6</v>
      </c>
      <c r="V636" s="258" t="s">
        <v>3993</v>
      </c>
      <c r="W636" s="261" t="str">
        <f t="shared" si="99"/>
        <v>기아자동차봉고3봉고3 1톤 4WD 더블캡 장축 디럭스18440000</v>
      </c>
      <c r="X636" s="411">
        <f t="shared" si="100"/>
        <v>4410</v>
      </c>
      <c r="Y636" s="261">
        <v>6</v>
      </c>
      <c r="Z636" s="261">
        <v>6</v>
      </c>
      <c r="AA636" s="407" t="s">
        <v>462</v>
      </c>
      <c r="AB636" s="258" t="e">
        <v>#N/A</v>
      </c>
      <c r="AC636" s="258"/>
      <c r="AD636" s="258" t="s">
        <v>2132</v>
      </c>
      <c r="AE636" s="258" t="s">
        <v>2129</v>
      </c>
      <c r="AF636" s="259"/>
      <c r="AG636" s="260"/>
      <c r="AH636" s="259"/>
      <c r="AI636" s="259"/>
      <c r="AJ636" s="260"/>
      <c r="AK636" s="259">
        <v>26</v>
      </c>
      <c r="AL636" s="259"/>
      <c r="AM636" s="259" t="s">
        <v>3228</v>
      </c>
      <c r="AN636" s="449"/>
      <c r="AO636" s="449"/>
      <c r="AP636" s="449"/>
      <c r="AQ636" s="392" t="str">
        <f>IFERROR(VLOOKUP(BG636,#REF!,1,0),"")</f>
        <v/>
      </c>
      <c r="AS636" s="259" t="s">
        <v>3228</v>
      </c>
      <c r="BD636" s="202" t="str">
        <f t="shared" si="92"/>
        <v>봉고3봉고3 1톤 4WD 더블캡 장축 디럭스</v>
      </c>
      <c r="BE636" s="261" t="str">
        <f t="shared" si="98"/>
        <v>0065</v>
      </c>
      <c r="BF636" s="407" t="s">
        <v>462</v>
      </c>
      <c r="BG636" s="202" t="str">
        <f t="shared" si="93"/>
        <v>0065-0635</v>
      </c>
    </row>
    <row r="637" spans="1:59">
      <c r="A637" s="405">
        <v>4411</v>
      </c>
      <c r="B637" s="406">
        <v>4411</v>
      </c>
      <c r="C637" s="261" t="str">
        <f t="shared" si="94"/>
        <v>0001-0065</v>
      </c>
      <c r="D637" s="261" t="str">
        <f t="shared" si="95"/>
        <v>0001-0065-0038</v>
      </c>
      <c r="E637" s="407" t="s">
        <v>461</v>
      </c>
      <c r="F637" s="261" t="str">
        <f>TEXT(VLOOKUP(J637,'[3]1'!$B$2:$D$37,2,0),"0000")</f>
        <v>0001</v>
      </c>
      <c r="G637" s="261" t="str">
        <f t="shared" si="96"/>
        <v>0065</v>
      </c>
      <c r="H637" s="408">
        <f t="shared" si="97"/>
        <v>38</v>
      </c>
      <c r="I637" s="407" t="s">
        <v>461</v>
      </c>
      <c r="J637" s="258" t="s">
        <v>828</v>
      </c>
      <c r="K637" s="258" t="s">
        <v>2719</v>
      </c>
      <c r="L637" s="258" t="s">
        <v>2235</v>
      </c>
      <c r="M637" s="409">
        <v>18940000</v>
      </c>
      <c r="N637" s="258">
        <v>2497</v>
      </c>
      <c r="O637" s="258" t="s">
        <v>78</v>
      </c>
      <c r="P637" s="258" t="s">
        <v>86</v>
      </c>
      <c r="Q637" s="258" t="s">
        <v>88</v>
      </c>
      <c r="R637" s="258" t="e">
        <v>#N/A</v>
      </c>
      <c r="S637" s="410">
        <v>12</v>
      </c>
      <c r="T637" s="261">
        <v>6</v>
      </c>
      <c r="U637" s="261">
        <v>6</v>
      </c>
      <c r="V637" s="258" t="s">
        <v>3993</v>
      </c>
      <c r="W637" s="261" t="str">
        <f t="shared" si="99"/>
        <v>기아자동차봉고3봉고3 1톤 4WD 더블캡 장축 럭셔리18940000</v>
      </c>
      <c r="X637" s="411">
        <f t="shared" si="100"/>
        <v>4411</v>
      </c>
      <c r="Y637" s="261">
        <v>6</v>
      </c>
      <c r="Z637" s="261">
        <v>6</v>
      </c>
      <c r="AA637" s="407" t="s">
        <v>461</v>
      </c>
      <c r="AB637" s="258" t="e">
        <v>#N/A</v>
      </c>
      <c r="AC637" s="258"/>
      <c r="AD637" s="258" t="s">
        <v>2132</v>
      </c>
      <c r="AE637" s="258" t="s">
        <v>2129</v>
      </c>
      <c r="AF637" s="259"/>
      <c r="AG637" s="260"/>
      <c r="AH637" s="259"/>
      <c r="AI637" s="259"/>
      <c r="AJ637" s="260"/>
      <c r="AK637" s="259">
        <v>26</v>
      </c>
      <c r="AL637" s="259"/>
      <c r="AM637" s="259" t="s">
        <v>3228</v>
      </c>
      <c r="AN637" s="449"/>
      <c r="AO637" s="449"/>
      <c r="AP637" s="449"/>
      <c r="AQ637" s="392" t="str">
        <f>IFERROR(VLOOKUP(BG637,#REF!,1,0),"")</f>
        <v/>
      </c>
      <c r="AS637" s="259" t="s">
        <v>3228</v>
      </c>
      <c r="BD637" s="202" t="str">
        <f t="shared" si="92"/>
        <v>봉고3봉고3 1톤 4WD 더블캡 장축 럭셔리</v>
      </c>
      <c r="BE637" s="261" t="str">
        <f t="shared" si="98"/>
        <v>0065</v>
      </c>
      <c r="BF637" s="407" t="s">
        <v>461</v>
      </c>
      <c r="BG637" s="202" t="str">
        <f t="shared" si="93"/>
        <v>0065-0636</v>
      </c>
    </row>
    <row r="638" spans="1:59">
      <c r="A638" s="405">
        <v>4412</v>
      </c>
      <c r="B638" s="406">
        <v>4412</v>
      </c>
      <c r="C638" s="261" t="str">
        <f t="shared" si="94"/>
        <v>0001-0065</v>
      </c>
      <c r="D638" s="261" t="str">
        <f t="shared" si="95"/>
        <v>0001-0065-0039</v>
      </c>
      <c r="E638" s="407" t="s">
        <v>460</v>
      </c>
      <c r="F638" s="261" t="str">
        <f>TEXT(VLOOKUP(J638,'[3]1'!$B$2:$D$37,2,0),"0000")</f>
        <v>0001</v>
      </c>
      <c r="G638" s="261" t="str">
        <f t="shared" si="96"/>
        <v>0065</v>
      </c>
      <c r="H638" s="408">
        <f t="shared" si="97"/>
        <v>39</v>
      </c>
      <c r="I638" s="407" t="s">
        <v>460</v>
      </c>
      <c r="J638" s="258" t="s">
        <v>828</v>
      </c>
      <c r="K638" s="258" t="s">
        <v>2719</v>
      </c>
      <c r="L638" s="258" t="s">
        <v>2236</v>
      </c>
      <c r="M638" s="409">
        <v>19310000</v>
      </c>
      <c r="N638" s="258">
        <v>2497</v>
      </c>
      <c r="O638" s="258" t="s">
        <v>78</v>
      </c>
      <c r="P638" s="258" t="s">
        <v>86</v>
      </c>
      <c r="Q638" s="258" t="s">
        <v>88</v>
      </c>
      <c r="R638" s="258" t="e">
        <v>#N/A</v>
      </c>
      <c r="S638" s="410">
        <v>10</v>
      </c>
      <c r="T638" s="261">
        <v>6</v>
      </c>
      <c r="U638" s="261">
        <v>6</v>
      </c>
      <c r="V638" s="258" t="s">
        <v>3993</v>
      </c>
      <c r="W638" s="261" t="str">
        <f t="shared" si="99"/>
        <v>기아자동차봉고3봉고3 1톤 4WD 킹캡 장축 노블레스19310000</v>
      </c>
      <c r="X638" s="411">
        <f t="shared" si="100"/>
        <v>4412</v>
      </c>
      <c r="Y638" s="261">
        <v>6</v>
      </c>
      <c r="Z638" s="261">
        <v>6</v>
      </c>
      <c r="AA638" s="407" t="s">
        <v>460</v>
      </c>
      <c r="AB638" s="258" t="e">
        <v>#N/A</v>
      </c>
      <c r="AC638" s="258"/>
      <c r="AD638" s="258" t="s">
        <v>2132</v>
      </c>
      <c r="AE638" s="258" t="s">
        <v>2129</v>
      </c>
      <c r="AF638" s="259"/>
      <c r="AG638" s="260"/>
      <c r="AH638" s="259"/>
      <c r="AI638" s="259"/>
      <c r="AJ638" s="260"/>
      <c r="AK638" s="259">
        <v>26</v>
      </c>
      <c r="AL638" s="259"/>
      <c r="AM638" s="259" t="s">
        <v>3224</v>
      </c>
      <c r="AN638" s="449"/>
      <c r="AO638" s="449"/>
      <c r="AP638" s="449"/>
      <c r="AQ638" s="392" t="str">
        <f>IFERROR(VLOOKUP(BG638,#REF!,1,0),"")</f>
        <v/>
      </c>
      <c r="AS638" s="259" t="s">
        <v>3224</v>
      </c>
      <c r="BD638" s="202" t="str">
        <f t="shared" si="92"/>
        <v>봉고3봉고3 1톤 4WD 킹캡 장축 노블레스</v>
      </c>
      <c r="BE638" s="261" t="str">
        <f t="shared" si="98"/>
        <v>0065</v>
      </c>
      <c r="BF638" s="407" t="s">
        <v>460</v>
      </c>
      <c r="BG638" s="202" t="str">
        <f t="shared" si="93"/>
        <v>0065-0637</v>
      </c>
    </row>
    <row r="639" spans="1:59">
      <c r="A639" s="405">
        <v>4413</v>
      </c>
      <c r="B639" s="406">
        <v>4413</v>
      </c>
      <c r="C639" s="261" t="str">
        <f t="shared" si="94"/>
        <v>0001-0065</v>
      </c>
      <c r="D639" s="261" t="str">
        <f t="shared" si="95"/>
        <v>0001-0065-0040</v>
      </c>
      <c r="E639" s="407" t="s">
        <v>459</v>
      </c>
      <c r="F639" s="261" t="str">
        <f>TEXT(VLOOKUP(J639,'[3]1'!$B$2:$D$37,2,0),"0000")</f>
        <v>0001</v>
      </c>
      <c r="G639" s="261" t="str">
        <f t="shared" si="96"/>
        <v>0065</v>
      </c>
      <c r="H639" s="408">
        <f t="shared" si="97"/>
        <v>40</v>
      </c>
      <c r="I639" s="407" t="s">
        <v>459</v>
      </c>
      <c r="J639" s="258" t="s">
        <v>828</v>
      </c>
      <c r="K639" s="258" t="s">
        <v>2719</v>
      </c>
      <c r="L639" s="258" t="s">
        <v>2237</v>
      </c>
      <c r="M639" s="409">
        <v>17450000</v>
      </c>
      <c r="N639" s="258">
        <v>2497</v>
      </c>
      <c r="O639" s="258" t="s">
        <v>78</v>
      </c>
      <c r="P639" s="258" t="s">
        <v>86</v>
      </c>
      <c r="Q639" s="258" t="s">
        <v>88</v>
      </c>
      <c r="R639" s="258" t="e">
        <v>#N/A</v>
      </c>
      <c r="S639" s="410">
        <v>10</v>
      </c>
      <c r="T639" s="261">
        <v>6</v>
      </c>
      <c r="U639" s="261">
        <v>6</v>
      </c>
      <c r="V639" s="258" t="s">
        <v>3993</v>
      </c>
      <c r="W639" s="261" t="str">
        <f t="shared" si="99"/>
        <v>기아자동차봉고3봉고3 1톤 4WD 킹캡 장축 디럭스17450000</v>
      </c>
      <c r="X639" s="411">
        <f t="shared" si="100"/>
        <v>4413</v>
      </c>
      <c r="Y639" s="261">
        <v>6</v>
      </c>
      <c r="Z639" s="261">
        <v>6</v>
      </c>
      <c r="AA639" s="407" t="s">
        <v>459</v>
      </c>
      <c r="AB639" s="258" t="e">
        <v>#N/A</v>
      </c>
      <c r="AC639" s="258"/>
      <c r="AD639" s="258" t="s">
        <v>2132</v>
      </c>
      <c r="AE639" s="258" t="s">
        <v>2129</v>
      </c>
      <c r="AF639" s="259"/>
      <c r="AG639" s="260"/>
      <c r="AH639" s="259"/>
      <c r="AI639" s="259"/>
      <c r="AJ639" s="260"/>
      <c r="AK639" s="259">
        <v>26</v>
      </c>
      <c r="AL639" s="259"/>
      <c r="AM639" s="259" t="s">
        <v>3224</v>
      </c>
      <c r="AN639" s="449"/>
      <c r="AO639" s="449"/>
      <c r="AP639" s="449"/>
      <c r="AQ639" s="392" t="str">
        <f>IFERROR(VLOOKUP(BG639,#REF!,1,0),"")</f>
        <v/>
      </c>
      <c r="AS639" s="259" t="s">
        <v>3224</v>
      </c>
      <c r="BD639" s="202" t="str">
        <f t="shared" si="92"/>
        <v>봉고3봉고3 1톤 4WD 킹캡 장축 디럭스</v>
      </c>
      <c r="BE639" s="261" t="str">
        <f t="shared" si="98"/>
        <v>0065</v>
      </c>
      <c r="BF639" s="407" t="s">
        <v>459</v>
      </c>
      <c r="BG639" s="202" t="str">
        <f t="shared" si="93"/>
        <v>0065-0638</v>
      </c>
    </row>
    <row r="640" spans="1:59">
      <c r="A640" s="405">
        <v>4414</v>
      </c>
      <c r="B640" s="406">
        <v>4414</v>
      </c>
      <c r="C640" s="261" t="str">
        <f t="shared" si="94"/>
        <v>0001-0065</v>
      </c>
      <c r="D640" s="261" t="str">
        <f t="shared" si="95"/>
        <v>0001-0065-0041</v>
      </c>
      <c r="E640" s="407" t="s">
        <v>458</v>
      </c>
      <c r="F640" s="261" t="str">
        <f>TEXT(VLOOKUP(J640,'[3]1'!$B$2:$D$37,2,0),"0000")</f>
        <v>0001</v>
      </c>
      <c r="G640" s="261" t="str">
        <f t="shared" si="96"/>
        <v>0065</v>
      </c>
      <c r="H640" s="408">
        <f t="shared" si="97"/>
        <v>41</v>
      </c>
      <c r="I640" s="407" t="s">
        <v>458</v>
      </c>
      <c r="J640" s="258" t="s">
        <v>828</v>
      </c>
      <c r="K640" s="258" t="s">
        <v>2719</v>
      </c>
      <c r="L640" s="258" t="s">
        <v>2238</v>
      </c>
      <c r="M640" s="409">
        <v>17950000</v>
      </c>
      <c r="N640" s="258">
        <v>2497</v>
      </c>
      <c r="O640" s="258" t="s">
        <v>78</v>
      </c>
      <c r="P640" s="258" t="s">
        <v>86</v>
      </c>
      <c r="Q640" s="258" t="s">
        <v>88</v>
      </c>
      <c r="R640" s="258">
        <v>5</v>
      </c>
      <c r="S640" s="410">
        <v>10</v>
      </c>
      <c r="T640" s="261">
        <v>6</v>
      </c>
      <c r="U640" s="261">
        <v>6</v>
      </c>
      <c r="V640" s="258" t="s">
        <v>71</v>
      </c>
      <c r="W640" s="261" t="str">
        <f t="shared" si="99"/>
        <v>기아자동차봉고3봉고3 1톤 4WD 킹캡 장축 럭셔리17950000</v>
      </c>
      <c r="X640" s="411">
        <f t="shared" si="100"/>
        <v>4414</v>
      </c>
      <c r="Y640" s="261">
        <v>6</v>
      </c>
      <c r="Z640" s="261">
        <v>6</v>
      </c>
      <c r="AA640" s="407" t="s">
        <v>458</v>
      </c>
      <c r="AB640" s="258" t="s">
        <v>73</v>
      </c>
      <c r="AC640" s="258"/>
      <c r="AD640" s="258" t="s">
        <v>2132</v>
      </c>
      <c r="AE640" s="258" t="s">
        <v>2129</v>
      </c>
      <c r="AF640" s="259"/>
      <c r="AG640" s="260"/>
      <c r="AH640" s="259"/>
      <c r="AI640" s="259"/>
      <c r="AJ640" s="260"/>
      <c r="AK640" s="259">
        <v>26</v>
      </c>
      <c r="AL640" s="259"/>
      <c r="AM640" s="259" t="s">
        <v>3224</v>
      </c>
      <c r="AN640" s="449"/>
      <c r="AO640" s="449"/>
      <c r="AP640" s="449"/>
      <c r="AQ640" s="392" t="str">
        <f>IFERROR(VLOOKUP(BG640,#REF!,1,0),"")</f>
        <v/>
      </c>
      <c r="AS640" s="259" t="s">
        <v>3224</v>
      </c>
      <c r="BD640" s="202" t="str">
        <f t="shared" si="92"/>
        <v>봉고3봉고3 1톤 4WD 킹캡 장축 럭셔리</v>
      </c>
      <c r="BE640" s="261" t="str">
        <f t="shared" si="98"/>
        <v>0065</v>
      </c>
      <c r="BF640" s="407" t="s">
        <v>458</v>
      </c>
      <c r="BG640" s="202" t="str">
        <f t="shared" si="93"/>
        <v>0065-0639</v>
      </c>
    </row>
    <row r="641" spans="1:59">
      <c r="A641" s="405">
        <v>4415</v>
      </c>
      <c r="B641" s="406">
        <v>4415</v>
      </c>
      <c r="C641" s="261" t="str">
        <f t="shared" si="94"/>
        <v>0001-0065</v>
      </c>
      <c r="D641" s="261" t="str">
        <f t="shared" si="95"/>
        <v>0001-0065-0042</v>
      </c>
      <c r="E641" s="407" t="s">
        <v>457</v>
      </c>
      <c r="F641" s="261" t="str">
        <f>TEXT(VLOOKUP(J641,'[3]1'!$B$2:$D$37,2,0),"0000")</f>
        <v>0001</v>
      </c>
      <c r="G641" s="261" t="str">
        <f t="shared" si="96"/>
        <v>0065</v>
      </c>
      <c r="H641" s="408">
        <f t="shared" si="97"/>
        <v>42</v>
      </c>
      <c r="I641" s="407" t="s">
        <v>457</v>
      </c>
      <c r="J641" s="258" t="s">
        <v>828</v>
      </c>
      <c r="K641" s="258" t="s">
        <v>2719</v>
      </c>
      <c r="L641" s="258" t="s">
        <v>2239</v>
      </c>
      <c r="M641" s="409">
        <v>18890000</v>
      </c>
      <c r="N641" s="258">
        <v>2497</v>
      </c>
      <c r="O641" s="258" t="s">
        <v>78</v>
      </c>
      <c r="P641" s="258" t="s">
        <v>86</v>
      </c>
      <c r="Q641" s="258" t="s">
        <v>88</v>
      </c>
      <c r="R641" s="258" t="e">
        <v>#N/A</v>
      </c>
      <c r="S641" s="410">
        <v>12</v>
      </c>
      <c r="T641" s="261">
        <v>6</v>
      </c>
      <c r="U641" s="261">
        <v>6</v>
      </c>
      <c r="V641" s="258" t="s">
        <v>3993</v>
      </c>
      <c r="W641" s="261" t="str">
        <f t="shared" si="99"/>
        <v>기아자동차봉고3봉고3 1톤 4WD 표준캡 장축 노블레스18890000</v>
      </c>
      <c r="X641" s="411">
        <f t="shared" si="100"/>
        <v>4415</v>
      </c>
      <c r="Y641" s="261">
        <v>6</v>
      </c>
      <c r="Z641" s="261">
        <v>6</v>
      </c>
      <c r="AA641" s="407" t="s">
        <v>457</v>
      </c>
      <c r="AB641" s="258" t="e">
        <v>#N/A</v>
      </c>
      <c r="AC641" s="258"/>
      <c r="AD641" s="258" t="s">
        <v>2132</v>
      </c>
      <c r="AE641" s="258" t="s">
        <v>2129</v>
      </c>
      <c r="AF641" s="259"/>
      <c r="AG641" s="260"/>
      <c r="AH641" s="259"/>
      <c r="AI641" s="259"/>
      <c r="AJ641" s="260"/>
      <c r="AK641" s="259">
        <v>26</v>
      </c>
      <c r="AL641" s="259"/>
      <c r="AM641" s="259" t="s">
        <v>3228</v>
      </c>
      <c r="AN641" s="449"/>
      <c r="AO641" s="449"/>
      <c r="AP641" s="449"/>
      <c r="AQ641" s="392" t="str">
        <f>IFERROR(VLOOKUP(BG641,#REF!,1,0),"")</f>
        <v/>
      </c>
      <c r="AS641" s="259" t="s">
        <v>3228</v>
      </c>
      <c r="BD641" s="202" t="str">
        <f t="shared" si="92"/>
        <v>봉고3봉고3 1톤 4WD 표준캡 장축 노블레스</v>
      </c>
      <c r="BE641" s="261" t="str">
        <f t="shared" si="98"/>
        <v>0065</v>
      </c>
      <c r="BF641" s="407" t="s">
        <v>457</v>
      </c>
      <c r="BG641" s="202" t="str">
        <f t="shared" si="93"/>
        <v>0065-0640</v>
      </c>
    </row>
    <row r="642" spans="1:59">
      <c r="A642" s="405">
        <v>4416</v>
      </c>
      <c r="B642" s="406">
        <v>4416</v>
      </c>
      <c r="C642" s="261" t="str">
        <f t="shared" si="94"/>
        <v>0001-0065</v>
      </c>
      <c r="D642" s="261" t="str">
        <f t="shared" si="95"/>
        <v>0001-0065-0043</v>
      </c>
      <c r="E642" s="407" t="s">
        <v>456</v>
      </c>
      <c r="F642" s="261" t="str">
        <f>TEXT(VLOOKUP(J642,'[3]1'!$B$2:$D$37,2,0),"0000")</f>
        <v>0001</v>
      </c>
      <c r="G642" s="261" t="str">
        <f t="shared" si="96"/>
        <v>0065</v>
      </c>
      <c r="H642" s="408">
        <f t="shared" si="97"/>
        <v>43</v>
      </c>
      <c r="I642" s="407" t="s">
        <v>456</v>
      </c>
      <c r="J642" s="258" t="s">
        <v>828</v>
      </c>
      <c r="K642" s="258" t="s">
        <v>2719</v>
      </c>
      <c r="L642" s="258" t="s">
        <v>2240</v>
      </c>
      <c r="M642" s="409">
        <v>17050000</v>
      </c>
      <c r="N642" s="258">
        <v>2497</v>
      </c>
      <c r="O642" s="258" t="s">
        <v>78</v>
      </c>
      <c r="P642" s="258" t="s">
        <v>86</v>
      </c>
      <c r="Q642" s="258" t="s">
        <v>88</v>
      </c>
      <c r="R642" s="258">
        <v>5</v>
      </c>
      <c r="S642" s="410">
        <v>12</v>
      </c>
      <c r="T642" s="261">
        <v>6</v>
      </c>
      <c r="U642" s="261">
        <v>6</v>
      </c>
      <c r="V642" s="258" t="s">
        <v>71</v>
      </c>
      <c r="W642" s="261" t="str">
        <f t="shared" si="99"/>
        <v>기아자동차봉고3봉고3 1톤 4WD 표준캡 장축 디럭스17050000</v>
      </c>
      <c r="X642" s="411">
        <f t="shared" si="100"/>
        <v>4416</v>
      </c>
      <c r="Y642" s="261">
        <v>6</v>
      </c>
      <c r="Z642" s="261">
        <v>6</v>
      </c>
      <c r="AA642" s="407" t="s">
        <v>456</v>
      </c>
      <c r="AB642" s="258" t="s">
        <v>73</v>
      </c>
      <c r="AC642" s="258"/>
      <c r="AD642" s="258" t="s">
        <v>2132</v>
      </c>
      <c r="AE642" s="258" t="s">
        <v>2129</v>
      </c>
      <c r="AF642" s="259"/>
      <c r="AG642" s="260"/>
      <c r="AH642" s="259"/>
      <c r="AI642" s="259"/>
      <c r="AJ642" s="260"/>
      <c r="AK642" s="259">
        <v>26</v>
      </c>
      <c r="AL642" s="259"/>
      <c r="AM642" s="259" t="s">
        <v>3228</v>
      </c>
      <c r="AN642" s="449"/>
      <c r="AO642" s="449"/>
      <c r="AP642" s="449"/>
      <c r="AQ642" s="392" t="str">
        <f>IFERROR(VLOOKUP(BG642,#REF!,1,0),"")</f>
        <v/>
      </c>
      <c r="AS642" s="259" t="s">
        <v>3228</v>
      </c>
      <c r="BD642" s="202" t="str">
        <f t="shared" si="92"/>
        <v>봉고3봉고3 1톤 4WD 표준캡 장축 디럭스</v>
      </c>
      <c r="BE642" s="261" t="str">
        <f t="shared" si="98"/>
        <v>0065</v>
      </c>
      <c r="BF642" s="407" t="s">
        <v>456</v>
      </c>
      <c r="BG642" s="202" t="str">
        <f t="shared" si="93"/>
        <v>0065-0641</v>
      </c>
    </row>
    <row r="643" spans="1:59">
      <c r="A643" s="405">
        <v>4417</v>
      </c>
      <c r="B643" s="406">
        <v>4417</v>
      </c>
      <c r="C643" s="261" t="str">
        <f t="shared" si="94"/>
        <v>0001-0065</v>
      </c>
      <c r="D643" s="261" t="str">
        <f t="shared" si="95"/>
        <v>0001-0065-0044</v>
      </c>
      <c r="E643" s="407" t="s">
        <v>455</v>
      </c>
      <c r="F643" s="261" t="str">
        <f>TEXT(VLOOKUP(J643,'[3]1'!$B$2:$D$37,2,0),"0000")</f>
        <v>0001</v>
      </c>
      <c r="G643" s="261" t="str">
        <f t="shared" si="96"/>
        <v>0065</v>
      </c>
      <c r="H643" s="408">
        <f t="shared" si="97"/>
        <v>44</v>
      </c>
      <c r="I643" s="407" t="s">
        <v>455</v>
      </c>
      <c r="J643" s="258" t="s">
        <v>828</v>
      </c>
      <c r="K643" s="258" t="s">
        <v>2719</v>
      </c>
      <c r="L643" s="258" t="s">
        <v>2241</v>
      </c>
      <c r="M643" s="409">
        <v>17550000</v>
      </c>
      <c r="N643" s="258">
        <v>2497</v>
      </c>
      <c r="O643" s="258" t="s">
        <v>78</v>
      </c>
      <c r="P643" s="258" t="s">
        <v>86</v>
      </c>
      <c r="Q643" s="258" t="s">
        <v>88</v>
      </c>
      <c r="R643" s="258" t="e">
        <v>#N/A</v>
      </c>
      <c r="S643" s="410">
        <v>12</v>
      </c>
      <c r="T643" s="261">
        <v>6</v>
      </c>
      <c r="U643" s="261">
        <v>6</v>
      </c>
      <c r="V643" s="258" t="s">
        <v>3993</v>
      </c>
      <c r="W643" s="261" t="str">
        <f t="shared" si="99"/>
        <v>기아자동차봉고3봉고3 1톤 4WD 표준캡 장축 럭셔리17550000</v>
      </c>
      <c r="X643" s="411">
        <f t="shared" si="100"/>
        <v>4417</v>
      </c>
      <c r="Y643" s="261">
        <v>6</v>
      </c>
      <c r="Z643" s="261">
        <v>6</v>
      </c>
      <c r="AA643" s="407" t="s">
        <v>455</v>
      </c>
      <c r="AB643" s="258" t="e">
        <v>#N/A</v>
      </c>
      <c r="AC643" s="258"/>
      <c r="AD643" s="258" t="s">
        <v>2132</v>
      </c>
      <c r="AE643" s="258" t="s">
        <v>2129</v>
      </c>
      <c r="AF643" s="259"/>
      <c r="AG643" s="260"/>
      <c r="AH643" s="259"/>
      <c r="AI643" s="259"/>
      <c r="AJ643" s="260"/>
      <c r="AK643" s="259">
        <v>26</v>
      </c>
      <c r="AL643" s="259"/>
      <c r="AM643" s="259" t="s">
        <v>3228</v>
      </c>
      <c r="AN643" s="449"/>
      <c r="AO643" s="449"/>
      <c r="AP643" s="449"/>
      <c r="AQ643" s="392" t="str">
        <f>IFERROR(VLOOKUP(BG643,#REF!,1,0),"")</f>
        <v/>
      </c>
      <c r="AS643" s="259" t="s">
        <v>3228</v>
      </c>
      <c r="BD643" s="202" t="str">
        <f t="shared" si="92"/>
        <v>봉고3봉고3 1톤 4WD 표준캡 장축 럭셔리</v>
      </c>
      <c r="BE643" s="261" t="str">
        <f t="shared" si="98"/>
        <v>0065</v>
      </c>
      <c r="BF643" s="407" t="s">
        <v>455</v>
      </c>
      <c r="BG643" s="202" t="str">
        <f t="shared" si="93"/>
        <v>0065-0642</v>
      </c>
    </row>
    <row r="644" spans="1:59">
      <c r="A644" s="405">
        <v>4418</v>
      </c>
      <c r="B644" s="406">
        <v>4418</v>
      </c>
      <c r="C644" s="261" t="str">
        <f t="shared" si="94"/>
        <v>0001-0065</v>
      </c>
      <c r="D644" s="261" t="str">
        <f t="shared" si="95"/>
        <v>0001-0065-0045</v>
      </c>
      <c r="E644" s="407" t="s">
        <v>454</v>
      </c>
      <c r="F644" s="261" t="str">
        <f>TEXT(VLOOKUP(J644,'[3]1'!$B$2:$D$37,2,0),"0000")</f>
        <v>0001</v>
      </c>
      <c r="G644" s="261" t="str">
        <f t="shared" si="96"/>
        <v>0065</v>
      </c>
      <c r="H644" s="408">
        <f t="shared" si="97"/>
        <v>45</v>
      </c>
      <c r="I644" s="407" t="s">
        <v>454</v>
      </c>
      <c r="J644" s="413" t="s">
        <v>828</v>
      </c>
      <c r="K644" s="258" t="s">
        <v>2719</v>
      </c>
      <c r="L644" s="258" t="s">
        <v>2242</v>
      </c>
      <c r="M644" s="409">
        <v>22190000</v>
      </c>
      <c r="N644" s="258">
        <v>2497</v>
      </c>
      <c r="O644" s="258" t="s">
        <v>78</v>
      </c>
      <c r="P644" s="258" t="s">
        <v>86</v>
      </c>
      <c r="Q644" s="258" t="s">
        <v>88</v>
      </c>
      <c r="R644" s="258">
        <v>5</v>
      </c>
      <c r="S644" s="410">
        <v>12</v>
      </c>
      <c r="T644" s="261">
        <v>6</v>
      </c>
      <c r="U644" s="261">
        <v>6</v>
      </c>
      <c r="V644" s="258" t="s">
        <v>71</v>
      </c>
      <c r="W644" s="261" t="str">
        <f t="shared" si="99"/>
        <v>기아자동차봉고3더 뉴 봉고3 트럭 1톤 더블캡 장축 4WD GLS M/T22190000</v>
      </c>
      <c r="X644" s="411">
        <f t="shared" si="100"/>
        <v>4418</v>
      </c>
      <c r="Y644" s="261">
        <v>6</v>
      </c>
      <c r="Z644" s="261">
        <v>6</v>
      </c>
      <c r="AA644" s="407" t="s">
        <v>454</v>
      </c>
      <c r="AB644" s="258" t="s">
        <v>73</v>
      </c>
      <c r="AC644" s="258"/>
      <c r="AD644" s="258" t="s">
        <v>2132</v>
      </c>
      <c r="AE644" s="258" t="s">
        <v>2129</v>
      </c>
      <c r="AF644" s="259"/>
      <c r="AG644" s="260"/>
      <c r="AH644" s="259"/>
      <c r="AI644" s="259"/>
      <c r="AJ644" s="260"/>
      <c r="AK644" s="259">
        <v>26</v>
      </c>
      <c r="AL644" s="259"/>
      <c r="AM644" s="259" t="s">
        <v>3228</v>
      </c>
      <c r="AN644" s="449"/>
      <c r="AO644" s="449"/>
      <c r="AP644" s="449"/>
      <c r="AQ644" s="392" t="str">
        <f>IFERROR(VLOOKUP(BG644,#REF!,1,0),"")</f>
        <v/>
      </c>
      <c r="AS644" s="259" t="s">
        <v>3228</v>
      </c>
      <c r="BD644" s="202" t="str">
        <f t="shared" si="92"/>
        <v>봉고3더 뉴 봉고3 트럭 1톤 더블캡 장축 4WD GLS M/T</v>
      </c>
      <c r="BE644" s="261" t="str">
        <f t="shared" si="98"/>
        <v>0065</v>
      </c>
      <c r="BF644" s="407" t="s">
        <v>454</v>
      </c>
      <c r="BG644" s="202" t="str">
        <f t="shared" si="93"/>
        <v>0065-0643</v>
      </c>
    </row>
    <row r="645" spans="1:59">
      <c r="A645" s="405">
        <v>4419</v>
      </c>
      <c r="B645" s="406">
        <v>4419</v>
      </c>
      <c r="C645" s="261" t="str">
        <f t="shared" si="94"/>
        <v>0001-0065</v>
      </c>
      <c r="D645" s="261" t="str">
        <f t="shared" si="95"/>
        <v>0001-0065-0046</v>
      </c>
      <c r="E645" s="407" t="s">
        <v>453</v>
      </c>
      <c r="F645" s="261" t="str">
        <f>TEXT(VLOOKUP(J645,'[3]1'!$B$2:$D$37,2,0),"0000")</f>
        <v>0001</v>
      </c>
      <c r="G645" s="261" t="str">
        <f t="shared" si="96"/>
        <v>0065</v>
      </c>
      <c r="H645" s="408">
        <f t="shared" si="97"/>
        <v>46</v>
      </c>
      <c r="I645" s="407" t="s">
        <v>453</v>
      </c>
      <c r="J645" s="413" t="s">
        <v>828</v>
      </c>
      <c r="K645" s="258" t="s">
        <v>2719</v>
      </c>
      <c r="L645" s="258" t="s">
        <v>2243</v>
      </c>
      <c r="M645" s="409">
        <v>16850000</v>
      </c>
      <c r="N645" s="258">
        <v>2497</v>
      </c>
      <c r="O645" s="258" t="s">
        <v>78</v>
      </c>
      <c r="P645" s="258" t="s">
        <v>86</v>
      </c>
      <c r="Q645" s="258" t="s">
        <v>72</v>
      </c>
      <c r="R645" s="258">
        <v>5</v>
      </c>
      <c r="S645" s="410">
        <v>10</v>
      </c>
      <c r="T645" s="261">
        <v>6</v>
      </c>
      <c r="U645" s="261">
        <v>6</v>
      </c>
      <c r="V645" s="258" t="s">
        <v>71</v>
      </c>
      <c r="W645" s="261" t="str">
        <f t="shared" si="99"/>
        <v>기아자동차봉고3봉고3 1톤 2WD 킹캡 초장축 L라이트16850000</v>
      </c>
      <c r="X645" s="411">
        <f t="shared" si="100"/>
        <v>4419</v>
      </c>
      <c r="Y645" s="261">
        <v>6</v>
      </c>
      <c r="Z645" s="261">
        <v>6</v>
      </c>
      <c r="AA645" s="407" t="s">
        <v>453</v>
      </c>
      <c r="AB645" s="258" t="s">
        <v>73</v>
      </c>
      <c r="AC645" s="258"/>
      <c r="AD645" s="258" t="s">
        <v>2132</v>
      </c>
      <c r="AE645" s="258" t="s">
        <v>2129</v>
      </c>
      <c r="AF645" s="259"/>
      <c r="AG645" s="260"/>
      <c r="AH645" s="259"/>
      <c r="AI645" s="259"/>
      <c r="AJ645" s="260"/>
      <c r="AK645" s="259">
        <v>26</v>
      </c>
      <c r="AL645" s="259"/>
      <c r="AM645" s="259" t="s">
        <v>3224</v>
      </c>
      <c r="AN645" s="449"/>
      <c r="AO645" s="449"/>
      <c r="AP645" s="449"/>
      <c r="AQ645" s="392" t="str">
        <f>IFERROR(VLOOKUP(BG645,#REF!,1,0),"")</f>
        <v/>
      </c>
      <c r="AS645" s="259" t="s">
        <v>3224</v>
      </c>
      <c r="BD645" s="202" t="str">
        <f t="shared" ref="BD645:BD708" si="101">K645&amp;L645</f>
        <v>봉고3봉고3 1톤 2WD 킹캡 초장축 L라이트</v>
      </c>
      <c r="BE645" s="261" t="str">
        <f t="shared" si="98"/>
        <v>0065</v>
      </c>
      <c r="BF645" s="407" t="s">
        <v>453</v>
      </c>
      <c r="BG645" s="202" t="str">
        <f t="shared" ref="BG645:BG708" si="102">BE645&amp;"-"&amp;BF645</f>
        <v>0065-0644</v>
      </c>
    </row>
    <row r="646" spans="1:59">
      <c r="A646" s="405">
        <v>4420</v>
      </c>
      <c r="B646" s="406">
        <v>4420</v>
      </c>
      <c r="C646" s="261" t="str">
        <f t="shared" ref="C646:C709" si="103">TEXT(F646,"0000")&amp;"-"&amp;TEXT(G646,"0000")</f>
        <v>0001-0065</v>
      </c>
      <c r="D646" s="261" t="str">
        <f t="shared" ref="D646:D709" si="104">TEXT(F646,"0000")&amp;"-"&amp;TEXT(G646,"0000")&amp;"-"&amp;TEXT(H646,"0000")</f>
        <v>0001-0065-0047</v>
      </c>
      <c r="E646" s="407" t="s">
        <v>452</v>
      </c>
      <c r="F646" s="261" t="str">
        <f>TEXT(VLOOKUP(J646,'[3]1'!$B$2:$D$37,2,0),"0000")</f>
        <v>0001</v>
      </c>
      <c r="G646" s="261" t="str">
        <f t="shared" ref="G646:G709" si="105">IF(K646=K645,TEXT(G645,"0000"),TEXT(G645+1,"0000"))</f>
        <v>0065</v>
      </c>
      <c r="H646" s="408">
        <f t="shared" ref="H646:H709" si="106">IF(F646&amp;G646=F645&amp;G645,H645+1,1)</f>
        <v>47</v>
      </c>
      <c r="I646" s="407" t="s">
        <v>452</v>
      </c>
      <c r="J646" s="413" t="s">
        <v>828</v>
      </c>
      <c r="K646" s="258" t="s">
        <v>2719</v>
      </c>
      <c r="L646" s="258" t="s">
        <v>2244</v>
      </c>
      <c r="M646" s="409">
        <v>18800000</v>
      </c>
      <c r="N646" s="258">
        <v>2497</v>
      </c>
      <c r="O646" s="258" t="s">
        <v>78</v>
      </c>
      <c r="P646" s="258" t="s">
        <v>86</v>
      </c>
      <c r="Q646" s="258" t="s">
        <v>72</v>
      </c>
      <c r="R646" s="258" t="e">
        <v>#N/A</v>
      </c>
      <c r="S646" s="410">
        <v>12</v>
      </c>
      <c r="T646" s="261">
        <v>6</v>
      </c>
      <c r="U646" s="261">
        <v>6</v>
      </c>
      <c r="V646" s="258" t="s">
        <v>3993</v>
      </c>
      <c r="W646" s="261" t="str">
        <f t="shared" si="99"/>
        <v>기아자동차봉고3봉고3 1톤 카고 장축 표준캡 디젤 GL  4WD M/T 라이트18800000</v>
      </c>
      <c r="X646" s="411">
        <f t="shared" si="100"/>
        <v>4420</v>
      </c>
      <c r="Y646" s="261">
        <v>6</v>
      </c>
      <c r="Z646" s="261">
        <v>6</v>
      </c>
      <c r="AA646" s="407" t="s">
        <v>452</v>
      </c>
      <c r="AB646" s="258" t="e">
        <v>#N/A</v>
      </c>
      <c r="AC646" s="258"/>
      <c r="AD646" s="258" t="s">
        <v>2134</v>
      </c>
      <c r="AE646" s="258" t="s">
        <v>2129</v>
      </c>
      <c r="AF646" s="259"/>
      <c r="AG646" s="260"/>
      <c r="AH646" s="259"/>
      <c r="AI646" s="259"/>
      <c r="AJ646" s="260"/>
      <c r="AK646" s="259">
        <v>26</v>
      </c>
      <c r="AL646" s="259"/>
      <c r="AM646" s="259" t="s">
        <v>3228</v>
      </c>
      <c r="AN646" s="449"/>
      <c r="AO646" s="449"/>
      <c r="AP646" s="449"/>
      <c r="AQ646" s="392" t="str">
        <f>IFERROR(VLOOKUP(BG646,#REF!,1,0),"")</f>
        <v/>
      </c>
      <c r="AS646" s="259" t="s">
        <v>3228</v>
      </c>
      <c r="BD646" s="202" t="str">
        <f t="shared" si="101"/>
        <v>봉고3봉고3 1톤 카고 장축 표준캡 디젤 GL  4WD M/T 라이트</v>
      </c>
      <c r="BE646" s="261" t="str">
        <f t="shared" ref="BE646:BE709" si="107">IF(K645=K646,TEXT(G645,"0000"),TEXT(G645+1,"0000"))</f>
        <v>0065</v>
      </c>
      <c r="BF646" s="407" t="s">
        <v>452</v>
      </c>
      <c r="BG646" s="202" t="str">
        <f t="shared" si="102"/>
        <v>0065-0645</v>
      </c>
    </row>
    <row r="647" spans="1:59">
      <c r="A647" s="405">
        <v>4421</v>
      </c>
      <c r="B647" s="406">
        <v>4421</v>
      </c>
      <c r="C647" s="261" t="str">
        <f t="shared" si="103"/>
        <v>0001-0065</v>
      </c>
      <c r="D647" s="261" t="str">
        <f t="shared" si="104"/>
        <v>0001-0065-0048</v>
      </c>
      <c r="E647" s="407" t="s">
        <v>451</v>
      </c>
      <c r="F647" s="261" t="str">
        <f>TEXT(VLOOKUP(J647,'[3]1'!$B$2:$D$37,2,0),"0000")</f>
        <v>0001</v>
      </c>
      <c r="G647" s="261" t="str">
        <f t="shared" si="105"/>
        <v>0065</v>
      </c>
      <c r="H647" s="408">
        <f t="shared" si="106"/>
        <v>48</v>
      </c>
      <c r="I647" s="407" t="s">
        <v>451</v>
      </c>
      <c r="J647" s="413" t="s">
        <v>828</v>
      </c>
      <c r="K647" s="258" t="s">
        <v>2719</v>
      </c>
      <c r="L647" s="258" t="s">
        <v>2245</v>
      </c>
      <c r="M647" s="409">
        <v>20480000</v>
      </c>
      <c r="N647" s="258">
        <v>2497</v>
      </c>
      <c r="O647" s="258" t="s">
        <v>78</v>
      </c>
      <c r="P647" s="258" t="s">
        <v>86</v>
      </c>
      <c r="Q647" s="258" t="s">
        <v>88</v>
      </c>
      <c r="R647" s="258">
        <v>5</v>
      </c>
      <c r="S647" s="410">
        <v>12</v>
      </c>
      <c r="T647" s="261">
        <v>6</v>
      </c>
      <c r="U647" s="261">
        <v>6</v>
      </c>
      <c r="V647" s="258" t="s">
        <v>71</v>
      </c>
      <c r="W647" s="261" t="str">
        <f t="shared" ref="W647:W710" si="108">J647&amp;K647&amp;L647&amp;M647</f>
        <v>기아자동차봉고3봉고3 1.2톤 표준캡 초장축 GL M/T20480000</v>
      </c>
      <c r="X647" s="411">
        <f t="shared" ref="X647:X710" si="109">B647</f>
        <v>4421</v>
      </c>
      <c r="Y647" s="261">
        <v>6</v>
      </c>
      <c r="Z647" s="261">
        <v>6</v>
      </c>
      <c r="AA647" s="407" t="s">
        <v>451</v>
      </c>
      <c r="AB647" s="258" t="s">
        <v>73</v>
      </c>
      <c r="AC647" s="258"/>
      <c r="AD647" s="258" t="s">
        <v>2134</v>
      </c>
      <c r="AE647" s="258" t="s">
        <v>2129</v>
      </c>
      <c r="AF647" s="259"/>
      <c r="AG647" s="260"/>
      <c r="AH647" s="259"/>
      <c r="AI647" s="259"/>
      <c r="AJ647" s="260"/>
      <c r="AK647" s="259">
        <v>26</v>
      </c>
      <c r="AL647" s="259"/>
      <c r="AM647" s="259" t="s">
        <v>3228</v>
      </c>
      <c r="AN647" s="449"/>
      <c r="AO647" s="449"/>
      <c r="AP647" s="449"/>
      <c r="AQ647" s="392" t="str">
        <f>IFERROR(VLOOKUP(BG647,#REF!,1,0),"")</f>
        <v/>
      </c>
      <c r="AS647" s="259" t="s">
        <v>3228</v>
      </c>
      <c r="BD647" s="202" t="str">
        <f t="shared" si="101"/>
        <v>봉고3봉고3 1.2톤 표준캡 초장축 GL M/T</v>
      </c>
      <c r="BE647" s="261" t="str">
        <f t="shared" si="107"/>
        <v>0065</v>
      </c>
      <c r="BF647" s="407" t="s">
        <v>451</v>
      </c>
      <c r="BG647" s="202" t="str">
        <f t="shared" si="102"/>
        <v>0065-0646</v>
      </c>
    </row>
    <row r="648" spans="1:59">
      <c r="A648" s="405">
        <v>4422</v>
      </c>
      <c r="B648" s="406">
        <v>4422</v>
      </c>
      <c r="C648" s="261" t="str">
        <f t="shared" si="103"/>
        <v>0001-0065</v>
      </c>
      <c r="D648" s="261" t="str">
        <f t="shared" si="104"/>
        <v>0001-0065-0049</v>
      </c>
      <c r="E648" s="407" t="s">
        <v>450</v>
      </c>
      <c r="F648" s="261" t="str">
        <f>TEXT(VLOOKUP(J648,'[3]1'!$B$2:$D$37,2,0),"0000")</f>
        <v>0001</v>
      </c>
      <c r="G648" s="261" t="str">
        <f t="shared" si="105"/>
        <v>0065</v>
      </c>
      <c r="H648" s="408">
        <f t="shared" si="106"/>
        <v>49</v>
      </c>
      <c r="I648" s="407" t="s">
        <v>450</v>
      </c>
      <c r="J648" s="413" t="s">
        <v>828</v>
      </c>
      <c r="K648" s="258" t="s">
        <v>2719</v>
      </c>
      <c r="L648" s="258" t="s">
        <v>2246</v>
      </c>
      <c r="M648" s="409">
        <v>19570000</v>
      </c>
      <c r="N648" s="258">
        <v>2497</v>
      </c>
      <c r="O648" s="258" t="s">
        <v>78</v>
      </c>
      <c r="P648" s="258" t="s">
        <v>86</v>
      </c>
      <c r="Q648" s="258" t="s">
        <v>72</v>
      </c>
      <c r="R648" s="258">
        <v>7</v>
      </c>
      <c r="S648" s="410">
        <v>12</v>
      </c>
      <c r="T648" s="261">
        <v>6</v>
      </c>
      <c r="U648" s="261">
        <v>6</v>
      </c>
      <c r="V648" s="258" t="s">
        <v>71</v>
      </c>
      <c r="W648" s="261" t="str">
        <f t="shared" si="108"/>
        <v>기아자동차봉고3봉고3 1톤 2WD 더블캡 초장축 L A/T19570000</v>
      </c>
      <c r="X648" s="411">
        <f t="shared" si="109"/>
        <v>4422</v>
      </c>
      <c r="Y648" s="261">
        <v>6</v>
      </c>
      <c r="Z648" s="261">
        <v>6</v>
      </c>
      <c r="AA648" s="407" t="s">
        <v>450</v>
      </c>
      <c r="AB648" s="258" t="s">
        <v>73</v>
      </c>
      <c r="AC648" s="258"/>
      <c r="AD648" s="258" t="s">
        <v>2132</v>
      </c>
      <c r="AE648" s="258" t="s">
        <v>2129</v>
      </c>
      <c r="AF648" s="259"/>
      <c r="AG648" s="260"/>
      <c r="AH648" s="259"/>
      <c r="AI648" s="259"/>
      <c r="AJ648" s="260"/>
      <c r="AK648" s="259">
        <v>26</v>
      </c>
      <c r="AL648" s="259"/>
      <c r="AM648" s="259" t="s">
        <v>3228</v>
      </c>
      <c r="AN648" s="449"/>
      <c r="AO648" s="449"/>
      <c r="AP648" s="449"/>
      <c r="AQ648" s="392" t="str">
        <f>IFERROR(VLOOKUP(BG648,#REF!,1,0),"")</f>
        <v/>
      </c>
      <c r="AS648" s="259" t="s">
        <v>3228</v>
      </c>
      <c r="BD648" s="202" t="str">
        <f t="shared" si="101"/>
        <v>봉고3봉고3 1톤 2WD 더블캡 초장축 L A/T</v>
      </c>
      <c r="BE648" s="261" t="str">
        <f t="shared" si="107"/>
        <v>0065</v>
      </c>
      <c r="BF648" s="407" t="s">
        <v>450</v>
      </c>
      <c r="BG648" s="202" t="str">
        <f t="shared" si="102"/>
        <v>0065-0647</v>
      </c>
    </row>
    <row r="649" spans="1:59">
      <c r="A649" s="405">
        <v>4423</v>
      </c>
      <c r="B649" s="406">
        <v>4423</v>
      </c>
      <c r="C649" s="261" t="str">
        <f t="shared" si="103"/>
        <v>0001-0065</v>
      </c>
      <c r="D649" s="261" t="str">
        <f t="shared" si="104"/>
        <v>0001-0065-0050</v>
      </c>
      <c r="E649" s="407" t="s">
        <v>449</v>
      </c>
      <c r="F649" s="261" t="str">
        <f>TEXT(VLOOKUP(J649,'[3]1'!$B$2:$D$37,2,0),"0000")</f>
        <v>0001</v>
      </c>
      <c r="G649" s="261" t="str">
        <f t="shared" si="105"/>
        <v>0065</v>
      </c>
      <c r="H649" s="408">
        <f t="shared" si="106"/>
        <v>50</v>
      </c>
      <c r="I649" s="407" t="s">
        <v>449</v>
      </c>
      <c r="J649" s="413" t="s">
        <v>828</v>
      </c>
      <c r="K649" s="258" t="s">
        <v>2719</v>
      </c>
      <c r="L649" s="258" t="s">
        <v>2247</v>
      </c>
      <c r="M649" s="409">
        <v>21080000</v>
      </c>
      <c r="N649" s="258">
        <v>2497</v>
      </c>
      <c r="O649" s="258" t="s">
        <v>78</v>
      </c>
      <c r="P649" s="258" t="s">
        <v>86</v>
      </c>
      <c r="Q649" s="258" t="s">
        <v>72</v>
      </c>
      <c r="R649" s="258" t="e">
        <v>#N/A</v>
      </c>
      <c r="S649" s="410">
        <v>10</v>
      </c>
      <c r="T649" s="261">
        <v>6</v>
      </c>
      <c r="U649" s="261">
        <v>6</v>
      </c>
      <c r="V649" s="258" t="s">
        <v>3993</v>
      </c>
      <c r="W649" s="261" t="str">
        <f t="shared" si="108"/>
        <v>기아자동차봉고3봉고3 1톤 2WD 초장축 킹캡  GLS A/T 플러스21080000</v>
      </c>
      <c r="X649" s="411">
        <f t="shared" si="109"/>
        <v>4423</v>
      </c>
      <c r="Y649" s="261">
        <v>6</v>
      </c>
      <c r="Z649" s="261">
        <v>6</v>
      </c>
      <c r="AA649" s="407" t="s">
        <v>449</v>
      </c>
      <c r="AB649" s="258" t="e">
        <v>#N/A</v>
      </c>
      <c r="AC649" s="258"/>
      <c r="AD649" s="258" t="s">
        <v>2132</v>
      </c>
      <c r="AE649" s="258" t="s">
        <v>2129</v>
      </c>
      <c r="AF649" s="259"/>
      <c r="AG649" s="260"/>
      <c r="AH649" s="259"/>
      <c r="AI649" s="259"/>
      <c r="AJ649" s="260"/>
      <c r="AK649" s="259">
        <v>26</v>
      </c>
      <c r="AL649" s="259"/>
      <c r="AM649" s="259" t="s">
        <v>3224</v>
      </c>
      <c r="AN649" s="449"/>
      <c r="AO649" s="449"/>
      <c r="AP649" s="449"/>
      <c r="AQ649" s="392" t="str">
        <f>IFERROR(VLOOKUP(BG649,#REF!,1,0),"")</f>
        <v/>
      </c>
      <c r="AS649" s="259" t="s">
        <v>3224</v>
      </c>
      <c r="BD649" s="202" t="str">
        <f t="shared" si="101"/>
        <v>봉고3봉고3 1톤 2WD 초장축 킹캡  GLS A/T 플러스</v>
      </c>
      <c r="BE649" s="261" t="str">
        <f t="shared" si="107"/>
        <v>0065</v>
      </c>
      <c r="BF649" s="407" t="s">
        <v>449</v>
      </c>
      <c r="BG649" s="202" t="str">
        <f t="shared" si="102"/>
        <v>0065-0648</v>
      </c>
    </row>
    <row r="650" spans="1:59">
      <c r="A650" s="405">
        <v>4424</v>
      </c>
      <c r="B650" s="406">
        <v>4424</v>
      </c>
      <c r="C650" s="261" t="str">
        <f t="shared" si="103"/>
        <v>0001-0065</v>
      </c>
      <c r="D650" s="261" t="str">
        <f t="shared" si="104"/>
        <v>0001-0065-0051</v>
      </c>
      <c r="E650" s="407" t="s">
        <v>448</v>
      </c>
      <c r="F650" s="261" t="str">
        <f>TEXT(VLOOKUP(J650,'[3]1'!$B$2:$D$37,2,0),"0000")</f>
        <v>0001</v>
      </c>
      <c r="G650" s="261" t="str">
        <f t="shared" si="105"/>
        <v>0065</v>
      </c>
      <c r="H650" s="408">
        <f t="shared" si="106"/>
        <v>51</v>
      </c>
      <c r="I650" s="407" t="s">
        <v>448</v>
      </c>
      <c r="J650" s="413" t="s">
        <v>828</v>
      </c>
      <c r="K650" s="258" t="s">
        <v>2719</v>
      </c>
      <c r="L650" s="258" t="s">
        <v>2248</v>
      </c>
      <c r="M650" s="409">
        <v>16750000</v>
      </c>
      <c r="N650" s="258">
        <v>2497</v>
      </c>
      <c r="O650" s="258" t="s">
        <v>78</v>
      </c>
      <c r="P650" s="258" t="s">
        <v>86</v>
      </c>
      <c r="Q650" s="258" t="s">
        <v>72</v>
      </c>
      <c r="R650" s="258">
        <v>7</v>
      </c>
      <c r="S650" s="410">
        <v>12</v>
      </c>
      <c r="T650" s="261">
        <v>6</v>
      </c>
      <c r="U650" s="261">
        <v>6</v>
      </c>
      <c r="V650" s="258" t="s">
        <v>71</v>
      </c>
      <c r="W650" s="261" t="str">
        <f t="shared" si="108"/>
        <v>기아자동차봉고3봉고3 1톤 카고 초장축 표준캡 디젤 L 라이트 2WD16750000</v>
      </c>
      <c r="X650" s="411">
        <f t="shared" si="109"/>
        <v>4424</v>
      </c>
      <c r="Y650" s="261">
        <v>6</v>
      </c>
      <c r="Z650" s="261">
        <v>6</v>
      </c>
      <c r="AA650" s="407" t="s">
        <v>448</v>
      </c>
      <c r="AB650" s="258" t="s">
        <v>73</v>
      </c>
      <c r="AC650" s="258"/>
      <c r="AD650" s="258" t="s">
        <v>2132</v>
      </c>
      <c r="AE650" s="258" t="s">
        <v>2129</v>
      </c>
      <c r="AF650" s="259"/>
      <c r="AG650" s="260"/>
      <c r="AH650" s="259"/>
      <c r="AI650" s="259"/>
      <c r="AJ650" s="260"/>
      <c r="AK650" s="259">
        <v>26</v>
      </c>
      <c r="AL650" s="259"/>
      <c r="AM650" s="259" t="s">
        <v>3228</v>
      </c>
      <c r="AN650" s="449"/>
      <c r="AO650" s="449"/>
      <c r="AP650" s="449"/>
      <c r="AQ650" s="392" t="str">
        <f>IFERROR(VLOOKUP(BG650,#REF!,1,0),"")</f>
        <v/>
      </c>
      <c r="AS650" s="259" t="s">
        <v>3228</v>
      </c>
      <c r="BD650" s="202" t="str">
        <f t="shared" si="101"/>
        <v>봉고3봉고3 1톤 카고 초장축 표준캡 디젤 L 라이트 2WD</v>
      </c>
      <c r="BE650" s="261" t="str">
        <f t="shared" si="107"/>
        <v>0065</v>
      </c>
      <c r="BF650" s="407" t="s">
        <v>448</v>
      </c>
      <c r="BG650" s="202" t="str">
        <f t="shared" si="102"/>
        <v>0065-0649</v>
      </c>
    </row>
    <row r="651" spans="1:59">
      <c r="A651" s="405">
        <v>4425</v>
      </c>
      <c r="B651" s="406">
        <v>4425</v>
      </c>
      <c r="C651" s="261" t="str">
        <f t="shared" si="103"/>
        <v>0001-0065</v>
      </c>
      <c r="D651" s="261" t="str">
        <f t="shared" si="104"/>
        <v>0001-0065-0052</v>
      </c>
      <c r="E651" s="407" t="s">
        <v>447</v>
      </c>
      <c r="F651" s="261" t="str">
        <f>TEXT(VLOOKUP(J651,'[3]1'!$B$2:$D$37,2,0),"0000")</f>
        <v>0001</v>
      </c>
      <c r="G651" s="261" t="str">
        <f t="shared" si="105"/>
        <v>0065</v>
      </c>
      <c r="H651" s="408">
        <f t="shared" si="106"/>
        <v>52</v>
      </c>
      <c r="I651" s="407" t="s">
        <v>447</v>
      </c>
      <c r="J651" s="413" t="s">
        <v>828</v>
      </c>
      <c r="K651" s="258" t="s">
        <v>2719</v>
      </c>
      <c r="L651" s="258" t="s">
        <v>2249</v>
      </c>
      <c r="M651" s="409">
        <v>18140000</v>
      </c>
      <c r="N651" s="258">
        <v>2497</v>
      </c>
      <c r="O651" s="258" t="s">
        <v>78</v>
      </c>
      <c r="P651" s="258" t="s">
        <v>86</v>
      </c>
      <c r="Q651" s="258" t="s">
        <v>72</v>
      </c>
      <c r="R651" s="258">
        <v>5</v>
      </c>
      <c r="S651" s="410">
        <v>12</v>
      </c>
      <c r="T651" s="261">
        <v>6</v>
      </c>
      <c r="U651" s="261">
        <v>6</v>
      </c>
      <c r="V651" s="258" t="s">
        <v>71</v>
      </c>
      <c r="W651" s="261" t="str">
        <f t="shared" si="108"/>
        <v>기아자동차봉고3봉고3 1톤 초장축 카고 더블캡 디젤 L 라이트18140000</v>
      </c>
      <c r="X651" s="411">
        <f t="shared" si="109"/>
        <v>4425</v>
      </c>
      <c r="Y651" s="261">
        <v>6</v>
      </c>
      <c r="Z651" s="261">
        <v>6</v>
      </c>
      <c r="AA651" s="407" t="s">
        <v>447</v>
      </c>
      <c r="AB651" s="258" t="s">
        <v>73</v>
      </c>
      <c r="AC651" s="258"/>
      <c r="AD651" s="258" t="s">
        <v>2135</v>
      </c>
      <c r="AE651" s="258" t="s">
        <v>2129</v>
      </c>
      <c r="AF651" s="259"/>
      <c r="AG651" s="260"/>
      <c r="AH651" s="259"/>
      <c r="AI651" s="259"/>
      <c r="AJ651" s="260"/>
      <c r="AK651" s="259">
        <v>26</v>
      </c>
      <c r="AL651" s="259"/>
      <c r="AM651" s="259" t="s">
        <v>3228</v>
      </c>
      <c r="AN651" s="449"/>
      <c r="AO651" s="449"/>
      <c r="AP651" s="449"/>
      <c r="AQ651" s="392" t="str">
        <f>IFERROR(VLOOKUP(BG651,#REF!,1,0),"")</f>
        <v/>
      </c>
      <c r="AS651" s="259" t="s">
        <v>3228</v>
      </c>
      <c r="BD651" s="202" t="str">
        <f t="shared" si="101"/>
        <v>봉고3봉고3 1톤 초장축 카고 더블캡 디젤 L 라이트</v>
      </c>
      <c r="BE651" s="261" t="str">
        <f t="shared" si="107"/>
        <v>0065</v>
      </c>
      <c r="BF651" s="407" t="s">
        <v>447</v>
      </c>
      <c r="BG651" s="202" t="str">
        <f t="shared" si="102"/>
        <v>0065-0650</v>
      </c>
    </row>
    <row r="652" spans="1:59">
      <c r="A652" s="405">
        <v>4426</v>
      </c>
      <c r="B652" s="406">
        <v>4426</v>
      </c>
      <c r="C652" s="261" t="str">
        <f t="shared" si="103"/>
        <v>0001-0065</v>
      </c>
      <c r="D652" s="261" t="str">
        <f t="shared" si="104"/>
        <v>0001-0065-0053</v>
      </c>
      <c r="E652" s="407" t="s">
        <v>446</v>
      </c>
      <c r="F652" s="261" t="str">
        <f>TEXT(VLOOKUP(J652,'[3]1'!$B$2:$D$37,2,0),"0000")</f>
        <v>0001</v>
      </c>
      <c r="G652" s="261" t="str">
        <f t="shared" si="105"/>
        <v>0065</v>
      </c>
      <c r="H652" s="408">
        <f t="shared" si="106"/>
        <v>53</v>
      </c>
      <c r="I652" s="407" t="s">
        <v>446</v>
      </c>
      <c r="J652" s="413" t="s">
        <v>828</v>
      </c>
      <c r="K652" s="258" t="s">
        <v>2719</v>
      </c>
      <c r="L652" s="258" t="s">
        <v>2250</v>
      </c>
      <c r="M652" s="409">
        <v>18330000</v>
      </c>
      <c r="N652" s="258">
        <v>2497</v>
      </c>
      <c r="O652" s="258" t="s">
        <v>78</v>
      </c>
      <c r="P652" s="258" t="s">
        <v>86</v>
      </c>
      <c r="Q652" s="258" t="s">
        <v>72</v>
      </c>
      <c r="R652" s="258">
        <v>5</v>
      </c>
      <c r="S652" s="410">
        <v>10</v>
      </c>
      <c r="T652" s="261">
        <v>6</v>
      </c>
      <c r="U652" s="261">
        <v>6</v>
      </c>
      <c r="V652" s="258" t="s">
        <v>71</v>
      </c>
      <c r="W652" s="261" t="str">
        <f t="shared" si="108"/>
        <v>기아자동차봉고3봉고3 1톤 카고 초장축 킹캡 디젤 L A/T18330000</v>
      </c>
      <c r="X652" s="411">
        <f t="shared" si="109"/>
        <v>4426</v>
      </c>
      <c r="Y652" s="261">
        <v>6</v>
      </c>
      <c r="Z652" s="261">
        <v>6</v>
      </c>
      <c r="AA652" s="407" t="s">
        <v>446</v>
      </c>
      <c r="AB652" s="258" t="s">
        <v>73</v>
      </c>
      <c r="AC652" s="258"/>
      <c r="AD652" s="258" t="s">
        <v>2132</v>
      </c>
      <c r="AE652" s="258" t="s">
        <v>2129</v>
      </c>
      <c r="AF652" s="259"/>
      <c r="AG652" s="260"/>
      <c r="AH652" s="259"/>
      <c r="AI652" s="259"/>
      <c r="AJ652" s="260"/>
      <c r="AK652" s="259">
        <v>26</v>
      </c>
      <c r="AL652" s="259"/>
      <c r="AM652" s="259" t="s">
        <v>3224</v>
      </c>
      <c r="AN652" s="449"/>
      <c r="AO652" s="449"/>
      <c r="AP652" s="449"/>
      <c r="AQ652" s="392" t="str">
        <f>IFERROR(VLOOKUP(BG652,#REF!,1,0),"")</f>
        <v/>
      </c>
      <c r="AS652" s="259" t="s">
        <v>3224</v>
      </c>
      <c r="BD652" s="202" t="str">
        <f t="shared" si="101"/>
        <v>봉고3봉고3 1톤 카고 초장축 킹캡 디젤 L A/T</v>
      </c>
      <c r="BE652" s="261" t="str">
        <f t="shared" si="107"/>
        <v>0065</v>
      </c>
      <c r="BF652" s="407" t="s">
        <v>446</v>
      </c>
      <c r="BG652" s="202" t="str">
        <f t="shared" si="102"/>
        <v>0065-0651</v>
      </c>
    </row>
    <row r="653" spans="1:59">
      <c r="A653" s="405">
        <v>4427</v>
      </c>
      <c r="B653" s="406">
        <v>4427</v>
      </c>
      <c r="C653" s="261" t="str">
        <f t="shared" si="103"/>
        <v>0001-0065</v>
      </c>
      <c r="D653" s="261" t="str">
        <f t="shared" si="104"/>
        <v>0001-0065-0054</v>
      </c>
      <c r="E653" s="407" t="s">
        <v>445</v>
      </c>
      <c r="F653" s="261" t="str">
        <f>TEXT(VLOOKUP(J653,'[3]1'!$B$2:$D$37,2,0),"0000")</f>
        <v>0001</v>
      </c>
      <c r="G653" s="261" t="str">
        <f t="shared" si="105"/>
        <v>0065</v>
      </c>
      <c r="H653" s="408">
        <f t="shared" si="106"/>
        <v>54</v>
      </c>
      <c r="I653" s="407" t="s">
        <v>445</v>
      </c>
      <c r="J653" s="413" t="s">
        <v>828</v>
      </c>
      <c r="K653" s="258" t="s">
        <v>2719</v>
      </c>
      <c r="L653" s="258" t="s">
        <v>2251</v>
      </c>
      <c r="M653" s="409">
        <v>18440000</v>
      </c>
      <c r="N653" s="258">
        <v>2497</v>
      </c>
      <c r="O653" s="258" t="s">
        <v>78</v>
      </c>
      <c r="P653" s="258" t="s">
        <v>86</v>
      </c>
      <c r="Q653" s="258" t="s">
        <v>88</v>
      </c>
      <c r="R653" s="258">
        <v>5</v>
      </c>
      <c r="S653" s="410">
        <v>12</v>
      </c>
      <c r="T653" s="261">
        <v>6</v>
      </c>
      <c r="U653" s="261">
        <v>6</v>
      </c>
      <c r="V653" s="258" t="s">
        <v>71</v>
      </c>
      <c r="W653" s="261" t="str">
        <f t="shared" si="108"/>
        <v>기아자동차봉고3봉고3 1톤 2WD 더블캡 초장축 L M/T18440000</v>
      </c>
      <c r="X653" s="411">
        <f t="shared" si="109"/>
        <v>4427</v>
      </c>
      <c r="Y653" s="261">
        <v>6</v>
      </c>
      <c r="Z653" s="261">
        <v>6</v>
      </c>
      <c r="AA653" s="407" t="s">
        <v>445</v>
      </c>
      <c r="AB653" s="258" t="s">
        <v>73</v>
      </c>
      <c r="AC653" s="258"/>
      <c r="AD653" s="258" t="s">
        <v>2132</v>
      </c>
      <c r="AE653" s="258" t="s">
        <v>2129</v>
      </c>
      <c r="AF653" s="259"/>
      <c r="AG653" s="260"/>
      <c r="AH653" s="259"/>
      <c r="AI653" s="259"/>
      <c r="AJ653" s="260"/>
      <c r="AK653" s="259">
        <v>26</v>
      </c>
      <c r="AL653" s="259"/>
      <c r="AM653" s="259" t="s">
        <v>3228</v>
      </c>
      <c r="AN653" s="449"/>
      <c r="AO653" s="449"/>
      <c r="AP653" s="449"/>
      <c r="AQ653" s="392" t="str">
        <f>IFERROR(VLOOKUP(BG653,#REF!,1,0),"")</f>
        <v/>
      </c>
      <c r="AS653" s="259" t="s">
        <v>3228</v>
      </c>
      <c r="BD653" s="202" t="str">
        <f t="shared" si="101"/>
        <v>봉고3봉고3 1톤 2WD 더블캡 초장축 L M/T</v>
      </c>
      <c r="BE653" s="261" t="str">
        <f t="shared" si="107"/>
        <v>0065</v>
      </c>
      <c r="BF653" s="407" t="s">
        <v>445</v>
      </c>
      <c r="BG653" s="202" t="str">
        <f t="shared" si="102"/>
        <v>0065-0652</v>
      </c>
    </row>
    <row r="654" spans="1:59">
      <c r="A654" s="405">
        <v>4428</v>
      </c>
      <c r="B654" s="406">
        <v>4428</v>
      </c>
      <c r="C654" s="261" t="str">
        <f t="shared" si="103"/>
        <v>0001-0065</v>
      </c>
      <c r="D654" s="261" t="str">
        <f t="shared" si="104"/>
        <v>0001-0065-0055</v>
      </c>
      <c r="E654" s="407" t="s">
        <v>444</v>
      </c>
      <c r="F654" s="261" t="str">
        <f>TEXT(VLOOKUP(J654,'[3]1'!$B$2:$D$37,2,0),"0000")</f>
        <v>0001</v>
      </c>
      <c r="G654" s="261" t="str">
        <f t="shared" si="105"/>
        <v>0065</v>
      </c>
      <c r="H654" s="408">
        <f t="shared" si="106"/>
        <v>55</v>
      </c>
      <c r="I654" s="407" t="s">
        <v>444</v>
      </c>
      <c r="J654" s="413" t="s">
        <v>828</v>
      </c>
      <c r="K654" s="258" t="s">
        <v>2719</v>
      </c>
      <c r="L654" s="258" t="s">
        <v>2252</v>
      </c>
      <c r="M654" s="409">
        <v>19360000</v>
      </c>
      <c r="N654" s="258">
        <v>2497</v>
      </c>
      <c r="O654" s="258" t="s">
        <v>78</v>
      </c>
      <c r="P654" s="258" t="s">
        <v>86</v>
      </c>
      <c r="Q654" s="258" t="s">
        <v>88</v>
      </c>
      <c r="R654" s="258" t="e">
        <v>#N/A</v>
      </c>
      <c r="S654" s="410">
        <v>12</v>
      </c>
      <c r="T654" s="261">
        <v>6</v>
      </c>
      <c r="U654" s="261">
        <v>6</v>
      </c>
      <c r="V654" s="258" t="s">
        <v>3993</v>
      </c>
      <c r="W654" s="261" t="str">
        <f t="shared" si="108"/>
        <v>기아자동차봉고3봉고3 1톤 2WD 더블캡 초장축 GL M/T19360000</v>
      </c>
      <c r="X654" s="411">
        <f t="shared" si="109"/>
        <v>4428</v>
      </c>
      <c r="Y654" s="261">
        <v>6</v>
      </c>
      <c r="Z654" s="261">
        <v>6</v>
      </c>
      <c r="AA654" s="407" t="s">
        <v>444</v>
      </c>
      <c r="AB654" s="258" t="e">
        <v>#N/A</v>
      </c>
      <c r="AC654" s="258"/>
      <c r="AD654" s="258" t="s">
        <v>2132</v>
      </c>
      <c r="AE654" s="258" t="s">
        <v>2129</v>
      </c>
      <c r="AF654" s="259"/>
      <c r="AG654" s="260"/>
      <c r="AH654" s="259"/>
      <c r="AI654" s="259"/>
      <c r="AJ654" s="260"/>
      <c r="AK654" s="259">
        <v>26</v>
      </c>
      <c r="AL654" s="259"/>
      <c r="AM654" s="259" t="s">
        <v>3228</v>
      </c>
      <c r="AN654" s="449"/>
      <c r="AO654" s="449"/>
      <c r="AP654" s="449"/>
      <c r="AQ654" s="392" t="str">
        <f>IFERROR(VLOOKUP(BG654,#REF!,1,0),"")</f>
        <v/>
      </c>
      <c r="AS654" s="259" t="s">
        <v>3228</v>
      </c>
      <c r="BD654" s="202" t="str">
        <f t="shared" si="101"/>
        <v>봉고3봉고3 1톤 2WD 더블캡 초장축 GL M/T</v>
      </c>
      <c r="BE654" s="261" t="str">
        <f t="shared" si="107"/>
        <v>0065</v>
      </c>
      <c r="BF654" s="407" t="s">
        <v>444</v>
      </c>
      <c r="BG654" s="202" t="str">
        <f t="shared" si="102"/>
        <v>0065-0653</v>
      </c>
    </row>
    <row r="655" spans="1:59">
      <c r="A655" s="405">
        <v>4429</v>
      </c>
      <c r="B655" s="406">
        <v>4429</v>
      </c>
      <c r="C655" s="261" t="str">
        <f t="shared" si="103"/>
        <v>0001-0065</v>
      </c>
      <c r="D655" s="261" t="str">
        <f t="shared" si="104"/>
        <v>0001-0065-0056</v>
      </c>
      <c r="E655" s="407" t="s">
        <v>443</v>
      </c>
      <c r="F655" s="261" t="str">
        <f>TEXT(VLOOKUP(J655,'[3]1'!$B$2:$D$37,2,0),"0000")</f>
        <v>0001</v>
      </c>
      <c r="G655" s="261" t="str">
        <f t="shared" si="105"/>
        <v>0065</v>
      </c>
      <c r="H655" s="408">
        <f t="shared" si="106"/>
        <v>56</v>
      </c>
      <c r="I655" s="407" t="s">
        <v>443</v>
      </c>
      <c r="J655" s="413" t="s">
        <v>828</v>
      </c>
      <c r="K655" s="258" t="s">
        <v>2719</v>
      </c>
      <c r="L655" s="258" t="s">
        <v>2253</v>
      </c>
      <c r="M655" s="409">
        <v>20190000</v>
      </c>
      <c r="N655" s="258">
        <v>2497</v>
      </c>
      <c r="O655" s="258" t="s">
        <v>78</v>
      </c>
      <c r="P655" s="258" t="s">
        <v>86</v>
      </c>
      <c r="Q655" s="258" t="s">
        <v>88</v>
      </c>
      <c r="R655" s="258" t="e">
        <v>#N/A</v>
      </c>
      <c r="S655" s="410">
        <v>12</v>
      </c>
      <c r="T655" s="261">
        <v>6</v>
      </c>
      <c r="U655" s="261">
        <v>6</v>
      </c>
      <c r="V655" s="258" t="s">
        <v>3993</v>
      </c>
      <c r="W655" s="261" t="str">
        <f t="shared" si="108"/>
        <v>기아자동차봉고3봉고3 1톤 카4WD 카고 장축 더블캡 GL 라이트 M/T20190000</v>
      </c>
      <c r="X655" s="411">
        <f t="shared" si="109"/>
        <v>4429</v>
      </c>
      <c r="Y655" s="261">
        <v>6</v>
      </c>
      <c r="Z655" s="261">
        <v>6</v>
      </c>
      <c r="AA655" s="407" t="s">
        <v>443</v>
      </c>
      <c r="AB655" s="258" t="e">
        <v>#N/A</v>
      </c>
      <c r="AC655" s="258"/>
      <c r="AD655" s="258" t="s">
        <v>2135</v>
      </c>
      <c r="AE655" s="258" t="s">
        <v>2129</v>
      </c>
      <c r="AF655" s="259"/>
      <c r="AG655" s="260"/>
      <c r="AH655" s="259"/>
      <c r="AI655" s="259"/>
      <c r="AJ655" s="260"/>
      <c r="AK655" s="259">
        <v>26</v>
      </c>
      <c r="AL655" s="259"/>
      <c r="AM655" s="259" t="s">
        <v>3228</v>
      </c>
      <c r="AN655" s="449"/>
      <c r="AO655" s="449"/>
      <c r="AP655" s="449"/>
      <c r="AQ655" s="392" t="str">
        <f>IFERROR(VLOOKUP(BG655,#REF!,1,0),"")</f>
        <v/>
      </c>
      <c r="AS655" s="259" t="s">
        <v>3228</v>
      </c>
      <c r="BD655" s="202" t="str">
        <f t="shared" si="101"/>
        <v>봉고3봉고3 1톤 카4WD 카고 장축 더블캡 GL 라이트 M/T</v>
      </c>
      <c r="BE655" s="261" t="str">
        <f t="shared" si="107"/>
        <v>0065</v>
      </c>
      <c r="BF655" s="407" t="s">
        <v>443</v>
      </c>
      <c r="BG655" s="202" t="str">
        <f t="shared" si="102"/>
        <v>0065-0654</v>
      </c>
    </row>
    <row r="656" spans="1:59">
      <c r="A656" s="405">
        <v>4430</v>
      </c>
      <c r="B656" s="406">
        <v>4430</v>
      </c>
      <c r="C656" s="261" t="str">
        <f t="shared" si="103"/>
        <v>0001-0065</v>
      </c>
      <c r="D656" s="261" t="str">
        <f t="shared" si="104"/>
        <v>0001-0065-0057</v>
      </c>
      <c r="E656" s="407" t="s">
        <v>442</v>
      </c>
      <c r="F656" s="261" t="str">
        <f>TEXT(VLOOKUP(J656,'[3]1'!$B$2:$D$37,2,0),"0000")</f>
        <v>0001</v>
      </c>
      <c r="G656" s="261" t="str">
        <f t="shared" si="105"/>
        <v>0065</v>
      </c>
      <c r="H656" s="408">
        <f t="shared" si="106"/>
        <v>57</v>
      </c>
      <c r="I656" s="407" t="s">
        <v>442</v>
      </c>
      <c r="J656" s="413" t="s">
        <v>828</v>
      </c>
      <c r="K656" s="258" t="s">
        <v>2719</v>
      </c>
      <c r="L656" s="258" t="s">
        <v>2254</v>
      </c>
      <c r="M656" s="409">
        <v>18100000</v>
      </c>
      <c r="N656" s="258">
        <v>2497</v>
      </c>
      <c r="O656" s="258" t="s">
        <v>78</v>
      </c>
      <c r="P656" s="258" t="s">
        <v>86</v>
      </c>
      <c r="Q656" s="258" t="s">
        <v>88</v>
      </c>
      <c r="R656" s="258" t="e">
        <v>#N/A</v>
      </c>
      <c r="S656" s="410">
        <v>10</v>
      </c>
      <c r="T656" s="261">
        <v>6</v>
      </c>
      <c r="U656" s="261">
        <v>6</v>
      </c>
      <c r="V656" s="258" t="s">
        <v>3993</v>
      </c>
      <c r="W656" s="261" t="str">
        <f t="shared" si="108"/>
        <v>기아자동차봉고3봉고3 1톤 2WD 초장축 킹캡 GL M/T18100000</v>
      </c>
      <c r="X656" s="411">
        <f t="shared" si="109"/>
        <v>4430</v>
      </c>
      <c r="Y656" s="261">
        <v>6</v>
      </c>
      <c r="Z656" s="261">
        <v>6</v>
      </c>
      <c r="AA656" s="407" t="s">
        <v>442</v>
      </c>
      <c r="AB656" s="258" t="e">
        <v>#N/A</v>
      </c>
      <c r="AC656" s="258"/>
      <c r="AD656" s="258" t="s">
        <v>2135</v>
      </c>
      <c r="AE656" s="258" t="s">
        <v>2129</v>
      </c>
      <c r="AF656" s="259"/>
      <c r="AG656" s="260"/>
      <c r="AH656" s="259"/>
      <c r="AI656" s="259"/>
      <c r="AJ656" s="260"/>
      <c r="AK656" s="259">
        <v>26</v>
      </c>
      <c r="AL656" s="259"/>
      <c r="AM656" s="259" t="s">
        <v>3224</v>
      </c>
      <c r="AN656" s="449"/>
      <c r="AO656" s="449"/>
      <c r="AP656" s="449"/>
      <c r="AQ656" s="392" t="str">
        <f>IFERROR(VLOOKUP(BG656,#REF!,1,0),"")</f>
        <v/>
      </c>
      <c r="AS656" s="259" t="s">
        <v>3224</v>
      </c>
      <c r="BD656" s="202" t="str">
        <f t="shared" si="101"/>
        <v>봉고3봉고3 1톤 2WD 초장축 킹캡 GL M/T</v>
      </c>
      <c r="BE656" s="261" t="str">
        <f t="shared" si="107"/>
        <v>0065</v>
      </c>
      <c r="BF656" s="407" t="s">
        <v>442</v>
      </c>
      <c r="BG656" s="202" t="str">
        <f t="shared" si="102"/>
        <v>0065-0655</v>
      </c>
    </row>
    <row r="657" spans="1:59">
      <c r="A657" s="405">
        <v>4431</v>
      </c>
      <c r="B657" s="406">
        <v>4431</v>
      </c>
      <c r="C657" s="261" t="str">
        <f t="shared" si="103"/>
        <v>0001-0065</v>
      </c>
      <c r="D657" s="261" t="str">
        <f t="shared" si="104"/>
        <v>0001-0065-0058</v>
      </c>
      <c r="E657" s="407" t="s">
        <v>441</v>
      </c>
      <c r="F657" s="261" t="str">
        <f>TEXT(VLOOKUP(J657,'[3]1'!$B$2:$D$37,2,0),"0000")</f>
        <v>0001</v>
      </c>
      <c r="G657" s="261" t="str">
        <f t="shared" si="105"/>
        <v>0065</v>
      </c>
      <c r="H657" s="408">
        <f t="shared" si="106"/>
        <v>58</v>
      </c>
      <c r="I657" s="407" t="s">
        <v>441</v>
      </c>
      <c r="J657" s="413" t="s">
        <v>828</v>
      </c>
      <c r="K657" s="258" t="s">
        <v>2719</v>
      </c>
      <c r="L657" s="258" t="s">
        <v>2255</v>
      </c>
      <c r="M657" s="409">
        <v>18100000</v>
      </c>
      <c r="N657" s="258">
        <v>2497</v>
      </c>
      <c r="O657" s="258" t="s">
        <v>78</v>
      </c>
      <c r="P657" s="258" t="s">
        <v>86</v>
      </c>
      <c r="Q657" s="258" t="s">
        <v>72</v>
      </c>
      <c r="R657" s="258">
        <v>5</v>
      </c>
      <c r="S657" s="410">
        <v>10</v>
      </c>
      <c r="T657" s="261">
        <v>6</v>
      </c>
      <c r="U657" s="261">
        <v>6</v>
      </c>
      <c r="V657" s="258" t="s">
        <v>71</v>
      </c>
      <c r="W657" s="261" t="str">
        <f t="shared" si="108"/>
        <v>기아자동차봉고3봉고3 1톤 2WD 초장축 킹캡 GL A/T18100000</v>
      </c>
      <c r="X657" s="411">
        <f t="shared" si="109"/>
        <v>4431</v>
      </c>
      <c r="Y657" s="261">
        <v>6</v>
      </c>
      <c r="Z657" s="261">
        <v>6</v>
      </c>
      <c r="AA657" s="407" t="s">
        <v>441</v>
      </c>
      <c r="AB657" s="258" t="s">
        <v>73</v>
      </c>
      <c r="AC657" s="258"/>
      <c r="AD657" s="258" t="s">
        <v>2132</v>
      </c>
      <c r="AE657" s="258" t="s">
        <v>2129</v>
      </c>
      <c r="AF657" s="259"/>
      <c r="AG657" s="260"/>
      <c r="AH657" s="259"/>
      <c r="AI657" s="259"/>
      <c r="AJ657" s="260"/>
      <c r="AK657" s="259">
        <v>26</v>
      </c>
      <c r="AL657" s="259"/>
      <c r="AM657" s="259" t="s">
        <v>3224</v>
      </c>
      <c r="AN657" s="449"/>
      <c r="AO657" s="449"/>
      <c r="AP657" s="449"/>
      <c r="AQ657" s="392" t="str">
        <f>IFERROR(VLOOKUP(BG657,#REF!,1,0),"")</f>
        <v/>
      </c>
      <c r="AS657" s="259" t="s">
        <v>3224</v>
      </c>
      <c r="BD657" s="202" t="str">
        <f t="shared" si="101"/>
        <v>봉고3봉고3 1톤 2WD 초장축 킹캡 GL A/T</v>
      </c>
      <c r="BE657" s="261" t="str">
        <f t="shared" si="107"/>
        <v>0065</v>
      </c>
      <c r="BF657" s="407" t="s">
        <v>441</v>
      </c>
      <c r="BG657" s="202" t="str">
        <f t="shared" si="102"/>
        <v>0065-0656</v>
      </c>
    </row>
    <row r="658" spans="1:59">
      <c r="A658" s="405">
        <v>4432</v>
      </c>
      <c r="B658" s="406">
        <v>4432</v>
      </c>
      <c r="C658" s="261" t="str">
        <f t="shared" si="103"/>
        <v>0001-0065</v>
      </c>
      <c r="D658" s="261" t="str">
        <f t="shared" si="104"/>
        <v>0001-0065-0059</v>
      </c>
      <c r="E658" s="407" t="s">
        <v>440</v>
      </c>
      <c r="F658" s="261" t="str">
        <f>TEXT(VLOOKUP(J658,'[3]1'!$B$2:$D$37,2,0),"0000")</f>
        <v>0001</v>
      </c>
      <c r="G658" s="261" t="str">
        <f t="shared" si="105"/>
        <v>0065</v>
      </c>
      <c r="H658" s="408">
        <f t="shared" si="106"/>
        <v>59</v>
      </c>
      <c r="I658" s="407" t="s">
        <v>440</v>
      </c>
      <c r="J658" s="413" t="s">
        <v>828</v>
      </c>
      <c r="K658" s="258" t="s">
        <v>2719</v>
      </c>
      <c r="L658" s="258" t="s">
        <v>2256</v>
      </c>
      <c r="M658" s="409">
        <v>19150000</v>
      </c>
      <c r="N658" s="258">
        <v>2497</v>
      </c>
      <c r="O658" s="258" t="s">
        <v>78</v>
      </c>
      <c r="P658" s="258" t="s">
        <v>86</v>
      </c>
      <c r="Q658" s="258" t="s">
        <v>88</v>
      </c>
      <c r="R658" s="258">
        <v>5</v>
      </c>
      <c r="S658" s="410">
        <v>10</v>
      </c>
      <c r="T658" s="261">
        <v>6</v>
      </c>
      <c r="U658" s="261">
        <v>6</v>
      </c>
      <c r="V658" s="258" t="s">
        <v>71</v>
      </c>
      <c r="W658" s="261" t="str">
        <f t="shared" si="108"/>
        <v>기아자동차봉고3봉고3 1톤 카고 장축 킹캡 GL 4WD19150000</v>
      </c>
      <c r="X658" s="411">
        <f t="shared" si="109"/>
        <v>4432</v>
      </c>
      <c r="Y658" s="261">
        <v>6</v>
      </c>
      <c r="Z658" s="261">
        <v>6</v>
      </c>
      <c r="AA658" s="407" t="s">
        <v>440</v>
      </c>
      <c r="AB658" s="258" t="s">
        <v>73</v>
      </c>
      <c r="AC658" s="258"/>
      <c r="AD658" s="258" t="s">
        <v>2132</v>
      </c>
      <c r="AE658" s="258" t="s">
        <v>2129</v>
      </c>
      <c r="AF658" s="259"/>
      <c r="AG658" s="260"/>
      <c r="AH658" s="259"/>
      <c r="AI658" s="259"/>
      <c r="AJ658" s="260"/>
      <c r="AK658" s="259">
        <v>26</v>
      </c>
      <c r="AL658" s="259"/>
      <c r="AM658" s="259" t="s">
        <v>3224</v>
      </c>
      <c r="AN658" s="449"/>
      <c r="AO658" s="449"/>
      <c r="AP658" s="449"/>
      <c r="AQ658" s="392" t="str">
        <f>IFERROR(VLOOKUP(BG658,#REF!,1,0),"")</f>
        <v/>
      </c>
      <c r="AS658" s="259" t="s">
        <v>3224</v>
      </c>
      <c r="BD658" s="202" t="str">
        <f t="shared" si="101"/>
        <v>봉고3봉고3 1톤 카고 장축 킹캡 GL 4WD</v>
      </c>
      <c r="BE658" s="261" t="str">
        <f t="shared" si="107"/>
        <v>0065</v>
      </c>
      <c r="BF658" s="407" t="s">
        <v>440</v>
      </c>
      <c r="BG658" s="202" t="str">
        <f t="shared" si="102"/>
        <v>0065-0657</v>
      </c>
    </row>
    <row r="659" spans="1:59">
      <c r="A659" s="405">
        <v>4433</v>
      </c>
      <c r="B659" s="406">
        <v>4433</v>
      </c>
      <c r="C659" s="261" t="str">
        <f t="shared" si="103"/>
        <v>0001-0066</v>
      </c>
      <c r="D659" s="261" t="str">
        <f t="shared" si="104"/>
        <v>0001-0066-0001</v>
      </c>
      <c r="E659" s="407" t="s">
        <v>439</v>
      </c>
      <c r="F659" s="261" t="str">
        <f>TEXT(VLOOKUP(J659,'[3]1'!$B$2:$D$37,2,0),"0000")</f>
        <v>0001</v>
      </c>
      <c r="G659" s="261" t="str">
        <f t="shared" si="105"/>
        <v>0066</v>
      </c>
      <c r="H659" s="408">
        <f t="shared" si="106"/>
        <v>1</v>
      </c>
      <c r="I659" s="407" t="s">
        <v>439</v>
      </c>
      <c r="J659" s="258" t="s">
        <v>828</v>
      </c>
      <c r="K659" s="258" t="s">
        <v>2720</v>
      </c>
      <c r="L659" s="258" t="s">
        <v>2257</v>
      </c>
      <c r="M659" s="409">
        <v>22730000</v>
      </c>
      <c r="N659" s="258">
        <v>2497</v>
      </c>
      <c r="O659" s="258" t="s">
        <v>78</v>
      </c>
      <c r="P659" s="258" t="s">
        <v>86</v>
      </c>
      <c r="Q659" s="258" t="s">
        <v>88</v>
      </c>
      <c r="R659" s="258" t="e">
        <v>#N/A</v>
      </c>
      <c r="S659" s="410">
        <v>12</v>
      </c>
      <c r="T659" s="261">
        <v>6</v>
      </c>
      <c r="U659" s="261">
        <v>6</v>
      </c>
      <c r="V659" s="258" t="s">
        <v>3993</v>
      </c>
      <c r="W659" s="261" t="str">
        <f t="shared" si="108"/>
        <v>기아자동차봉고3 특장1.2톤 내장탑차 표준형 PLUS 킹캡 초장축 프레스티지22730000</v>
      </c>
      <c r="X659" s="411">
        <f t="shared" si="109"/>
        <v>4433</v>
      </c>
      <c r="Y659" s="261">
        <v>6</v>
      </c>
      <c r="Z659" s="261">
        <v>6</v>
      </c>
      <c r="AA659" s="407" t="s">
        <v>439</v>
      </c>
      <c r="AB659" s="258" t="e">
        <v>#N/A</v>
      </c>
      <c r="AC659" s="258"/>
      <c r="AD659" s="258" t="s">
        <v>2135</v>
      </c>
      <c r="AE659" s="258" t="s">
        <v>2129</v>
      </c>
      <c r="AF659" s="259"/>
      <c r="AG659" s="260"/>
      <c r="AH659" s="259"/>
      <c r="AI659" s="259"/>
      <c r="AJ659" s="260"/>
      <c r="AK659" s="259">
        <v>26</v>
      </c>
      <c r="AL659" s="259"/>
      <c r="AM659" s="259" t="s">
        <v>3228</v>
      </c>
      <c r="AN659" s="449"/>
      <c r="AO659" s="449"/>
      <c r="AP659" s="449"/>
      <c r="AQ659" s="392" t="str">
        <f>IFERROR(VLOOKUP(BG659,#REF!,1,0),"")</f>
        <v/>
      </c>
      <c r="AS659" s="259" t="s">
        <v>3228</v>
      </c>
      <c r="BD659" s="202" t="str">
        <f t="shared" si="101"/>
        <v>봉고3 특장1.2톤 내장탑차 표준형 PLUS 킹캡 초장축 프레스티지</v>
      </c>
      <c r="BE659" s="261" t="str">
        <f t="shared" si="107"/>
        <v>0066</v>
      </c>
      <c r="BF659" s="407" t="s">
        <v>439</v>
      </c>
      <c r="BG659" s="202" t="str">
        <f t="shared" si="102"/>
        <v>0066-0658</v>
      </c>
    </row>
    <row r="660" spans="1:59">
      <c r="A660" s="405">
        <v>4434</v>
      </c>
      <c r="B660" s="406">
        <v>4434</v>
      </c>
      <c r="C660" s="261" t="str">
        <f t="shared" si="103"/>
        <v>0001-0066</v>
      </c>
      <c r="D660" s="261" t="str">
        <f t="shared" si="104"/>
        <v>0001-0066-0002</v>
      </c>
      <c r="E660" s="407" t="s">
        <v>438</v>
      </c>
      <c r="F660" s="261" t="str">
        <f>TEXT(VLOOKUP(J660,'[3]1'!$B$2:$D$37,2,0),"0000")</f>
        <v>0001</v>
      </c>
      <c r="G660" s="261" t="str">
        <f t="shared" si="105"/>
        <v>0066</v>
      </c>
      <c r="H660" s="408">
        <f t="shared" si="106"/>
        <v>2</v>
      </c>
      <c r="I660" s="407" t="s">
        <v>438</v>
      </c>
      <c r="J660" s="258" t="s">
        <v>828</v>
      </c>
      <c r="K660" s="258" t="s">
        <v>2720</v>
      </c>
      <c r="L660" s="258" t="s">
        <v>2258</v>
      </c>
      <c r="M660" s="409">
        <v>22630000</v>
      </c>
      <c r="N660" s="258">
        <v>2497</v>
      </c>
      <c r="O660" s="258" t="s">
        <v>78</v>
      </c>
      <c r="P660" s="258" t="s">
        <v>86</v>
      </c>
      <c r="Q660" s="258" t="s">
        <v>88</v>
      </c>
      <c r="R660" s="258" t="e">
        <v>#N/A</v>
      </c>
      <c r="S660" s="410">
        <v>12</v>
      </c>
      <c r="T660" s="261">
        <v>6</v>
      </c>
      <c r="U660" s="261">
        <v>6</v>
      </c>
      <c r="V660" s="258" t="s">
        <v>3993</v>
      </c>
      <c r="W660" s="261" t="str">
        <f t="shared" si="108"/>
        <v>기아자동차봉고3 특장1.2톤 내장탑차 표준형 PLUS 표준캡 초장축 프레스티지22630000</v>
      </c>
      <c r="X660" s="411">
        <f t="shared" si="109"/>
        <v>4434</v>
      </c>
      <c r="Y660" s="261">
        <v>6</v>
      </c>
      <c r="Z660" s="261">
        <v>6</v>
      </c>
      <c r="AA660" s="407" t="s">
        <v>438</v>
      </c>
      <c r="AB660" s="258" t="e">
        <v>#N/A</v>
      </c>
      <c r="AC660" s="258"/>
      <c r="AD660" s="258" t="s">
        <v>2135</v>
      </c>
      <c r="AE660" s="258" t="s">
        <v>2129</v>
      </c>
      <c r="AF660" s="259"/>
      <c r="AG660" s="260"/>
      <c r="AH660" s="259"/>
      <c r="AI660" s="259"/>
      <c r="AJ660" s="260"/>
      <c r="AK660" s="259">
        <v>26</v>
      </c>
      <c r="AL660" s="259"/>
      <c r="AM660" s="259" t="s">
        <v>3228</v>
      </c>
      <c r="AN660" s="449"/>
      <c r="AO660" s="449"/>
      <c r="AP660" s="449"/>
      <c r="AQ660" s="392" t="str">
        <f>IFERROR(VLOOKUP(BG660,#REF!,1,0),"")</f>
        <v/>
      </c>
      <c r="AS660" s="259" t="s">
        <v>3228</v>
      </c>
      <c r="BD660" s="202" t="str">
        <f t="shared" si="101"/>
        <v>봉고3 특장1.2톤 내장탑차 표준형 PLUS 표준캡 초장축 프레스티지</v>
      </c>
      <c r="BE660" s="261" t="str">
        <f t="shared" si="107"/>
        <v>0066</v>
      </c>
      <c r="BF660" s="407" t="s">
        <v>438</v>
      </c>
      <c r="BG660" s="202" t="str">
        <f t="shared" si="102"/>
        <v>0066-0659</v>
      </c>
    </row>
    <row r="661" spans="1:59">
      <c r="A661" s="405">
        <v>4435</v>
      </c>
      <c r="B661" s="406">
        <v>4435</v>
      </c>
      <c r="C661" s="261" t="str">
        <f t="shared" si="103"/>
        <v>0001-0066</v>
      </c>
      <c r="D661" s="261" t="str">
        <f t="shared" si="104"/>
        <v>0001-0066-0003</v>
      </c>
      <c r="E661" s="407" t="s">
        <v>437</v>
      </c>
      <c r="F661" s="261" t="str">
        <f>TEXT(VLOOKUP(J661,'[3]1'!$B$2:$D$37,2,0),"0000")</f>
        <v>0001</v>
      </c>
      <c r="G661" s="261" t="str">
        <f t="shared" si="105"/>
        <v>0066</v>
      </c>
      <c r="H661" s="408">
        <f t="shared" si="106"/>
        <v>3</v>
      </c>
      <c r="I661" s="407" t="s">
        <v>437</v>
      </c>
      <c r="J661" s="258" t="s">
        <v>828</v>
      </c>
      <c r="K661" s="258" t="s">
        <v>2720</v>
      </c>
      <c r="L661" s="258" t="s">
        <v>2259</v>
      </c>
      <c r="M661" s="409">
        <v>22510000</v>
      </c>
      <c r="N661" s="258">
        <v>2497</v>
      </c>
      <c r="O661" s="258" t="s">
        <v>78</v>
      </c>
      <c r="P661" s="258" t="s">
        <v>86</v>
      </c>
      <c r="Q661" s="258" t="s">
        <v>88</v>
      </c>
      <c r="R661" s="258" t="e">
        <v>#N/A</v>
      </c>
      <c r="S661" s="410">
        <v>12</v>
      </c>
      <c r="T661" s="261">
        <v>6</v>
      </c>
      <c r="U661" s="261">
        <v>6</v>
      </c>
      <c r="V661" s="258" t="s">
        <v>3993</v>
      </c>
      <c r="W661" s="261" t="str">
        <f t="shared" si="108"/>
        <v>기아자동차봉고3 특장1.2톤 내장탑차 표준형 킹캡 초장축 프레스티지22510000</v>
      </c>
      <c r="X661" s="411">
        <f t="shared" si="109"/>
        <v>4435</v>
      </c>
      <c r="Y661" s="261">
        <v>6</v>
      </c>
      <c r="Z661" s="261">
        <v>6</v>
      </c>
      <c r="AA661" s="407" t="s">
        <v>437</v>
      </c>
      <c r="AB661" s="258" t="e">
        <v>#N/A</v>
      </c>
      <c r="AC661" s="258"/>
      <c r="AD661" s="258" t="s">
        <v>2135</v>
      </c>
      <c r="AE661" s="258" t="s">
        <v>2129</v>
      </c>
      <c r="AF661" s="259"/>
      <c r="AG661" s="260"/>
      <c r="AH661" s="259"/>
      <c r="AI661" s="259"/>
      <c r="AJ661" s="260"/>
      <c r="AK661" s="259">
        <v>26</v>
      </c>
      <c r="AL661" s="259"/>
      <c r="AM661" s="259" t="s">
        <v>3228</v>
      </c>
      <c r="AN661" s="449"/>
      <c r="AO661" s="449"/>
      <c r="AP661" s="449"/>
      <c r="AQ661" s="392" t="str">
        <f>IFERROR(VLOOKUP(BG661,#REF!,1,0),"")</f>
        <v/>
      </c>
      <c r="AS661" s="259" t="s">
        <v>3228</v>
      </c>
      <c r="BD661" s="202" t="str">
        <f t="shared" si="101"/>
        <v>봉고3 특장1.2톤 내장탑차 표준형 킹캡 초장축 프레스티지</v>
      </c>
      <c r="BE661" s="261" t="str">
        <f t="shared" si="107"/>
        <v>0066</v>
      </c>
      <c r="BF661" s="407" t="s">
        <v>437</v>
      </c>
      <c r="BG661" s="202" t="str">
        <f t="shared" si="102"/>
        <v>0066-0660</v>
      </c>
    </row>
    <row r="662" spans="1:59">
      <c r="A662" s="405">
        <v>4436</v>
      </c>
      <c r="B662" s="406">
        <v>4436</v>
      </c>
      <c r="C662" s="261" t="str">
        <f t="shared" si="103"/>
        <v>0001-0066</v>
      </c>
      <c r="D662" s="261" t="str">
        <f t="shared" si="104"/>
        <v>0001-0066-0004</v>
      </c>
      <c r="E662" s="407" t="s">
        <v>436</v>
      </c>
      <c r="F662" s="261" t="str">
        <f>TEXT(VLOOKUP(J662,'[3]1'!$B$2:$D$37,2,0),"0000")</f>
        <v>0001</v>
      </c>
      <c r="G662" s="261" t="str">
        <f t="shared" si="105"/>
        <v>0066</v>
      </c>
      <c r="H662" s="408">
        <f t="shared" si="106"/>
        <v>4</v>
      </c>
      <c r="I662" s="407" t="s">
        <v>436</v>
      </c>
      <c r="J662" s="258" t="s">
        <v>828</v>
      </c>
      <c r="K662" s="258" t="s">
        <v>2720</v>
      </c>
      <c r="L662" s="258" t="s">
        <v>2260</v>
      </c>
      <c r="M662" s="409">
        <v>22410000</v>
      </c>
      <c r="N662" s="258">
        <v>2497</v>
      </c>
      <c r="O662" s="258" t="s">
        <v>78</v>
      </c>
      <c r="P662" s="258" t="s">
        <v>86</v>
      </c>
      <c r="Q662" s="258" t="s">
        <v>88</v>
      </c>
      <c r="R662" s="258">
        <v>5</v>
      </c>
      <c r="S662" s="410">
        <v>12</v>
      </c>
      <c r="T662" s="261">
        <v>6</v>
      </c>
      <c r="U662" s="261">
        <v>6</v>
      </c>
      <c r="V662" s="258" t="s">
        <v>71</v>
      </c>
      <c r="W662" s="261" t="str">
        <f t="shared" si="108"/>
        <v>기아자동차봉고3 특장1.2톤 내장탑차 표준형 표준캡 초장축 프레스티지22410000</v>
      </c>
      <c r="X662" s="411">
        <f t="shared" si="109"/>
        <v>4436</v>
      </c>
      <c r="Y662" s="261">
        <v>6</v>
      </c>
      <c r="Z662" s="261">
        <v>6</v>
      </c>
      <c r="AA662" s="407" t="s">
        <v>436</v>
      </c>
      <c r="AB662" s="258" t="s">
        <v>73</v>
      </c>
      <c r="AC662" s="258"/>
      <c r="AD662" s="258" t="s">
        <v>2135</v>
      </c>
      <c r="AE662" s="258" t="s">
        <v>2129</v>
      </c>
      <c r="AF662" s="259"/>
      <c r="AG662" s="260"/>
      <c r="AH662" s="259"/>
      <c r="AI662" s="259"/>
      <c r="AJ662" s="260"/>
      <c r="AK662" s="259">
        <v>26</v>
      </c>
      <c r="AL662" s="259"/>
      <c r="AM662" s="259" t="s">
        <v>3228</v>
      </c>
      <c r="AN662" s="449"/>
      <c r="AO662" s="449"/>
      <c r="AP662" s="449"/>
      <c r="AQ662" s="392" t="str">
        <f>IFERROR(VLOOKUP(BG662,#REF!,1,0),"")</f>
        <v/>
      </c>
      <c r="AS662" s="259" t="s">
        <v>3228</v>
      </c>
      <c r="BD662" s="202" t="str">
        <f t="shared" si="101"/>
        <v>봉고3 특장1.2톤 내장탑차 표준형 표준캡 초장축 프레스티지</v>
      </c>
      <c r="BE662" s="261" t="str">
        <f t="shared" si="107"/>
        <v>0066</v>
      </c>
      <c r="BF662" s="407" t="s">
        <v>436</v>
      </c>
      <c r="BG662" s="202" t="str">
        <f t="shared" si="102"/>
        <v>0066-0661</v>
      </c>
    </row>
    <row r="663" spans="1:59">
      <c r="A663" s="405">
        <v>4437</v>
      </c>
      <c r="B663" s="406">
        <v>4437</v>
      </c>
      <c r="C663" s="261" t="str">
        <f t="shared" si="103"/>
        <v>0001-0066</v>
      </c>
      <c r="D663" s="261" t="str">
        <f t="shared" si="104"/>
        <v>0001-0066-0005</v>
      </c>
      <c r="E663" s="407" t="s">
        <v>435</v>
      </c>
      <c r="F663" s="261" t="str">
        <f>TEXT(VLOOKUP(J663,'[3]1'!$B$2:$D$37,2,0),"0000")</f>
        <v>0001</v>
      </c>
      <c r="G663" s="261" t="str">
        <f t="shared" si="105"/>
        <v>0066</v>
      </c>
      <c r="H663" s="408">
        <f t="shared" si="106"/>
        <v>5</v>
      </c>
      <c r="I663" s="407" t="s">
        <v>435</v>
      </c>
      <c r="J663" s="258" t="s">
        <v>828</v>
      </c>
      <c r="K663" s="258" t="s">
        <v>2720</v>
      </c>
      <c r="L663" s="258" t="s">
        <v>2261</v>
      </c>
      <c r="M663" s="409">
        <v>26220000</v>
      </c>
      <c r="N663" s="258">
        <v>2497</v>
      </c>
      <c r="O663" s="258" t="s">
        <v>78</v>
      </c>
      <c r="P663" s="258" t="s">
        <v>86</v>
      </c>
      <c r="Q663" s="258" t="s">
        <v>88</v>
      </c>
      <c r="R663" s="258">
        <v>5</v>
      </c>
      <c r="S663" s="410">
        <v>12</v>
      </c>
      <c r="T663" s="261">
        <v>6</v>
      </c>
      <c r="U663" s="261">
        <v>6</v>
      </c>
      <c r="V663" s="258" t="s">
        <v>71</v>
      </c>
      <c r="W663" s="261" t="str">
        <f t="shared" si="108"/>
        <v>기아자동차봉고3 특장1.2톤 냉동탑차 표준형  킹캡 초장축 프레스티지26220000</v>
      </c>
      <c r="X663" s="411">
        <f t="shared" si="109"/>
        <v>4437</v>
      </c>
      <c r="Y663" s="261">
        <v>6</v>
      </c>
      <c r="Z663" s="261">
        <v>6</v>
      </c>
      <c r="AA663" s="407" t="s">
        <v>435</v>
      </c>
      <c r="AB663" s="258" t="s">
        <v>73</v>
      </c>
      <c r="AC663" s="258"/>
      <c r="AD663" s="258" t="s">
        <v>2135</v>
      </c>
      <c r="AE663" s="258" t="s">
        <v>2129</v>
      </c>
      <c r="AF663" s="259"/>
      <c r="AG663" s="260"/>
      <c r="AH663" s="259"/>
      <c r="AI663" s="259"/>
      <c r="AJ663" s="260"/>
      <c r="AK663" s="259">
        <v>26</v>
      </c>
      <c r="AL663" s="259"/>
      <c r="AM663" s="259" t="s">
        <v>3228</v>
      </c>
      <c r="AN663" s="449"/>
      <c r="AO663" s="449"/>
      <c r="AP663" s="449"/>
      <c r="AQ663" s="392" t="str">
        <f>IFERROR(VLOOKUP(BG663,#REF!,1,0),"")</f>
        <v/>
      </c>
      <c r="AS663" s="259" t="s">
        <v>3228</v>
      </c>
      <c r="BD663" s="202" t="str">
        <f t="shared" si="101"/>
        <v>봉고3 특장1.2톤 냉동탑차 표준형  킹캡 초장축 프레스티지</v>
      </c>
      <c r="BE663" s="261" t="str">
        <f t="shared" si="107"/>
        <v>0066</v>
      </c>
      <c r="BF663" s="407" t="s">
        <v>435</v>
      </c>
      <c r="BG663" s="202" t="str">
        <f t="shared" si="102"/>
        <v>0066-0662</v>
      </c>
    </row>
    <row r="664" spans="1:59">
      <c r="A664" s="405">
        <v>4438</v>
      </c>
      <c r="B664" s="406">
        <v>4438</v>
      </c>
      <c r="C664" s="261" t="str">
        <f t="shared" si="103"/>
        <v>0001-0066</v>
      </c>
      <c r="D664" s="261" t="str">
        <f t="shared" si="104"/>
        <v>0001-0066-0006</v>
      </c>
      <c r="E664" s="407" t="s">
        <v>434</v>
      </c>
      <c r="F664" s="261" t="str">
        <f>TEXT(VLOOKUP(J664,'[3]1'!$B$2:$D$37,2,0),"0000")</f>
        <v>0001</v>
      </c>
      <c r="G664" s="261" t="str">
        <f t="shared" si="105"/>
        <v>0066</v>
      </c>
      <c r="H664" s="408">
        <f t="shared" si="106"/>
        <v>6</v>
      </c>
      <c r="I664" s="407" t="s">
        <v>434</v>
      </c>
      <c r="J664" s="258" t="s">
        <v>828</v>
      </c>
      <c r="K664" s="258" t="s">
        <v>2720</v>
      </c>
      <c r="L664" s="258" t="s">
        <v>2262</v>
      </c>
      <c r="M664" s="409">
        <v>26120000</v>
      </c>
      <c r="N664" s="258">
        <v>2497</v>
      </c>
      <c r="O664" s="258" t="s">
        <v>78</v>
      </c>
      <c r="P664" s="258" t="s">
        <v>86</v>
      </c>
      <c r="Q664" s="258" t="s">
        <v>88</v>
      </c>
      <c r="R664" s="258" t="e">
        <v>#N/A</v>
      </c>
      <c r="S664" s="410">
        <v>12</v>
      </c>
      <c r="T664" s="261">
        <v>6</v>
      </c>
      <c r="U664" s="261">
        <v>6</v>
      </c>
      <c r="V664" s="258" t="s">
        <v>3993</v>
      </c>
      <c r="W664" s="261" t="str">
        <f t="shared" si="108"/>
        <v>기아자동차봉고3 특장1.2톤 냉동탑차 표준형 표준캡 초장축 프레스티지26120000</v>
      </c>
      <c r="X664" s="411">
        <f t="shared" si="109"/>
        <v>4438</v>
      </c>
      <c r="Y664" s="261">
        <v>6</v>
      </c>
      <c r="Z664" s="261">
        <v>6</v>
      </c>
      <c r="AA664" s="407" t="s">
        <v>434</v>
      </c>
      <c r="AB664" s="258" t="e">
        <v>#N/A</v>
      </c>
      <c r="AC664" s="258"/>
      <c r="AD664" s="258" t="s">
        <v>2135</v>
      </c>
      <c r="AE664" s="258" t="s">
        <v>2129</v>
      </c>
      <c r="AF664" s="259"/>
      <c r="AG664" s="260"/>
      <c r="AH664" s="259"/>
      <c r="AI664" s="259"/>
      <c r="AJ664" s="260"/>
      <c r="AK664" s="259">
        <v>26</v>
      </c>
      <c r="AL664" s="259"/>
      <c r="AM664" s="259" t="s">
        <v>3228</v>
      </c>
      <c r="AN664" s="449"/>
      <c r="AO664" s="449"/>
      <c r="AP664" s="449"/>
      <c r="AQ664" s="392" t="str">
        <f>IFERROR(VLOOKUP(BG664,#REF!,1,0),"")</f>
        <v/>
      </c>
      <c r="AS664" s="259" t="s">
        <v>3228</v>
      </c>
      <c r="BD664" s="202" t="str">
        <f t="shared" si="101"/>
        <v>봉고3 특장1.2톤 냉동탑차 표준형 표준캡 초장축 프레스티지</v>
      </c>
      <c r="BE664" s="261" t="str">
        <f t="shared" si="107"/>
        <v>0066</v>
      </c>
      <c r="BF664" s="407" t="s">
        <v>434</v>
      </c>
      <c r="BG664" s="202" t="str">
        <f t="shared" si="102"/>
        <v>0066-0663</v>
      </c>
    </row>
    <row r="665" spans="1:59">
      <c r="A665" s="405">
        <v>4439</v>
      </c>
      <c r="B665" s="406">
        <v>4439</v>
      </c>
      <c r="C665" s="261" t="str">
        <f t="shared" si="103"/>
        <v>0001-0066</v>
      </c>
      <c r="D665" s="261" t="str">
        <f t="shared" si="104"/>
        <v>0001-0066-0007</v>
      </c>
      <c r="E665" s="407" t="s">
        <v>433</v>
      </c>
      <c r="F665" s="261" t="str">
        <f>TEXT(VLOOKUP(J665,'[3]1'!$B$2:$D$37,2,0),"0000")</f>
        <v>0001</v>
      </c>
      <c r="G665" s="261" t="str">
        <f t="shared" si="105"/>
        <v>0066</v>
      </c>
      <c r="H665" s="408">
        <f t="shared" si="106"/>
        <v>7</v>
      </c>
      <c r="I665" s="407" t="s">
        <v>433</v>
      </c>
      <c r="J665" s="258" t="s">
        <v>828</v>
      </c>
      <c r="K665" s="258" t="s">
        <v>2720</v>
      </c>
      <c r="L665" s="258" t="s">
        <v>2263</v>
      </c>
      <c r="M665" s="409">
        <v>23560000</v>
      </c>
      <c r="N665" s="258">
        <v>2497</v>
      </c>
      <c r="O665" s="258" t="s">
        <v>78</v>
      </c>
      <c r="P665" s="258" t="s">
        <v>86</v>
      </c>
      <c r="Q665" s="258" t="s">
        <v>88</v>
      </c>
      <c r="R665" s="258" t="e">
        <v>#N/A</v>
      </c>
      <c r="S665" s="410">
        <v>12</v>
      </c>
      <c r="T665" s="261">
        <v>6</v>
      </c>
      <c r="U665" s="261">
        <v>6</v>
      </c>
      <c r="V665" s="258" t="s">
        <v>3993</v>
      </c>
      <c r="W665" s="261" t="str">
        <f t="shared" si="108"/>
        <v>기아자동차봉고3 특장1.2톤 윙바디 수동식 킹캡 초장축 프레스티지23560000</v>
      </c>
      <c r="X665" s="411">
        <f t="shared" si="109"/>
        <v>4439</v>
      </c>
      <c r="Y665" s="261">
        <v>6</v>
      </c>
      <c r="Z665" s="261">
        <v>6</v>
      </c>
      <c r="AA665" s="407" t="s">
        <v>433</v>
      </c>
      <c r="AB665" s="258" t="e">
        <v>#N/A</v>
      </c>
      <c r="AC665" s="258"/>
      <c r="AD665" s="258" t="s">
        <v>2135</v>
      </c>
      <c r="AE665" s="258" t="s">
        <v>2129</v>
      </c>
      <c r="AF665" s="259"/>
      <c r="AG665" s="260"/>
      <c r="AH665" s="259"/>
      <c r="AI665" s="259"/>
      <c r="AJ665" s="260"/>
      <c r="AK665" s="259">
        <v>26</v>
      </c>
      <c r="AL665" s="259"/>
      <c r="AM665" s="259" t="s">
        <v>3228</v>
      </c>
      <c r="AN665" s="449"/>
      <c r="AO665" s="449"/>
      <c r="AP665" s="449"/>
      <c r="AQ665" s="392" t="str">
        <f>IFERROR(VLOOKUP(BG665,#REF!,1,0),"")</f>
        <v/>
      </c>
      <c r="AS665" s="259" t="s">
        <v>3228</v>
      </c>
      <c r="BD665" s="202" t="str">
        <f t="shared" si="101"/>
        <v>봉고3 특장1.2톤 윙바디 수동식 킹캡 초장축 프레스티지</v>
      </c>
      <c r="BE665" s="261" t="str">
        <f t="shared" si="107"/>
        <v>0066</v>
      </c>
      <c r="BF665" s="407" t="s">
        <v>433</v>
      </c>
      <c r="BG665" s="202" t="str">
        <f t="shared" si="102"/>
        <v>0066-0664</v>
      </c>
    </row>
    <row r="666" spans="1:59">
      <c r="A666" s="405">
        <v>4440</v>
      </c>
      <c r="B666" s="406">
        <v>4440</v>
      </c>
      <c r="C666" s="261" t="str">
        <f t="shared" si="103"/>
        <v>0001-0066</v>
      </c>
      <c r="D666" s="261" t="str">
        <f t="shared" si="104"/>
        <v>0001-0066-0008</v>
      </c>
      <c r="E666" s="407" t="s">
        <v>432</v>
      </c>
      <c r="F666" s="261" t="str">
        <f>TEXT(VLOOKUP(J666,'[3]1'!$B$2:$D$37,2,0),"0000")</f>
        <v>0001</v>
      </c>
      <c r="G666" s="261" t="str">
        <f t="shared" si="105"/>
        <v>0066</v>
      </c>
      <c r="H666" s="408">
        <f t="shared" si="106"/>
        <v>8</v>
      </c>
      <c r="I666" s="407" t="s">
        <v>432</v>
      </c>
      <c r="J666" s="258" t="s">
        <v>828</v>
      </c>
      <c r="K666" s="258" t="s">
        <v>2720</v>
      </c>
      <c r="L666" s="258" t="s">
        <v>2264</v>
      </c>
      <c r="M666" s="409">
        <v>24480000</v>
      </c>
      <c r="N666" s="258">
        <v>2497</v>
      </c>
      <c r="O666" s="258" t="s">
        <v>78</v>
      </c>
      <c r="P666" s="258" t="s">
        <v>86</v>
      </c>
      <c r="Q666" s="258" t="s">
        <v>72</v>
      </c>
      <c r="R666" s="258" t="e">
        <v>#N/A</v>
      </c>
      <c r="S666" s="410">
        <v>12</v>
      </c>
      <c r="T666" s="261">
        <v>6</v>
      </c>
      <c r="U666" s="261">
        <v>6</v>
      </c>
      <c r="V666" s="258" t="s">
        <v>3993</v>
      </c>
      <c r="W666" s="261" t="str">
        <f t="shared" si="108"/>
        <v>기아자동차봉고3 특장1.2톤 윙바디 전동식 킹캡 초장축 프레스티지24480000</v>
      </c>
      <c r="X666" s="411">
        <f t="shared" si="109"/>
        <v>4440</v>
      </c>
      <c r="Y666" s="261">
        <v>6</v>
      </c>
      <c r="Z666" s="261">
        <v>6</v>
      </c>
      <c r="AA666" s="407" t="s">
        <v>432</v>
      </c>
      <c r="AB666" s="258" t="e">
        <v>#N/A</v>
      </c>
      <c r="AC666" s="258"/>
      <c r="AD666" s="258" t="s">
        <v>2135</v>
      </c>
      <c r="AE666" s="258" t="s">
        <v>2129</v>
      </c>
      <c r="AF666" s="259"/>
      <c r="AG666" s="260"/>
      <c r="AH666" s="259"/>
      <c r="AI666" s="259"/>
      <c r="AJ666" s="260"/>
      <c r="AK666" s="259">
        <v>26</v>
      </c>
      <c r="AL666" s="259"/>
      <c r="AM666" s="259" t="s">
        <v>3228</v>
      </c>
      <c r="AN666" s="449"/>
      <c r="AO666" s="449"/>
      <c r="AP666" s="449"/>
      <c r="AQ666" s="392" t="str">
        <f>IFERROR(VLOOKUP(BG666,#REF!,1,0),"")</f>
        <v/>
      </c>
      <c r="AS666" s="259" t="s">
        <v>3228</v>
      </c>
      <c r="BD666" s="202" t="str">
        <f t="shared" si="101"/>
        <v>봉고3 특장1.2톤 윙바디 전동식 킹캡 초장축 프레스티지</v>
      </c>
      <c r="BE666" s="261" t="str">
        <f t="shared" si="107"/>
        <v>0066</v>
      </c>
      <c r="BF666" s="407" t="s">
        <v>432</v>
      </c>
      <c r="BG666" s="202" t="str">
        <f t="shared" si="102"/>
        <v>0066-0665</v>
      </c>
    </row>
    <row r="667" spans="1:59">
      <c r="A667" s="405">
        <v>4441</v>
      </c>
      <c r="B667" s="406">
        <v>4441</v>
      </c>
      <c r="C667" s="261" t="str">
        <f t="shared" si="103"/>
        <v>0001-0066</v>
      </c>
      <c r="D667" s="261" t="str">
        <f t="shared" si="104"/>
        <v>0001-0066-0009</v>
      </c>
      <c r="E667" s="407" t="s">
        <v>431</v>
      </c>
      <c r="F667" s="261" t="str">
        <f>TEXT(VLOOKUP(J667,'[3]1'!$B$2:$D$37,2,0),"0000")</f>
        <v>0001</v>
      </c>
      <c r="G667" s="261" t="str">
        <f t="shared" si="105"/>
        <v>0066</v>
      </c>
      <c r="H667" s="408">
        <f t="shared" si="106"/>
        <v>9</v>
      </c>
      <c r="I667" s="407" t="s">
        <v>431</v>
      </c>
      <c r="J667" s="258" t="s">
        <v>828</v>
      </c>
      <c r="K667" s="258" t="s">
        <v>2720</v>
      </c>
      <c r="L667" s="258" t="s">
        <v>2265</v>
      </c>
      <c r="M667" s="409">
        <v>20340000</v>
      </c>
      <c r="N667" s="258">
        <v>2497</v>
      </c>
      <c r="O667" s="258" t="s">
        <v>78</v>
      </c>
      <c r="P667" s="258" t="s">
        <v>86</v>
      </c>
      <c r="Q667" s="258" t="s">
        <v>88</v>
      </c>
      <c r="R667" s="258" t="e">
        <v>#N/A</v>
      </c>
      <c r="S667" s="410">
        <v>12</v>
      </c>
      <c r="T667" s="261">
        <v>6</v>
      </c>
      <c r="U667" s="261">
        <v>6</v>
      </c>
      <c r="V667" s="258" t="s">
        <v>3993</v>
      </c>
      <c r="W667" s="261" t="str">
        <f t="shared" si="108"/>
        <v>기아자동차봉고3 특장1.2톤 파워게이트 1단 킹캡 초장축 프레스티지20340000</v>
      </c>
      <c r="X667" s="411">
        <f t="shared" si="109"/>
        <v>4441</v>
      </c>
      <c r="Y667" s="261">
        <v>6</v>
      </c>
      <c r="Z667" s="261">
        <v>6</v>
      </c>
      <c r="AA667" s="407" t="s">
        <v>431</v>
      </c>
      <c r="AB667" s="258" t="e">
        <v>#N/A</v>
      </c>
      <c r="AC667" s="258"/>
      <c r="AD667" s="258" t="s">
        <v>2135</v>
      </c>
      <c r="AE667" s="258" t="s">
        <v>2129</v>
      </c>
      <c r="AF667" s="259"/>
      <c r="AG667" s="260"/>
      <c r="AH667" s="259"/>
      <c r="AI667" s="259"/>
      <c r="AJ667" s="260"/>
      <c r="AK667" s="259">
        <v>26</v>
      </c>
      <c r="AL667" s="259"/>
      <c r="AM667" s="259" t="s">
        <v>3228</v>
      </c>
      <c r="AN667" s="449"/>
      <c r="AO667" s="449"/>
      <c r="AP667" s="449"/>
      <c r="AQ667" s="392" t="str">
        <f>IFERROR(VLOOKUP(BG667,#REF!,1,0),"")</f>
        <v/>
      </c>
      <c r="AS667" s="259" t="s">
        <v>3228</v>
      </c>
      <c r="BD667" s="202" t="str">
        <f t="shared" si="101"/>
        <v>봉고3 특장1.2톤 파워게이트 1단 킹캡 초장축 프레스티지</v>
      </c>
      <c r="BE667" s="261" t="str">
        <f t="shared" si="107"/>
        <v>0066</v>
      </c>
      <c r="BF667" s="407" t="s">
        <v>431</v>
      </c>
      <c r="BG667" s="202" t="str">
        <f t="shared" si="102"/>
        <v>0066-0666</v>
      </c>
    </row>
    <row r="668" spans="1:59">
      <c r="A668" s="405">
        <v>4442</v>
      </c>
      <c r="B668" s="406">
        <v>4442</v>
      </c>
      <c r="C668" s="261" t="str">
        <f t="shared" si="103"/>
        <v>0001-0066</v>
      </c>
      <c r="D668" s="261" t="str">
        <f t="shared" si="104"/>
        <v>0001-0066-0010</v>
      </c>
      <c r="E668" s="407" t="s">
        <v>430</v>
      </c>
      <c r="F668" s="261" t="str">
        <f>TEXT(VLOOKUP(J668,'[3]1'!$B$2:$D$37,2,0),"0000")</f>
        <v>0001</v>
      </c>
      <c r="G668" s="261" t="str">
        <f t="shared" si="105"/>
        <v>0066</v>
      </c>
      <c r="H668" s="408">
        <f t="shared" si="106"/>
        <v>10</v>
      </c>
      <c r="I668" s="407" t="s">
        <v>430</v>
      </c>
      <c r="J668" s="258" t="s">
        <v>828</v>
      </c>
      <c r="K668" s="258" t="s">
        <v>2720</v>
      </c>
      <c r="L668" s="258" t="s">
        <v>2266</v>
      </c>
      <c r="M668" s="409">
        <v>20620000</v>
      </c>
      <c r="N668" s="258">
        <v>2497</v>
      </c>
      <c r="O668" s="258" t="s">
        <v>78</v>
      </c>
      <c r="P668" s="258" t="s">
        <v>86</v>
      </c>
      <c r="Q668" s="258" t="s">
        <v>88</v>
      </c>
      <c r="R668" s="258" t="e">
        <v>#N/A</v>
      </c>
      <c r="S668" s="410">
        <v>12</v>
      </c>
      <c r="T668" s="261">
        <v>6</v>
      </c>
      <c r="U668" s="261">
        <v>6</v>
      </c>
      <c r="V668" s="258" t="s">
        <v>3993</v>
      </c>
      <c r="W668" s="261" t="str">
        <f t="shared" si="108"/>
        <v>기아자동차봉고3 특장1.2톤 파워게이트 2단 킹캡 초장축 프레스티지20620000</v>
      </c>
      <c r="X668" s="411">
        <f t="shared" si="109"/>
        <v>4442</v>
      </c>
      <c r="Y668" s="261">
        <v>6</v>
      </c>
      <c r="Z668" s="261">
        <v>6</v>
      </c>
      <c r="AA668" s="407" t="s">
        <v>430</v>
      </c>
      <c r="AB668" s="258" t="e">
        <v>#N/A</v>
      </c>
      <c r="AC668" s="258"/>
      <c r="AD668" s="258" t="s">
        <v>2135</v>
      </c>
      <c r="AE668" s="258" t="s">
        <v>2129</v>
      </c>
      <c r="AF668" s="259"/>
      <c r="AG668" s="260"/>
      <c r="AH668" s="259"/>
      <c r="AI668" s="259"/>
      <c r="AJ668" s="260"/>
      <c r="AK668" s="259">
        <v>26</v>
      </c>
      <c r="AL668" s="259"/>
      <c r="AM668" s="259" t="s">
        <v>3228</v>
      </c>
      <c r="AN668" s="449"/>
      <c r="AO668" s="449"/>
      <c r="AP668" s="449"/>
      <c r="AQ668" s="392" t="str">
        <f>IFERROR(VLOOKUP(BG668,#REF!,1,0),"")</f>
        <v/>
      </c>
      <c r="AS668" s="259" t="s">
        <v>3228</v>
      </c>
      <c r="BD668" s="202" t="str">
        <f t="shared" si="101"/>
        <v>봉고3 특장1.2톤 파워게이트 2단 킹캡 초장축 프레스티지</v>
      </c>
      <c r="BE668" s="261" t="str">
        <f t="shared" si="107"/>
        <v>0066</v>
      </c>
      <c r="BF668" s="407" t="s">
        <v>430</v>
      </c>
      <c r="BG668" s="202" t="str">
        <f t="shared" si="102"/>
        <v>0066-0667</v>
      </c>
    </row>
    <row r="669" spans="1:59">
      <c r="A669" s="405">
        <v>4443</v>
      </c>
      <c r="B669" s="406">
        <v>4443</v>
      </c>
      <c r="C669" s="261" t="str">
        <f t="shared" si="103"/>
        <v>0001-0066</v>
      </c>
      <c r="D669" s="261" t="str">
        <f t="shared" si="104"/>
        <v>0001-0066-0011</v>
      </c>
      <c r="E669" s="407" t="s">
        <v>429</v>
      </c>
      <c r="F669" s="261" t="str">
        <f>TEXT(VLOOKUP(J669,'[3]1'!$B$2:$D$37,2,0),"0000")</f>
        <v>0001</v>
      </c>
      <c r="G669" s="261" t="str">
        <f t="shared" si="105"/>
        <v>0066</v>
      </c>
      <c r="H669" s="408">
        <f t="shared" si="106"/>
        <v>11</v>
      </c>
      <c r="I669" s="407" t="s">
        <v>429</v>
      </c>
      <c r="J669" s="258" t="s">
        <v>828</v>
      </c>
      <c r="K669" s="258" t="s">
        <v>2720</v>
      </c>
      <c r="L669" s="258" t="s">
        <v>2267</v>
      </c>
      <c r="M669" s="409">
        <v>41800000</v>
      </c>
      <c r="N669" s="258">
        <v>2497</v>
      </c>
      <c r="O669" s="258" t="s">
        <v>78</v>
      </c>
      <c r="P669" s="258" t="s">
        <v>86</v>
      </c>
      <c r="Q669" s="258" t="s">
        <v>72</v>
      </c>
      <c r="R669" s="258" t="e">
        <v>#N/A</v>
      </c>
      <c r="S669" s="410">
        <v>12</v>
      </c>
      <c r="T669" s="261">
        <v>6</v>
      </c>
      <c r="U669" s="261">
        <v>6</v>
      </c>
      <c r="V669" s="258" t="s">
        <v>3993</v>
      </c>
      <c r="W669" s="261" t="str">
        <f t="shared" si="108"/>
        <v>기아자동차봉고3 특장1톤 고소작업트럭 (A/T)41800000</v>
      </c>
      <c r="X669" s="411">
        <f t="shared" si="109"/>
        <v>4443</v>
      </c>
      <c r="Y669" s="261">
        <v>6</v>
      </c>
      <c r="Z669" s="261">
        <v>6</v>
      </c>
      <c r="AA669" s="407" t="s">
        <v>429</v>
      </c>
      <c r="AB669" s="258" t="e">
        <v>#N/A</v>
      </c>
      <c r="AC669" s="258"/>
      <c r="AD669" s="258" t="s">
        <v>2134</v>
      </c>
      <c r="AE669" s="258" t="s">
        <v>2129</v>
      </c>
      <c r="AF669" s="259"/>
      <c r="AG669" s="260"/>
      <c r="AH669" s="259"/>
      <c r="AI669" s="259"/>
      <c r="AJ669" s="260"/>
      <c r="AK669" s="259">
        <v>26</v>
      </c>
      <c r="AL669" s="259"/>
      <c r="AM669" s="259" t="s">
        <v>3228</v>
      </c>
      <c r="AN669" s="449"/>
      <c r="AO669" s="449"/>
      <c r="AP669" s="449"/>
      <c r="AQ669" s="392" t="str">
        <f>IFERROR(VLOOKUP(BG669,#REF!,1,0),"")</f>
        <v/>
      </c>
      <c r="AS669" s="259" t="s">
        <v>3228</v>
      </c>
      <c r="BD669" s="202" t="str">
        <f t="shared" si="101"/>
        <v>봉고3 특장1톤 고소작업트럭 (A/T)</v>
      </c>
      <c r="BE669" s="261" t="str">
        <f t="shared" si="107"/>
        <v>0066</v>
      </c>
      <c r="BF669" s="407" t="s">
        <v>429</v>
      </c>
      <c r="BG669" s="202" t="str">
        <f t="shared" si="102"/>
        <v>0066-0668</v>
      </c>
    </row>
    <row r="670" spans="1:59">
      <c r="A670" s="405">
        <v>4444</v>
      </c>
      <c r="B670" s="406">
        <v>4444</v>
      </c>
      <c r="C670" s="261" t="str">
        <f t="shared" si="103"/>
        <v>0001-0066</v>
      </c>
      <c r="D670" s="261" t="str">
        <f t="shared" si="104"/>
        <v>0001-0066-0012</v>
      </c>
      <c r="E670" s="407" t="s">
        <v>428</v>
      </c>
      <c r="F670" s="261" t="str">
        <f>TEXT(VLOOKUP(J670,'[3]1'!$B$2:$D$37,2,0),"0000")</f>
        <v>0001</v>
      </c>
      <c r="G670" s="261" t="str">
        <f t="shared" si="105"/>
        <v>0066</v>
      </c>
      <c r="H670" s="408">
        <f t="shared" si="106"/>
        <v>12</v>
      </c>
      <c r="I670" s="407" t="s">
        <v>428</v>
      </c>
      <c r="J670" s="258" t="s">
        <v>828</v>
      </c>
      <c r="K670" s="258" t="s">
        <v>2720</v>
      </c>
      <c r="L670" s="258" t="s">
        <v>2268</v>
      </c>
      <c r="M670" s="409">
        <v>16680000</v>
      </c>
      <c r="N670" s="258">
        <v>2497</v>
      </c>
      <c r="O670" s="258" t="s">
        <v>78</v>
      </c>
      <c r="P670" s="258" t="s">
        <v>86</v>
      </c>
      <c r="Q670" s="258" t="s">
        <v>88</v>
      </c>
      <c r="R670" s="258" t="e">
        <v>#N/A</v>
      </c>
      <c r="S670" s="410">
        <v>12</v>
      </c>
      <c r="T670" s="261">
        <v>6</v>
      </c>
      <c r="U670" s="261">
        <v>6</v>
      </c>
      <c r="V670" s="258" t="s">
        <v>3993</v>
      </c>
      <c r="W670" s="261" t="str">
        <f t="shared" si="108"/>
        <v>기아자동차봉고3 특장1톤 내장탑차 경제형 PLUS 킹캡 초장축 디럭스16680000</v>
      </c>
      <c r="X670" s="411">
        <f t="shared" si="109"/>
        <v>4444</v>
      </c>
      <c r="Y670" s="261">
        <v>6</v>
      </c>
      <c r="Z670" s="261">
        <v>6</v>
      </c>
      <c r="AA670" s="407" t="s">
        <v>428</v>
      </c>
      <c r="AB670" s="258" t="e">
        <v>#N/A</v>
      </c>
      <c r="AC670" s="258"/>
      <c r="AD670" s="258" t="s">
        <v>2135</v>
      </c>
      <c r="AE670" s="258" t="s">
        <v>2129</v>
      </c>
      <c r="AF670" s="259"/>
      <c r="AG670" s="260"/>
      <c r="AH670" s="259"/>
      <c r="AI670" s="259"/>
      <c r="AJ670" s="260"/>
      <c r="AK670" s="259">
        <v>26</v>
      </c>
      <c r="AL670" s="259"/>
      <c r="AM670" s="259" t="s">
        <v>3228</v>
      </c>
      <c r="AN670" s="449"/>
      <c r="AO670" s="449"/>
      <c r="AP670" s="449"/>
      <c r="AQ670" s="392" t="str">
        <f>IFERROR(VLOOKUP(BG670,#REF!,1,0),"")</f>
        <v/>
      </c>
      <c r="AS670" s="259" t="s">
        <v>3228</v>
      </c>
      <c r="BD670" s="202" t="str">
        <f t="shared" si="101"/>
        <v>봉고3 특장1톤 내장탑차 경제형 PLUS 킹캡 초장축 디럭스</v>
      </c>
      <c r="BE670" s="261" t="str">
        <f t="shared" si="107"/>
        <v>0066</v>
      </c>
      <c r="BF670" s="407" t="s">
        <v>428</v>
      </c>
      <c r="BG670" s="202" t="str">
        <f t="shared" si="102"/>
        <v>0066-0669</v>
      </c>
    </row>
    <row r="671" spans="1:59">
      <c r="A671" s="405">
        <v>4445</v>
      </c>
      <c r="B671" s="406">
        <v>4445</v>
      </c>
      <c r="C671" s="261" t="str">
        <f t="shared" si="103"/>
        <v>0001-0066</v>
      </c>
      <c r="D671" s="261" t="str">
        <f t="shared" si="104"/>
        <v>0001-0066-0013</v>
      </c>
      <c r="E671" s="407" t="s">
        <v>427</v>
      </c>
      <c r="F671" s="261" t="str">
        <f>TEXT(VLOOKUP(J671,'[3]1'!$B$2:$D$37,2,0),"0000")</f>
        <v>0001</v>
      </c>
      <c r="G671" s="261" t="str">
        <f t="shared" si="105"/>
        <v>0066</v>
      </c>
      <c r="H671" s="408">
        <f t="shared" si="106"/>
        <v>13</v>
      </c>
      <c r="I671" s="407" t="s">
        <v>427</v>
      </c>
      <c r="J671" s="258" t="s">
        <v>828</v>
      </c>
      <c r="K671" s="258" t="s">
        <v>2720</v>
      </c>
      <c r="L671" s="258" t="s">
        <v>2269</v>
      </c>
      <c r="M671" s="409">
        <v>15960000</v>
      </c>
      <c r="N671" s="258">
        <v>2497</v>
      </c>
      <c r="O671" s="258" t="s">
        <v>78</v>
      </c>
      <c r="P671" s="258" t="s">
        <v>86</v>
      </c>
      <c r="Q671" s="258" t="s">
        <v>88</v>
      </c>
      <c r="R671" s="258" t="e">
        <v>#N/A</v>
      </c>
      <c r="S671" s="410">
        <v>12</v>
      </c>
      <c r="T671" s="261">
        <v>6</v>
      </c>
      <c r="U671" s="261">
        <v>6</v>
      </c>
      <c r="V671" s="258" t="s">
        <v>3993</v>
      </c>
      <c r="W671" s="261" t="str">
        <f t="shared" si="108"/>
        <v>기아자동차봉고3 특장1톤 내장탑차 경제형 킹캡 초장축 디럭스15960000</v>
      </c>
      <c r="X671" s="411">
        <f t="shared" si="109"/>
        <v>4445</v>
      </c>
      <c r="Y671" s="261">
        <v>6</v>
      </c>
      <c r="Z671" s="261">
        <v>6</v>
      </c>
      <c r="AA671" s="407" t="s">
        <v>427</v>
      </c>
      <c r="AB671" s="258" t="e">
        <v>#N/A</v>
      </c>
      <c r="AC671" s="258"/>
      <c r="AD671" s="258" t="s">
        <v>2135</v>
      </c>
      <c r="AE671" s="258" t="s">
        <v>2129</v>
      </c>
      <c r="AF671" s="259"/>
      <c r="AG671" s="260"/>
      <c r="AH671" s="259"/>
      <c r="AI671" s="259"/>
      <c r="AJ671" s="260"/>
      <c r="AK671" s="259">
        <v>26</v>
      </c>
      <c r="AL671" s="259"/>
      <c r="AM671" s="259" t="s">
        <v>3228</v>
      </c>
      <c r="AN671" s="449"/>
      <c r="AO671" s="449"/>
      <c r="AP671" s="449"/>
      <c r="AQ671" s="392" t="str">
        <f>IFERROR(VLOOKUP(BG671,#REF!,1,0),"")</f>
        <v/>
      </c>
      <c r="AS671" s="259" t="s">
        <v>3228</v>
      </c>
      <c r="BD671" s="202" t="str">
        <f t="shared" si="101"/>
        <v>봉고3 특장1톤 내장탑차 경제형 킹캡 초장축 디럭스</v>
      </c>
      <c r="BE671" s="261" t="str">
        <f t="shared" si="107"/>
        <v>0066</v>
      </c>
      <c r="BF671" s="407" t="s">
        <v>427</v>
      </c>
      <c r="BG671" s="202" t="str">
        <f t="shared" si="102"/>
        <v>0066-0670</v>
      </c>
    </row>
    <row r="672" spans="1:59">
      <c r="A672" s="405">
        <v>4446</v>
      </c>
      <c r="B672" s="406">
        <v>4446</v>
      </c>
      <c r="C672" s="261" t="str">
        <f t="shared" si="103"/>
        <v>0001-0066</v>
      </c>
      <c r="D672" s="261" t="str">
        <f t="shared" si="104"/>
        <v>0001-0066-0014</v>
      </c>
      <c r="E672" s="407" t="s">
        <v>426</v>
      </c>
      <c r="F672" s="261" t="str">
        <f>TEXT(VLOOKUP(J672,'[3]1'!$B$2:$D$37,2,0),"0000")</f>
        <v>0001</v>
      </c>
      <c r="G672" s="261" t="str">
        <f t="shared" si="105"/>
        <v>0066</v>
      </c>
      <c r="H672" s="408">
        <f t="shared" si="106"/>
        <v>14</v>
      </c>
      <c r="I672" s="407" t="s">
        <v>426</v>
      </c>
      <c r="J672" s="258" t="s">
        <v>828</v>
      </c>
      <c r="K672" s="258" t="s">
        <v>2720</v>
      </c>
      <c r="L672" s="258" t="s">
        <v>2270</v>
      </c>
      <c r="M672" s="409">
        <v>19360000</v>
      </c>
      <c r="N672" s="258">
        <v>2497</v>
      </c>
      <c r="O672" s="258" t="s">
        <v>78</v>
      </c>
      <c r="P672" s="258" t="s">
        <v>86</v>
      </c>
      <c r="Q672" s="258" t="s">
        <v>88</v>
      </c>
      <c r="R672" s="258" t="e">
        <v>#N/A</v>
      </c>
      <c r="S672" s="410">
        <v>12</v>
      </c>
      <c r="T672" s="261">
        <v>6</v>
      </c>
      <c r="U672" s="261">
        <v>6</v>
      </c>
      <c r="V672" s="258" t="s">
        <v>3993</v>
      </c>
      <c r="W672" s="261" t="str">
        <f t="shared" si="108"/>
        <v>기아자동차봉고3 특장1톤 내장탑차 미닫이 킹캡 초장축 럭셔리 2WD M/T19360000</v>
      </c>
      <c r="X672" s="411">
        <f t="shared" si="109"/>
        <v>4446</v>
      </c>
      <c r="Y672" s="261">
        <v>6</v>
      </c>
      <c r="Z672" s="261">
        <v>6</v>
      </c>
      <c r="AA672" s="407" t="s">
        <v>426</v>
      </c>
      <c r="AB672" s="258" t="e">
        <v>#N/A</v>
      </c>
      <c r="AC672" s="258"/>
      <c r="AD672" s="258" t="s">
        <v>2135</v>
      </c>
      <c r="AE672" s="258" t="s">
        <v>2129</v>
      </c>
      <c r="AF672" s="259"/>
      <c r="AG672" s="260"/>
      <c r="AH672" s="259"/>
      <c r="AI672" s="259"/>
      <c r="AJ672" s="260"/>
      <c r="AK672" s="259">
        <v>26</v>
      </c>
      <c r="AL672" s="259"/>
      <c r="AM672" s="259" t="s">
        <v>3228</v>
      </c>
      <c r="AN672" s="449"/>
      <c r="AO672" s="449"/>
      <c r="AP672" s="449"/>
      <c r="AQ672" s="392" t="str">
        <f>IFERROR(VLOOKUP(BG672,#REF!,1,0),"")</f>
        <v/>
      </c>
      <c r="AS672" s="259" t="s">
        <v>3228</v>
      </c>
      <c r="BD672" s="202" t="str">
        <f t="shared" si="101"/>
        <v>봉고3 특장1톤 내장탑차 미닫이 킹캡 초장축 럭셔리 2WD M/T</v>
      </c>
      <c r="BE672" s="261" t="str">
        <f t="shared" si="107"/>
        <v>0066</v>
      </c>
      <c r="BF672" s="407" t="s">
        <v>426</v>
      </c>
      <c r="BG672" s="202" t="str">
        <f t="shared" si="102"/>
        <v>0066-0671</v>
      </c>
    </row>
    <row r="673" spans="1:59">
      <c r="A673" s="405">
        <v>4447</v>
      </c>
      <c r="B673" s="406">
        <v>4447</v>
      </c>
      <c r="C673" s="261" t="str">
        <f t="shared" si="103"/>
        <v>0001-0066</v>
      </c>
      <c r="D673" s="261" t="str">
        <f t="shared" si="104"/>
        <v>0001-0066-0015</v>
      </c>
      <c r="E673" s="407" t="s">
        <v>425</v>
      </c>
      <c r="F673" s="261" t="str">
        <f>TEXT(VLOOKUP(J673,'[3]1'!$B$2:$D$37,2,0),"0000")</f>
        <v>0001</v>
      </c>
      <c r="G673" s="261" t="str">
        <f t="shared" si="105"/>
        <v>0066</v>
      </c>
      <c r="H673" s="408">
        <f t="shared" si="106"/>
        <v>15</v>
      </c>
      <c r="I673" s="407" t="s">
        <v>425</v>
      </c>
      <c r="J673" s="258" t="s">
        <v>828</v>
      </c>
      <c r="K673" s="258" t="s">
        <v>2720</v>
      </c>
      <c r="L673" s="258" t="s">
        <v>2271</v>
      </c>
      <c r="M673" s="409">
        <v>17430000</v>
      </c>
      <c r="N673" s="258">
        <v>2497</v>
      </c>
      <c r="O673" s="258" t="s">
        <v>78</v>
      </c>
      <c r="P673" s="258" t="s">
        <v>86</v>
      </c>
      <c r="Q673" s="258" t="s">
        <v>88</v>
      </c>
      <c r="R673" s="258">
        <v>5</v>
      </c>
      <c r="S673" s="410">
        <v>12</v>
      </c>
      <c r="T673" s="261">
        <v>6</v>
      </c>
      <c r="U673" s="261">
        <v>6</v>
      </c>
      <c r="V673" s="258" t="s">
        <v>1295</v>
      </c>
      <c r="W673" s="261" t="str">
        <f t="shared" si="108"/>
        <v>기아자동차봉고3 특장1톤 내장탑차 표준형 PLUS 킹캡 초장축 럭셔리17430000</v>
      </c>
      <c r="X673" s="411">
        <f t="shared" si="109"/>
        <v>4447</v>
      </c>
      <c r="Y673" s="261">
        <v>6</v>
      </c>
      <c r="Z673" s="261">
        <v>6</v>
      </c>
      <c r="AA673" s="407" t="s">
        <v>425</v>
      </c>
      <c r="AB673" s="258" t="s">
        <v>73</v>
      </c>
      <c r="AC673" s="258"/>
      <c r="AD673" s="258" t="s">
        <v>2135</v>
      </c>
      <c r="AE673" s="258" t="s">
        <v>2129</v>
      </c>
      <c r="AF673" s="259"/>
      <c r="AG673" s="260"/>
      <c r="AH673" s="259"/>
      <c r="AI673" s="259"/>
      <c r="AJ673" s="260"/>
      <c r="AK673" s="259">
        <v>26</v>
      </c>
      <c r="AL673" s="259"/>
      <c r="AM673" s="259" t="s">
        <v>3228</v>
      </c>
      <c r="AN673" s="449"/>
      <c r="AO673" s="449"/>
      <c r="AP673" s="449"/>
      <c r="AQ673" s="392" t="str">
        <f>IFERROR(VLOOKUP(BG673,#REF!,1,0),"")</f>
        <v/>
      </c>
      <c r="AS673" s="259" t="s">
        <v>3228</v>
      </c>
      <c r="BD673" s="202" t="str">
        <f t="shared" si="101"/>
        <v>봉고3 특장1톤 내장탑차 표준형 PLUS 킹캡 초장축 럭셔리</v>
      </c>
      <c r="BE673" s="261" t="str">
        <f t="shared" si="107"/>
        <v>0066</v>
      </c>
      <c r="BF673" s="407" t="s">
        <v>425</v>
      </c>
      <c r="BG673" s="202" t="str">
        <f t="shared" si="102"/>
        <v>0066-0672</v>
      </c>
    </row>
    <row r="674" spans="1:59">
      <c r="A674" s="405">
        <v>4448</v>
      </c>
      <c r="B674" s="406">
        <v>4448</v>
      </c>
      <c r="C674" s="261" t="str">
        <f t="shared" si="103"/>
        <v>0001-0066</v>
      </c>
      <c r="D674" s="261" t="str">
        <f t="shared" si="104"/>
        <v>0001-0066-0016</v>
      </c>
      <c r="E674" s="407" t="s">
        <v>424</v>
      </c>
      <c r="F674" s="261" t="str">
        <f>TEXT(VLOOKUP(J674,'[3]1'!$B$2:$D$37,2,0),"0000")</f>
        <v>0001</v>
      </c>
      <c r="G674" s="261" t="str">
        <f t="shared" si="105"/>
        <v>0066</v>
      </c>
      <c r="H674" s="408">
        <f t="shared" si="106"/>
        <v>16</v>
      </c>
      <c r="I674" s="407" t="s">
        <v>424</v>
      </c>
      <c r="J674" s="258" t="s">
        <v>828</v>
      </c>
      <c r="K674" s="258" t="s">
        <v>2720</v>
      </c>
      <c r="L674" s="258" t="s">
        <v>2272</v>
      </c>
      <c r="M674" s="409">
        <v>18550000</v>
      </c>
      <c r="N674" s="258">
        <v>2497</v>
      </c>
      <c r="O674" s="258" t="s">
        <v>78</v>
      </c>
      <c r="P674" s="258" t="s">
        <v>86</v>
      </c>
      <c r="Q674" s="258" t="s">
        <v>72</v>
      </c>
      <c r="R674" s="258">
        <v>5</v>
      </c>
      <c r="S674" s="410">
        <v>12</v>
      </c>
      <c r="T674" s="261">
        <v>6</v>
      </c>
      <c r="U674" s="261">
        <v>6</v>
      </c>
      <c r="V674" s="258" t="s">
        <v>71</v>
      </c>
      <c r="W674" s="261" t="str">
        <f t="shared" si="108"/>
        <v>기아자동차봉고3 특장1톤 내장탑차 표준형 PLUS 킹캡 초장축 럭셔리 A/T18550000</v>
      </c>
      <c r="X674" s="411">
        <f t="shared" si="109"/>
        <v>4448</v>
      </c>
      <c r="Y674" s="261">
        <v>6</v>
      </c>
      <c r="Z674" s="261">
        <v>6</v>
      </c>
      <c r="AA674" s="407" t="s">
        <v>424</v>
      </c>
      <c r="AB674" s="258" t="s">
        <v>73</v>
      </c>
      <c r="AC674" s="258"/>
      <c r="AD674" s="258" t="s">
        <v>2135</v>
      </c>
      <c r="AE674" s="258" t="s">
        <v>2129</v>
      </c>
      <c r="AF674" s="259"/>
      <c r="AG674" s="260"/>
      <c r="AH674" s="259"/>
      <c r="AI674" s="259"/>
      <c r="AJ674" s="260"/>
      <c r="AK674" s="259">
        <v>26</v>
      </c>
      <c r="AL674" s="259"/>
      <c r="AM674" s="259" t="s">
        <v>3228</v>
      </c>
      <c r="AN674" s="449"/>
      <c r="AO674" s="449"/>
      <c r="AP674" s="449"/>
      <c r="AQ674" s="392" t="str">
        <f>IFERROR(VLOOKUP(BG674,#REF!,1,0),"")</f>
        <v/>
      </c>
      <c r="AS674" s="259" t="s">
        <v>3228</v>
      </c>
      <c r="BD674" s="202" t="str">
        <f t="shared" si="101"/>
        <v>봉고3 특장1톤 내장탑차 표준형 PLUS 킹캡 초장축 럭셔리 A/T</v>
      </c>
      <c r="BE674" s="261" t="str">
        <f t="shared" si="107"/>
        <v>0066</v>
      </c>
      <c r="BF674" s="407" t="s">
        <v>424</v>
      </c>
      <c r="BG674" s="202" t="str">
        <f t="shared" si="102"/>
        <v>0066-0673</v>
      </c>
    </row>
    <row r="675" spans="1:59">
      <c r="A675" s="405">
        <v>4449</v>
      </c>
      <c r="B675" s="406">
        <v>4449</v>
      </c>
      <c r="C675" s="261" t="str">
        <f t="shared" si="103"/>
        <v>0001-0066</v>
      </c>
      <c r="D675" s="261" t="str">
        <f t="shared" si="104"/>
        <v>0001-0066-0017</v>
      </c>
      <c r="E675" s="407" t="s">
        <v>423</v>
      </c>
      <c r="F675" s="261" t="str">
        <f>TEXT(VLOOKUP(J675,'[3]1'!$B$2:$D$37,2,0),"0000")</f>
        <v>0001</v>
      </c>
      <c r="G675" s="261" t="str">
        <f t="shared" si="105"/>
        <v>0066</v>
      </c>
      <c r="H675" s="408">
        <f t="shared" si="106"/>
        <v>17</v>
      </c>
      <c r="I675" s="407" t="s">
        <v>423</v>
      </c>
      <c r="J675" s="258" t="s">
        <v>828</v>
      </c>
      <c r="K675" s="258" t="s">
        <v>2720</v>
      </c>
      <c r="L675" s="258" t="s">
        <v>2273</v>
      </c>
      <c r="M675" s="409">
        <v>17330000</v>
      </c>
      <c r="N675" s="258">
        <v>2497</v>
      </c>
      <c r="O675" s="258" t="s">
        <v>78</v>
      </c>
      <c r="P675" s="258" t="s">
        <v>86</v>
      </c>
      <c r="Q675" s="258" t="s">
        <v>88</v>
      </c>
      <c r="R675" s="258" t="e">
        <v>#N/A</v>
      </c>
      <c r="S675" s="410">
        <v>12</v>
      </c>
      <c r="T675" s="261">
        <v>6</v>
      </c>
      <c r="U675" s="261">
        <v>6</v>
      </c>
      <c r="V675" s="258" t="s">
        <v>3993</v>
      </c>
      <c r="W675" s="261" t="str">
        <f t="shared" si="108"/>
        <v>기아자동차봉고3 특장1톤 내장탑차 표준형 PLUS 표준캡 초장축 럭셔리17330000</v>
      </c>
      <c r="X675" s="411">
        <f t="shared" si="109"/>
        <v>4449</v>
      </c>
      <c r="Y675" s="261">
        <v>6</v>
      </c>
      <c r="Z675" s="261">
        <v>6</v>
      </c>
      <c r="AA675" s="407" t="s">
        <v>423</v>
      </c>
      <c r="AB675" s="258" t="e">
        <v>#N/A</v>
      </c>
      <c r="AC675" s="258"/>
      <c r="AD675" s="258" t="s">
        <v>2135</v>
      </c>
      <c r="AE675" s="258" t="s">
        <v>2129</v>
      </c>
      <c r="AF675" s="259"/>
      <c r="AG675" s="260"/>
      <c r="AH675" s="259"/>
      <c r="AI675" s="259"/>
      <c r="AJ675" s="260"/>
      <c r="AK675" s="259">
        <v>26</v>
      </c>
      <c r="AL675" s="259"/>
      <c r="AM675" s="259" t="s">
        <v>3228</v>
      </c>
      <c r="AN675" s="449"/>
      <c r="AO675" s="449"/>
      <c r="AP675" s="449"/>
      <c r="AQ675" s="392" t="str">
        <f>IFERROR(VLOOKUP(BG675,#REF!,1,0),"")</f>
        <v/>
      </c>
      <c r="AS675" s="259" t="s">
        <v>3228</v>
      </c>
      <c r="BD675" s="202" t="str">
        <f t="shared" si="101"/>
        <v>봉고3 특장1톤 내장탑차 표준형 PLUS 표준캡 초장축 럭셔리</v>
      </c>
      <c r="BE675" s="261" t="str">
        <f t="shared" si="107"/>
        <v>0066</v>
      </c>
      <c r="BF675" s="407" t="s">
        <v>423</v>
      </c>
      <c r="BG675" s="202" t="str">
        <f t="shared" si="102"/>
        <v>0066-0674</v>
      </c>
    </row>
    <row r="676" spans="1:59">
      <c r="A676" s="405">
        <v>4450</v>
      </c>
      <c r="B676" s="406">
        <v>4450</v>
      </c>
      <c r="C676" s="261" t="str">
        <f t="shared" si="103"/>
        <v>0001-0066</v>
      </c>
      <c r="D676" s="261" t="str">
        <f t="shared" si="104"/>
        <v>0001-0066-0018</v>
      </c>
      <c r="E676" s="407" t="s">
        <v>422</v>
      </c>
      <c r="F676" s="261" t="str">
        <f>TEXT(VLOOKUP(J676,'[3]1'!$B$2:$D$37,2,0),"0000")</f>
        <v>0001</v>
      </c>
      <c r="G676" s="261" t="str">
        <f t="shared" si="105"/>
        <v>0066</v>
      </c>
      <c r="H676" s="408">
        <f t="shared" si="106"/>
        <v>18</v>
      </c>
      <c r="I676" s="407" t="s">
        <v>422</v>
      </c>
      <c r="J676" s="258" t="s">
        <v>828</v>
      </c>
      <c r="K676" s="258" t="s">
        <v>2720</v>
      </c>
      <c r="L676" s="258" t="s">
        <v>2274</v>
      </c>
      <c r="M676" s="409">
        <v>17180000</v>
      </c>
      <c r="N676" s="258">
        <v>2497</v>
      </c>
      <c r="O676" s="258" t="s">
        <v>78</v>
      </c>
      <c r="P676" s="258" t="s">
        <v>86</v>
      </c>
      <c r="Q676" s="258" t="s">
        <v>88</v>
      </c>
      <c r="R676" s="258" t="e">
        <v>#N/A</v>
      </c>
      <c r="S676" s="410">
        <v>12</v>
      </c>
      <c r="T676" s="261">
        <v>6</v>
      </c>
      <c r="U676" s="261">
        <v>6</v>
      </c>
      <c r="V676" s="258" t="s">
        <v>3993</v>
      </c>
      <c r="W676" s="261" t="str">
        <f t="shared" si="108"/>
        <v>기아자동차봉고3 특장1톤 내장탑차 표준형 킹캡 초장축 럭셔리17180000</v>
      </c>
      <c r="X676" s="411">
        <f t="shared" si="109"/>
        <v>4450</v>
      </c>
      <c r="Y676" s="261">
        <v>6</v>
      </c>
      <c r="Z676" s="261">
        <v>6</v>
      </c>
      <c r="AA676" s="407" t="s">
        <v>422</v>
      </c>
      <c r="AB676" s="258" t="e">
        <v>#N/A</v>
      </c>
      <c r="AC676" s="258"/>
      <c r="AD676" s="258" t="s">
        <v>2135</v>
      </c>
      <c r="AE676" s="258" t="s">
        <v>2129</v>
      </c>
      <c r="AF676" s="259"/>
      <c r="AG676" s="260"/>
      <c r="AH676" s="259"/>
      <c r="AI676" s="259"/>
      <c r="AJ676" s="260"/>
      <c r="AK676" s="259">
        <v>26</v>
      </c>
      <c r="AL676" s="259"/>
      <c r="AM676" s="259" t="s">
        <v>3228</v>
      </c>
      <c r="AN676" s="449"/>
      <c r="AO676" s="449"/>
      <c r="AP676" s="449"/>
      <c r="AQ676" s="392" t="str">
        <f>IFERROR(VLOOKUP(BG676,#REF!,1,0),"")</f>
        <v/>
      </c>
      <c r="AS676" s="259" t="s">
        <v>3228</v>
      </c>
      <c r="BD676" s="202" t="str">
        <f t="shared" si="101"/>
        <v>봉고3 특장1톤 내장탑차 표준형 킹캡 초장축 럭셔리</v>
      </c>
      <c r="BE676" s="261" t="str">
        <f t="shared" si="107"/>
        <v>0066</v>
      </c>
      <c r="BF676" s="407" t="s">
        <v>422</v>
      </c>
      <c r="BG676" s="202" t="str">
        <f t="shared" si="102"/>
        <v>0066-0675</v>
      </c>
    </row>
    <row r="677" spans="1:59">
      <c r="A677" s="405">
        <v>4451</v>
      </c>
      <c r="B677" s="406">
        <v>4451</v>
      </c>
      <c r="C677" s="261" t="str">
        <f t="shared" si="103"/>
        <v>0001-0066</v>
      </c>
      <c r="D677" s="261" t="str">
        <f t="shared" si="104"/>
        <v>0001-0066-0019</v>
      </c>
      <c r="E677" s="407" t="s">
        <v>421</v>
      </c>
      <c r="F677" s="261" t="str">
        <f>TEXT(VLOOKUP(J677,'[3]1'!$B$2:$D$37,2,0),"0000")</f>
        <v>0001</v>
      </c>
      <c r="G677" s="261" t="str">
        <f t="shared" si="105"/>
        <v>0066</v>
      </c>
      <c r="H677" s="408">
        <f t="shared" si="106"/>
        <v>19</v>
      </c>
      <c r="I677" s="407" t="s">
        <v>421</v>
      </c>
      <c r="J677" s="258" t="s">
        <v>828</v>
      </c>
      <c r="K677" s="258" t="s">
        <v>2720</v>
      </c>
      <c r="L677" s="258" t="s">
        <v>2275</v>
      </c>
      <c r="M677" s="409">
        <v>18300000</v>
      </c>
      <c r="N677" s="258">
        <v>2497</v>
      </c>
      <c r="O677" s="258" t="s">
        <v>78</v>
      </c>
      <c r="P677" s="258" t="s">
        <v>86</v>
      </c>
      <c r="Q677" s="258" t="s">
        <v>72</v>
      </c>
      <c r="R677" s="258">
        <v>5</v>
      </c>
      <c r="S677" s="410">
        <v>12</v>
      </c>
      <c r="T677" s="261">
        <v>6</v>
      </c>
      <c r="U677" s="261">
        <v>6</v>
      </c>
      <c r="V677" s="258" t="s">
        <v>71</v>
      </c>
      <c r="W677" s="261" t="str">
        <f t="shared" si="108"/>
        <v>기아자동차봉고3 특장1톤 내장탑차 표준형 킹캡 초장축 럭셔리 A/T18300000</v>
      </c>
      <c r="X677" s="411">
        <f t="shared" si="109"/>
        <v>4451</v>
      </c>
      <c r="Y677" s="261">
        <v>6</v>
      </c>
      <c r="Z677" s="261">
        <v>6</v>
      </c>
      <c r="AA677" s="407" t="s">
        <v>421</v>
      </c>
      <c r="AB677" s="258" t="s">
        <v>73</v>
      </c>
      <c r="AC677" s="258"/>
      <c r="AD677" s="258" t="s">
        <v>2135</v>
      </c>
      <c r="AE677" s="258" t="s">
        <v>2129</v>
      </c>
      <c r="AF677" s="259"/>
      <c r="AG677" s="260"/>
      <c r="AH677" s="259"/>
      <c r="AI677" s="259"/>
      <c r="AJ677" s="260"/>
      <c r="AK677" s="259">
        <v>26</v>
      </c>
      <c r="AL677" s="259"/>
      <c r="AM677" s="259" t="s">
        <v>3228</v>
      </c>
      <c r="AN677" s="449"/>
      <c r="AO677" s="449"/>
      <c r="AP677" s="449"/>
      <c r="AQ677" s="392" t="str">
        <f>IFERROR(VLOOKUP(BG677,#REF!,1,0),"")</f>
        <v/>
      </c>
      <c r="AS677" s="259" t="s">
        <v>3228</v>
      </c>
      <c r="BD677" s="202" t="str">
        <f t="shared" si="101"/>
        <v>봉고3 특장1톤 내장탑차 표준형 킹캡 초장축 럭셔리 A/T</v>
      </c>
      <c r="BE677" s="261" t="str">
        <f t="shared" si="107"/>
        <v>0066</v>
      </c>
      <c r="BF677" s="407" t="s">
        <v>421</v>
      </c>
      <c r="BG677" s="202" t="str">
        <f t="shared" si="102"/>
        <v>0066-0676</v>
      </c>
    </row>
    <row r="678" spans="1:59">
      <c r="A678" s="405">
        <v>4452</v>
      </c>
      <c r="B678" s="406">
        <v>4452</v>
      </c>
      <c r="C678" s="261" t="str">
        <f t="shared" si="103"/>
        <v>0001-0066</v>
      </c>
      <c r="D678" s="261" t="str">
        <f t="shared" si="104"/>
        <v>0001-0066-0020</v>
      </c>
      <c r="E678" s="407" t="s">
        <v>420</v>
      </c>
      <c r="F678" s="261" t="str">
        <f>TEXT(VLOOKUP(J678,'[3]1'!$B$2:$D$37,2,0),"0000")</f>
        <v>0001</v>
      </c>
      <c r="G678" s="261" t="str">
        <f t="shared" si="105"/>
        <v>0066</v>
      </c>
      <c r="H678" s="408">
        <f t="shared" si="106"/>
        <v>20</v>
      </c>
      <c r="I678" s="407" t="s">
        <v>420</v>
      </c>
      <c r="J678" s="258" t="s">
        <v>828</v>
      </c>
      <c r="K678" s="258" t="s">
        <v>2720</v>
      </c>
      <c r="L678" s="258" t="s">
        <v>2276</v>
      </c>
      <c r="M678" s="409">
        <v>17080000</v>
      </c>
      <c r="N678" s="258">
        <v>2497</v>
      </c>
      <c r="O678" s="258" t="s">
        <v>78</v>
      </c>
      <c r="P678" s="258" t="s">
        <v>86</v>
      </c>
      <c r="Q678" s="258" t="s">
        <v>88</v>
      </c>
      <c r="R678" s="258">
        <v>5</v>
      </c>
      <c r="S678" s="410">
        <v>12</v>
      </c>
      <c r="T678" s="261">
        <v>6</v>
      </c>
      <c r="U678" s="261">
        <v>6</v>
      </c>
      <c r="V678" s="258" t="s">
        <v>71</v>
      </c>
      <c r="W678" s="261" t="str">
        <f t="shared" si="108"/>
        <v>기아자동차봉고3 특장1톤 내장탑차 표준형 표준캡 초장축 럭셔리17080000</v>
      </c>
      <c r="X678" s="411">
        <f t="shared" si="109"/>
        <v>4452</v>
      </c>
      <c r="Y678" s="261">
        <v>6</v>
      </c>
      <c r="Z678" s="261">
        <v>6</v>
      </c>
      <c r="AA678" s="407" t="s">
        <v>420</v>
      </c>
      <c r="AB678" s="258" t="s">
        <v>73</v>
      </c>
      <c r="AC678" s="258"/>
      <c r="AD678" s="258" t="s">
        <v>2135</v>
      </c>
      <c r="AE678" s="258" t="s">
        <v>2129</v>
      </c>
      <c r="AF678" s="259"/>
      <c r="AG678" s="260"/>
      <c r="AH678" s="259"/>
      <c r="AI678" s="259"/>
      <c r="AJ678" s="260"/>
      <c r="AK678" s="259">
        <v>26</v>
      </c>
      <c r="AL678" s="259"/>
      <c r="AM678" s="259" t="s">
        <v>3228</v>
      </c>
      <c r="AN678" s="449"/>
      <c r="AO678" s="449"/>
      <c r="AP678" s="449"/>
      <c r="AQ678" s="392" t="str">
        <f>IFERROR(VLOOKUP(BG678,#REF!,1,0),"")</f>
        <v/>
      </c>
      <c r="AS678" s="259" t="s">
        <v>3228</v>
      </c>
      <c r="BD678" s="202" t="str">
        <f t="shared" si="101"/>
        <v>봉고3 특장1톤 내장탑차 표준형 표준캡 초장축 럭셔리</v>
      </c>
      <c r="BE678" s="261" t="str">
        <f t="shared" si="107"/>
        <v>0066</v>
      </c>
      <c r="BF678" s="407" t="s">
        <v>420</v>
      </c>
      <c r="BG678" s="202" t="str">
        <f t="shared" si="102"/>
        <v>0066-0677</v>
      </c>
    </row>
    <row r="679" spans="1:59">
      <c r="A679" s="405">
        <v>4453</v>
      </c>
      <c r="B679" s="406">
        <v>4453</v>
      </c>
      <c r="C679" s="261" t="str">
        <f t="shared" si="103"/>
        <v>0001-0066</v>
      </c>
      <c r="D679" s="261" t="str">
        <f t="shared" si="104"/>
        <v>0001-0066-0021</v>
      </c>
      <c r="E679" s="407" t="s">
        <v>419</v>
      </c>
      <c r="F679" s="261" t="str">
        <f>TEXT(VLOOKUP(J679,'[3]1'!$B$2:$D$37,2,0),"0000")</f>
        <v>0001</v>
      </c>
      <c r="G679" s="261" t="str">
        <f t="shared" si="105"/>
        <v>0066</v>
      </c>
      <c r="H679" s="408">
        <f t="shared" si="106"/>
        <v>21</v>
      </c>
      <c r="I679" s="407" t="s">
        <v>419</v>
      </c>
      <c r="J679" s="258" t="s">
        <v>828</v>
      </c>
      <c r="K679" s="258" t="s">
        <v>2720</v>
      </c>
      <c r="L679" s="258" t="s">
        <v>2277</v>
      </c>
      <c r="M679" s="409">
        <v>18000000</v>
      </c>
      <c r="N679" s="258">
        <v>2497</v>
      </c>
      <c r="O679" s="258" t="s">
        <v>78</v>
      </c>
      <c r="P679" s="258" t="s">
        <v>86</v>
      </c>
      <c r="Q679" s="258" t="s">
        <v>88</v>
      </c>
      <c r="R679" s="258">
        <v>5</v>
      </c>
      <c r="S679" s="410">
        <v>12</v>
      </c>
      <c r="T679" s="261">
        <v>6</v>
      </c>
      <c r="U679" s="261">
        <v>6</v>
      </c>
      <c r="V679" s="258" t="s">
        <v>71</v>
      </c>
      <c r="W679" s="261" t="str">
        <f t="shared" si="108"/>
        <v>기아자동차봉고3 특장1톤 내장탑차Ⅱ 미닫이 킹캡 초장축 럭셔리18000000</v>
      </c>
      <c r="X679" s="411">
        <f t="shared" si="109"/>
        <v>4453</v>
      </c>
      <c r="Y679" s="261">
        <v>6</v>
      </c>
      <c r="Z679" s="261">
        <v>6</v>
      </c>
      <c r="AA679" s="407" t="s">
        <v>419</v>
      </c>
      <c r="AB679" s="258" t="s">
        <v>73</v>
      </c>
      <c r="AC679" s="258"/>
      <c r="AD679" s="258" t="s">
        <v>2135</v>
      </c>
      <c r="AE679" s="258" t="s">
        <v>2129</v>
      </c>
      <c r="AF679" s="259"/>
      <c r="AG679" s="260"/>
      <c r="AH679" s="259"/>
      <c r="AI679" s="259"/>
      <c r="AJ679" s="260"/>
      <c r="AK679" s="259">
        <v>26</v>
      </c>
      <c r="AL679" s="259"/>
      <c r="AM679" s="259" t="s">
        <v>3228</v>
      </c>
      <c r="AN679" s="449"/>
      <c r="AO679" s="449"/>
      <c r="AP679" s="449"/>
      <c r="AQ679" s="392" t="str">
        <f>IFERROR(VLOOKUP(BG679,#REF!,1,0),"")</f>
        <v/>
      </c>
      <c r="AS679" s="259" t="s">
        <v>3228</v>
      </c>
      <c r="BD679" s="202" t="str">
        <f t="shared" si="101"/>
        <v>봉고3 특장1톤 내장탑차Ⅱ 미닫이 킹캡 초장축 럭셔리</v>
      </c>
      <c r="BE679" s="261" t="str">
        <f t="shared" si="107"/>
        <v>0066</v>
      </c>
      <c r="BF679" s="407" t="s">
        <v>419</v>
      </c>
      <c r="BG679" s="202" t="str">
        <f t="shared" si="102"/>
        <v>0066-0678</v>
      </c>
    </row>
    <row r="680" spans="1:59">
      <c r="A680" s="405">
        <v>4454</v>
      </c>
      <c r="B680" s="406">
        <v>4454</v>
      </c>
      <c r="C680" s="261" t="str">
        <f t="shared" si="103"/>
        <v>0001-0066</v>
      </c>
      <c r="D680" s="261" t="str">
        <f t="shared" si="104"/>
        <v>0001-0066-0022</v>
      </c>
      <c r="E680" s="407" t="s">
        <v>418</v>
      </c>
      <c r="F680" s="261" t="str">
        <f>TEXT(VLOOKUP(J680,'[3]1'!$B$2:$D$37,2,0),"0000")</f>
        <v>0001</v>
      </c>
      <c r="G680" s="261" t="str">
        <f t="shared" si="105"/>
        <v>0066</v>
      </c>
      <c r="H680" s="408">
        <f t="shared" si="106"/>
        <v>22</v>
      </c>
      <c r="I680" s="407" t="s">
        <v>418</v>
      </c>
      <c r="J680" s="258" t="s">
        <v>828</v>
      </c>
      <c r="K680" s="258" t="s">
        <v>2720</v>
      </c>
      <c r="L680" s="258" t="s">
        <v>2278</v>
      </c>
      <c r="M680" s="409">
        <v>17900000</v>
      </c>
      <c r="N680" s="258">
        <v>2497</v>
      </c>
      <c r="O680" s="258" t="s">
        <v>78</v>
      </c>
      <c r="P680" s="258" t="s">
        <v>86</v>
      </c>
      <c r="Q680" s="258" t="s">
        <v>88</v>
      </c>
      <c r="R680" s="258">
        <v>5</v>
      </c>
      <c r="S680" s="410">
        <v>12</v>
      </c>
      <c r="T680" s="261">
        <v>6</v>
      </c>
      <c r="U680" s="261">
        <v>6</v>
      </c>
      <c r="V680" s="258" t="s">
        <v>71</v>
      </c>
      <c r="W680" s="261" t="str">
        <f t="shared" si="108"/>
        <v>기아자동차봉고3 특장1톤 내장탑차Ⅱ 미닫이 표준캡 초장축 럭셔리17900000</v>
      </c>
      <c r="X680" s="411">
        <f t="shared" si="109"/>
        <v>4454</v>
      </c>
      <c r="Y680" s="261">
        <v>6</v>
      </c>
      <c r="Z680" s="261">
        <v>6</v>
      </c>
      <c r="AA680" s="407" t="s">
        <v>418</v>
      </c>
      <c r="AB680" s="258" t="s">
        <v>73</v>
      </c>
      <c r="AC680" s="258"/>
      <c r="AD680" s="258" t="s">
        <v>2135</v>
      </c>
      <c r="AE680" s="258" t="s">
        <v>2129</v>
      </c>
      <c r="AF680" s="259"/>
      <c r="AG680" s="260"/>
      <c r="AH680" s="259"/>
      <c r="AI680" s="259"/>
      <c r="AJ680" s="260"/>
      <c r="AK680" s="259">
        <v>26</v>
      </c>
      <c r="AL680" s="259"/>
      <c r="AM680" s="259" t="s">
        <v>3228</v>
      </c>
      <c r="AN680" s="449"/>
      <c r="AO680" s="449"/>
      <c r="AP680" s="449"/>
      <c r="AQ680" s="392" t="str">
        <f>IFERROR(VLOOKUP(BG680,#REF!,1,0),"")</f>
        <v/>
      </c>
      <c r="AS680" s="259" t="s">
        <v>3228</v>
      </c>
      <c r="BD680" s="202" t="str">
        <f t="shared" si="101"/>
        <v>봉고3 특장1톤 내장탑차Ⅱ 미닫이 표준캡 초장축 럭셔리</v>
      </c>
      <c r="BE680" s="261" t="str">
        <f t="shared" si="107"/>
        <v>0066</v>
      </c>
      <c r="BF680" s="407" t="s">
        <v>418</v>
      </c>
      <c r="BG680" s="202" t="str">
        <f t="shared" si="102"/>
        <v>0066-0679</v>
      </c>
    </row>
    <row r="681" spans="1:59">
      <c r="A681" s="405">
        <v>4455</v>
      </c>
      <c r="B681" s="406">
        <v>4455</v>
      </c>
      <c r="C681" s="261" t="str">
        <f t="shared" si="103"/>
        <v>0001-0066</v>
      </c>
      <c r="D681" s="261" t="str">
        <f t="shared" si="104"/>
        <v>0001-0066-0023</v>
      </c>
      <c r="E681" s="407" t="s">
        <v>417</v>
      </c>
      <c r="F681" s="261" t="str">
        <f>TEXT(VLOOKUP(J681,'[3]1'!$B$2:$D$37,2,0),"0000")</f>
        <v>0001</v>
      </c>
      <c r="G681" s="261" t="str">
        <f t="shared" si="105"/>
        <v>0066</v>
      </c>
      <c r="H681" s="408">
        <f t="shared" si="106"/>
        <v>23</v>
      </c>
      <c r="I681" s="407" t="s">
        <v>417</v>
      </c>
      <c r="J681" s="258" t="s">
        <v>828</v>
      </c>
      <c r="K681" s="258" t="s">
        <v>2720</v>
      </c>
      <c r="L681" s="258" t="s">
        <v>2279</v>
      </c>
      <c r="M681" s="409">
        <v>18150000</v>
      </c>
      <c r="N681" s="258">
        <v>2497</v>
      </c>
      <c r="O681" s="258" t="s">
        <v>78</v>
      </c>
      <c r="P681" s="258" t="s">
        <v>86</v>
      </c>
      <c r="Q681" s="258" t="s">
        <v>88</v>
      </c>
      <c r="R681" s="258">
        <v>5</v>
      </c>
      <c r="S681" s="410">
        <v>12</v>
      </c>
      <c r="T681" s="261">
        <v>6</v>
      </c>
      <c r="U681" s="261">
        <v>6</v>
      </c>
      <c r="V681" s="258" t="s">
        <v>1295</v>
      </c>
      <c r="W681" s="261" t="str">
        <f t="shared" si="108"/>
        <v>기아자동차봉고3 특장1톤 내장탑차Ⅱ 택배전용 킹캡 초장축 럭셔리18150000</v>
      </c>
      <c r="X681" s="411">
        <f t="shared" si="109"/>
        <v>4455</v>
      </c>
      <c r="Y681" s="261">
        <v>6</v>
      </c>
      <c r="Z681" s="261">
        <v>6</v>
      </c>
      <c r="AA681" s="407" t="s">
        <v>417</v>
      </c>
      <c r="AB681" s="258" t="s">
        <v>73</v>
      </c>
      <c r="AC681" s="258"/>
      <c r="AD681" s="258" t="s">
        <v>2135</v>
      </c>
      <c r="AE681" s="258" t="s">
        <v>2129</v>
      </c>
      <c r="AF681" s="259"/>
      <c r="AG681" s="260"/>
      <c r="AH681" s="259"/>
      <c r="AI681" s="259"/>
      <c r="AJ681" s="260"/>
      <c r="AK681" s="259">
        <v>26</v>
      </c>
      <c r="AL681" s="259"/>
      <c r="AM681" s="259" t="s">
        <v>3228</v>
      </c>
      <c r="AN681" s="449"/>
      <c r="AO681" s="449"/>
      <c r="AP681" s="449"/>
      <c r="AQ681" s="392" t="str">
        <f>IFERROR(VLOOKUP(BG681,#REF!,1,0),"")</f>
        <v/>
      </c>
      <c r="AS681" s="259" t="s">
        <v>3228</v>
      </c>
      <c r="BD681" s="202" t="str">
        <f t="shared" si="101"/>
        <v>봉고3 특장1톤 내장탑차Ⅱ 택배전용 킹캡 초장축 럭셔리</v>
      </c>
      <c r="BE681" s="261" t="str">
        <f t="shared" si="107"/>
        <v>0066</v>
      </c>
      <c r="BF681" s="407" t="s">
        <v>417</v>
      </c>
      <c r="BG681" s="202" t="str">
        <f t="shared" si="102"/>
        <v>0066-0680</v>
      </c>
    </row>
    <row r="682" spans="1:59">
      <c r="A682" s="405">
        <v>4456</v>
      </c>
      <c r="B682" s="406">
        <v>4456</v>
      </c>
      <c r="C682" s="261" t="str">
        <f t="shared" si="103"/>
        <v>0001-0066</v>
      </c>
      <c r="D682" s="261" t="str">
        <f t="shared" si="104"/>
        <v>0001-0066-0024</v>
      </c>
      <c r="E682" s="407" t="s">
        <v>416</v>
      </c>
      <c r="F682" s="261" t="str">
        <f>TEXT(VLOOKUP(J682,'[3]1'!$B$2:$D$37,2,0),"0000")</f>
        <v>0001</v>
      </c>
      <c r="G682" s="261" t="str">
        <f t="shared" si="105"/>
        <v>0066</v>
      </c>
      <c r="H682" s="408">
        <f t="shared" si="106"/>
        <v>24</v>
      </c>
      <c r="I682" s="407" t="s">
        <v>416</v>
      </c>
      <c r="J682" s="258" t="s">
        <v>828</v>
      </c>
      <c r="K682" s="258" t="s">
        <v>2720</v>
      </c>
      <c r="L682" s="258" t="s">
        <v>2280</v>
      </c>
      <c r="M682" s="409">
        <v>20010000</v>
      </c>
      <c r="N682" s="258">
        <v>2497</v>
      </c>
      <c r="O682" s="258" t="s">
        <v>78</v>
      </c>
      <c r="P682" s="258" t="s">
        <v>86</v>
      </c>
      <c r="Q682" s="258" t="s">
        <v>88</v>
      </c>
      <c r="R682" s="258">
        <v>5</v>
      </c>
      <c r="S682" s="410">
        <v>12</v>
      </c>
      <c r="T682" s="261">
        <v>6</v>
      </c>
      <c r="U682" s="261">
        <v>6</v>
      </c>
      <c r="V682" s="258" t="s">
        <v>1295</v>
      </c>
      <c r="W682" s="261" t="str">
        <f t="shared" si="108"/>
        <v>기아자동차봉고3 특장1톤 냉동탑차 경제형 PLUS 킹캡 초장축 디럭스20010000</v>
      </c>
      <c r="X682" s="411">
        <f t="shared" si="109"/>
        <v>4456</v>
      </c>
      <c r="Y682" s="261">
        <v>6</v>
      </c>
      <c r="Z682" s="261">
        <v>6</v>
      </c>
      <c r="AA682" s="407" t="s">
        <v>416</v>
      </c>
      <c r="AB682" s="258" t="s">
        <v>73</v>
      </c>
      <c r="AC682" s="258"/>
      <c r="AD682" s="258" t="s">
        <v>2135</v>
      </c>
      <c r="AE682" s="258" t="s">
        <v>2129</v>
      </c>
      <c r="AF682" s="259"/>
      <c r="AG682" s="260"/>
      <c r="AH682" s="259"/>
      <c r="AI682" s="259"/>
      <c r="AJ682" s="260"/>
      <c r="AK682" s="259">
        <v>26</v>
      </c>
      <c r="AL682" s="259"/>
      <c r="AM682" s="259" t="s">
        <v>3228</v>
      </c>
      <c r="AN682" s="449"/>
      <c r="AO682" s="449"/>
      <c r="AP682" s="449"/>
      <c r="AQ682" s="392" t="str">
        <f>IFERROR(VLOOKUP(BG682,#REF!,1,0),"")</f>
        <v/>
      </c>
      <c r="AS682" s="259" t="s">
        <v>3228</v>
      </c>
      <c r="BD682" s="202" t="str">
        <f t="shared" si="101"/>
        <v>봉고3 특장1톤 냉동탑차 경제형 PLUS 킹캡 초장축 디럭스</v>
      </c>
      <c r="BE682" s="261" t="str">
        <f t="shared" si="107"/>
        <v>0066</v>
      </c>
      <c r="BF682" s="407" t="s">
        <v>416</v>
      </c>
      <c r="BG682" s="202" t="str">
        <f t="shared" si="102"/>
        <v>0066-0681</v>
      </c>
    </row>
    <row r="683" spans="1:59">
      <c r="A683" s="405">
        <v>4457</v>
      </c>
      <c r="B683" s="406">
        <v>4457</v>
      </c>
      <c r="C683" s="261" t="str">
        <f t="shared" si="103"/>
        <v>0001-0066</v>
      </c>
      <c r="D683" s="261" t="str">
        <f t="shared" si="104"/>
        <v>0001-0066-0025</v>
      </c>
      <c r="E683" s="407" t="s">
        <v>415</v>
      </c>
      <c r="F683" s="261" t="str">
        <f>TEXT(VLOOKUP(J683,'[3]1'!$B$2:$D$37,2,0),"0000")</f>
        <v>0001</v>
      </c>
      <c r="G683" s="261" t="str">
        <f t="shared" si="105"/>
        <v>0066</v>
      </c>
      <c r="H683" s="408">
        <f t="shared" si="106"/>
        <v>25</v>
      </c>
      <c r="I683" s="407" t="s">
        <v>415</v>
      </c>
      <c r="J683" s="258" t="s">
        <v>828</v>
      </c>
      <c r="K683" s="258" t="s">
        <v>2720</v>
      </c>
      <c r="L683" s="258" t="s">
        <v>2281</v>
      </c>
      <c r="M683" s="409">
        <v>18760000</v>
      </c>
      <c r="N683" s="258">
        <v>2497</v>
      </c>
      <c r="O683" s="258" t="s">
        <v>78</v>
      </c>
      <c r="P683" s="258" t="s">
        <v>86</v>
      </c>
      <c r="Q683" s="258" t="s">
        <v>88</v>
      </c>
      <c r="R683" s="258">
        <v>5</v>
      </c>
      <c r="S683" s="410">
        <v>12</v>
      </c>
      <c r="T683" s="261">
        <v>6</v>
      </c>
      <c r="U683" s="261">
        <v>6</v>
      </c>
      <c r="V683" s="258" t="s">
        <v>71</v>
      </c>
      <c r="W683" s="261" t="str">
        <f t="shared" si="108"/>
        <v>기아자동차봉고3 특장1톤 냉동탑차 경제형 킹캡 초장축 디럭스18760000</v>
      </c>
      <c r="X683" s="411">
        <f t="shared" si="109"/>
        <v>4457</v>
      </c>
      <c r="Y683" s="261">
        <v>6</v>
      </c>
      <c r="Z683" s="261">
        <v>6</v>
      </c>
      <c r="AA683" s="407" t="s">
        <v>415</v>
      </c>
      <c r="AB683" s="258" t="s">
        <v>73</v>
      </c>
      <c r="AC683" s="258"/>
      <c r="AD683" s="258" t="s">
        <v>2135</v>
      </c>
      <c r="AE683" s="258" t="s">
        <v>2129</v>
      </c>
      <c r="AF683" s="259"/>
      <c r="AG683" s="260"/>
      <c r="AH683" s="259"/>
      <c r="AI683" s="259"/>
      <c r="AJ683" s="260"/>
      <c r="AK683" s="259">
        <v>26</v>
      </c>
      <c r="AL683" s="259"/>
      <c r="AM683" s="259" t="s">
        <v>3228</v>
      </c>
      <c r="AN683" s="449"/>
      <c r="AO683" s="449"/>
      <c r="AP683" s="449"/>
      <c r="AQ683" s="392" t="str">
        <f>IFERROR(VLOOKUP(BG683,#REF!,1,0),"")</f>
        <v/>
      </c>
      <c r="AS683" s="259" t="s">
        <v>3228</v>
      </c>
      <c r="BD683" s="202" t="str">
        <f t="shared" si="101"/>
        <v>봉고3 특장1톤 냉동탑차 경제형 킹캡 초장축 디럭스</v>
      </c>
      <c r="BE683" s="261" t="str">
        <f t="shared" si="107"/>
        <v>0066</v>
      </c>
      <c r="BF683" s="407" t="s">
        <v>415</v>
      </c>
      <c r="BG683" s="202" t="str">
        <f t="shared" si="102"/>
        <v>0066-0682</v>
      </c>
    </row>
    <row r="684" spans="1:59">
      <c r="A684" s="405">
        <v>4458</v>
      </c>
      <c r="B684" s="406">
        <v>4458</v>
      </c>
      <c r="C684" s="261" t="str">
        <f t="shared" si="103"/>
        <v>0001-0066</v>
      </c>
      <c r="D684" s="261" t="str">
        <f t="shared" si="104"/>
        <v>0001-0066-0026</v>
      </c>
      <c r="E684" s="407" t="s">
        <v>414</v>
      </c>
      <c r="F684" s="261" t="str">
        <f>TEXT(VLOOKUP(J684,'[3]1'!$B$2:$D$37,2,0),"0000")</f>
        <v>0001</v>
      </c>
      <c r="G684" s="261" t="str">
        <f t="shared" si="105"/>
        <v>0066</v>
      </c>
      <c r="H684" s="408">
        <f t="shared" si="106"/>
        <v>26</v>
      </c>
      <c r="I684" s="407" t="s">
        <v>414</v>
      </c>
      <c r="J684" s="258" t="s">
        <v>828</v>
      </c>
      <c r="K684" s="258" t="s">
        <v>2720</v>
      </c>
      <c r="L684" s="258" t="s">
        <v>2282</v>
      </c>
      <c r="M684" s="409">
        <v>20930000</v>
      </c>
      <c r="N684" s="258">
        <v>2497</v>
      </c>
      <c r="O684" s="258" t="s">
        <v>78</v>
      </c>
      <c r="P684" s="258" t="s">
        <v>86</v>
      </c>
      <c r="Q684" s="258" t="s">
        <v>88</v>
      </c>
      <c r="R684" s="258">
        <v>5</v>
      </c>
      <c r="S684" s="410">
        <v>12</v>
      </c>
      <c r="T684" s="261">
        <v>6</v>
      </c>
      <c r="U684" s="261">
        <v>6</v>
      </c>
      <c r="V684" s="258" t="s">
        <v>71</v>
      </c>
      <c r="W684" s="261" t="str">
        <f t="shared" si="108"/>
        <v>기아자동차봉고3 특장1톤 냉동탑차 표준형 PLUS 킹캡 초장축 럭셔리20930000</v>
      </c>
      <c r="X684" s="411">
        <f t="shared" si="109"/>
        <v>4458</v>
      </c>
      <c r="Y684" s="261">
        <v>6</v>
      </c>
      <c r="Z684" s="261">
        <v>6</v>
      </c>
      <c r="AA684" s="407" t="s">
        <v>414</v>
      </c>
      <c r="AB684" s="258" t="s">
        <v>73</v>
      </c>
      <c r="AC684" s="258"/>
      <c r="AD684" s="258" t="s">
        <v>2135</v>
      </c>
      <c r="AE684" s="258" t="s">
        <v>2129</v>
      </c>
      <c r="AF684" s="259"/>
      <c r="AG684" s="260"/>
      <c r="AH684" s="259"/>
      <c r="AI684" s="259"/>
      <c r="AJ684" s="260"/>
      <c r="AK684" s="259">
        <v>26</v>
      </c>
      <c r="AL684" s="259"/>
      <c r="AM684" s="259" t="s">
        <v>3228</v>
      </c>
      <c r="AN684" s="449"/>
      <c r="AO684" s="449"/>
      <c r="AP684" s="449"/>
      <c r="AQ684" s="392" t="str">
        <f>IFERROR(VLOOKUP(BG684,#REF!,1,0),"")</f>
        <v/>
      </c>
      <c r="AS684" s="259" t="s">
        <v>3228</v>
      </c>
      <c r="BD684" s="202" t="str">
        <f t="shared" si="101"/>
        <v>봉고3 특장1톤 냉동탑차 표준형 PLUS 킹캡 초장축 럭셔리</v>
      </c>
      <c r="BE684" s="261" t="str">
        <f t="shared" si="107"/>
        <v>0066</v>
      </c>
      <c r="BF684" s="407" t="s">
        <v>414</v>
      </c>
      <c r="BG684" s="202" t="str">
        <f t="shared" si="102"/>
        <v>0066-0683</v>
      </c>
    </row>
    <row r="685" spans="1:59">
      <c r="A685" s="405">
        <v>4459</v>
      </c>
      <c r="B685" s="406">
        <v>4459</v>
      </c>
      <c r="C685" s="261" t="str">
        <f t="shared" si="103"/>
        <v>0001-0066</v>
      </c>
      <c r="D685" s="261" t="str">
        <f t="shared" si="104"/>
        <v>0001-0066-0027</v>
      </c>
      <c r="E685" s="407" t="s">
        <v>413</v>
      </c>
      <c r="F685" s="261" t="str">
        <f>TEXT(VLOOKUP(J685,'[3]1'!$B$2:$D$37,2,0),"0000")</f>
        <v>0001</v>
      </c>
      <c r="G685" s="261" t="str">
        <f t="shared" si="105"/>
        <v>0066</v>
      </c>
      <c r="H685" s="408">
        <f t="shared" si="106"/>
        <v>27</v>
      </c>
      <c r="I685" s="407" t="s">
        <v>413</v>
      </c>
      <c r="J685" s="258" t="s">
        <v>828</v>
      </c>
      <c r="K685" s="258" t="s">
        <v>2720</v>
      </c>
      <c r="L685" s="258" t="s">
        <v>2283</v>
      </c>
      <c r="M685" s="409">
        <v>22050000</v>
      </c>
      <c r="N685" s="258">
        <v>2497</v>
      </c>
      <c r="O685" s="258" t="s">
        <v>78</v>
      </c>
      <c r="P685" s="258" t="s">
        <v>86</v>
      </c>
      <c r="Q685" s="258" t="s">
        <v>72</v>
      </c>
      <c r="R685" s="258">
        <v>5</v>
      </c>
      <c r="S685" s="410">
        <v>12</v>
      </c>
      <c r="T685" s="261">
        <v>6</v>
      </c>
      <c r="U685" s="261">
        <v>6</v>
      </c>
      <c r="V685" s="258" t="s">
        <v>71</v>
      </c>
      <c r="W685" s="261" t="str">
        <f t="shared" si="108"/>
        <v>기아자동차봉고3 특장1톤 냉동탑차 표준형 PLUS 킹캡 초장축 럭셔리 A/T22050000</v>
      </c>
      <c r="X685" s="411">
        <f t="shared" si="109"/>
        <v>4459</v>
      </c>
      <c r="Y685" s="261">
        <v>6</v>
      </c>
      <c r="Z685" s="261">
        <v>6</v>
      </c>
      <c r="AA685" s="407" t="s">
        <v>413</v>
      </c>
      <c r="AB685" s="258" t="s">
        <v>73</v>
      </c>
      <c r="AC685" s="258"/>
      <c r="AD685" s="258" t="s">
        <v>2135</v>
      </c>
      <c r="AE685" s="258" t="s">
        <v>2129</v>
      </c>
      <c r="AF685" s="259"/>
      <c r="AG685" s="260"/>
      <c r="AH685" s="259"/>
      <c r="AI685" s="259"/>
      <c r="AJ685" s="260"/>
      <c r="AK685" s="259">
        <v>26</v>
      </c>
      <c r="AL685" s="259"/>
      <c r="AM685" s="259" t="s">
        <v>3228</v>
      </c>
      <c r="AN685" s="449"/>
      <c r="AO685" s="449"/>
      <c r="AP685" s="449"/>
      <c r="AQ685" s="392" t="str">
        <f>IFERROR(VLOOKUP(BG685,#REF!,1,0),"")</f>
        <v/>
      </c>
      <c r="AS685" s="259" t="s">
        <v>3228</v>
      </c>
      <c r="BD685" s="202" t="str">
        <f t="shared" si="101"/>
        <v>봉고3 특장1톤 냉동탑차 표준형 PLUS 킹캡 초장축 럭셔리 A/T</v>
      </c>
      <c r="BE685" s="261" t="str">
        <f t="shared" si="107"/>
        <v>0066</v>
      </c>
      <c r="BF685" s="407" t="s">
        <v>413</v>
      </c>
      <c r="BG685" s="202" t="str">
        <f t="shared" si="102"/>
        <v>0066-0684</v>
      </c>
    </row>
    <row r="686" spans="1:59">
      <c r="A686" s="405">
        <v>4460</v>
      </c>
      <c r="B686" s="406">
        <v>4460</v>
      </c>
      <c r="C686" s="261" t="str">
        <f t="shared" si="103"/>
        <v>0001-0066</v>
      </c>
      <c r="D686" s="261" t="str">
        <f t="shared" si="104"/>
        <v>0001-0066-0028</v>
      </c>
      <c r="E686" s="407" t="s">
        <v>412</v>
      </c>
      <c r="F686" s="261" t="str">
        <f>TEXT(VLOOKUP(J686,'[3]1'!$B$2:$D$37,2,0),"0000")</f>
        <v>0001</v>
      </c>
      <c r="G686" s="261" t="str">
        <f t="shared" si="105"/>
        <v>0066</v>
      </c>
      <c r="H686" s="408">
        <f t="shared" si="106"/>
        <v>28</v>
      </c>
      <c r="I686" s="407" t="s">
        <v>412</v>
      </c>
      <c r="J686" s="258" t="s">
        <v>828</v>
      </c>
      <c r="K686" s="258" t="s">
        <v>2720</v>
      </c>
      <c r="L686" s="258" t="s">
        <v>2284</v>
      </c>
      <c r="M686" s="409">
        <v>20560000</v>
      </c>
      <c r="N686" s="258">
        <v>2497</v>
      </c>
      <c r="O686" s="258" t="s">
        <v>78</v>
      </c>
      <c r="P686" s="258" t="s">
        <v>86</v>
      </c>
      <c r="Q686" s="258" t="s">
        <v>88</v>
      </c>
      <c r="R686" s="258">
        <v>5</v>
      </c>
      <c r="S686" s="410">
        <v>12</v>
      </c>
      <c r="T686" s="261">
        <v>6</v>
      </c>
      <c r="U686" s="261">
        <v>6</v>
      </c>
      <c r="V686" s="258" t="s">
        <v>71</v>
      </c>
      <c r="W686" s="261" t="str">
        <f t="shared" si="108"/>
        <v>기아자동차봉고3 특장1톤 냉동탑차 표준형 킹캡 초장축 럭셔리20560000</v>
      </c>
      <c r="X686" s="411">
        <f t="shared" si="109"/>
        <v>4460</v>
      </c>
      <c r="Y686" s="261">
        <v>6</v>
      </c>
      <c r="Z686" s="261">
        <v>6</v>
      </c>
      <c r="AA686" s="407" t="s">
        <v>412</v>
      </c>
      <c r="AB686" s="258" t="s">
        <v>73</v>
      </c>
      <c r="AC686" s="258"/>
      <c r="AD686" s="258" t="s">
        <v>2135</v>
      </c>
      <c r="AE686" s="258" t="s">
        <v>2129</v>
      </c>
      <c r="AF686" s="259"/>
      <c r="AG686" s="260"/>
      <c r="AH686" s="259"/>
      <c r="AI686" s="259"/>
      <c r="AJ686" s="260"/>
      <c r="AK686" s="259">
        <v>26</v>
      </c>
      <c r="AL686" s="259"/>
      <c r="AM686" s="259" t="s">
        <v>3228</v>
      </c>
      <c r="AN686" s="449"/>
      <c r="AO686" s="449"/>
      <c r="AP686" s="449"/>
      <c r="AQ686" s="392" t="str">
        <f>IFERROR(VLOOKUP(BG686,#REF!,1,0),"")</f>
        <v/>
      </c>
      <c r="AS686" s="259" t="s">
        <v>3228</v>
      </c>
      <c r="BD686" s="202" t="str">
        <f t="shared" si="101"/>
        <v>봉고3 특장1톤 냉동탑차 표준형 킹캡 초장축 럭셔리</v>
      </c>
      <c r="BE686" s="261" t="str">
        <f t="shared" si="107"/>
        <v>0066</v>
      </c>
      <c r="BF686" s="407" t="s">
        <v>412</v>
      </c>
      <c r="BG686" s="202" t="str">
        <f t="shared" si="102"/>
        <v>0066-0685</v>
      </c>
    </row>
    <row r="687" spans="1:59">
      <c r="A687" s="405">
        <v>4461</v>
      </c>
      <c r="B687" s="406">
        <v>4461</v>
      </c>
      <c r="C687" s="261" t="str">
        <f t="shared" si="103"/>
        <v>0001-0066</v>
      </c>
      <c r="D687" s="261" t="str">
        <f t="shared" si="104"/>
        <v>0001-0066-0029</v>
      </c>
      <c r="E687" s="407" t="s">
        <v>411</v>
      </c>
      <c r="F687" s="261" t="str">
        <f>TEXT(VLOOKUP(J687,'[3]1'!$B$2:$D$37,2,0),"0000")</f>
        <v>0001</v>
      </c>
      <c r="G687" s="261" t="str">
        <f t="shared" si="105"/>
        <v>0066</v>
      </c>
      <c r="H687" s="408">
        <f t="shared" si="106"/>
        <v>29</v>
      </c>
      <c r="I687" s="407" t="s">
        <v>411</v>
      </c>
      <c r="J687" s="258" t="s">
        <v>828</v>
      </c>
      <c r="K687" s="258" t="s">
        <v>2720</v>
      </c>
      <c r="L687" s="258" t="s">
        <v>2285</v>
      </c>
      <c r="M687" s="409">
        <v>21680000</v>
      </c>
      <c r="N687" s="258">
        <v>2497</v>
      </c>
      <c r="O687" s="258" t="s">
        <v>78</v>
      </c>
      <c r="P687" s="258" t="s">
        <v>86</v>
      </c>
      <c r="Q687" s="258" t="s">
        <v>72</v>
      </c>
      <c r="R687" s="258">
        <v>5</v>
      </c>
      <c r="S687" s="410">
        <v>12</v>
      </c>
      <c r="T687" s="261">
        <v>6</v>
      </c>
      <c r="U687" s="261">
        <v>6</v>
      </c>
      <c r="V687" s="258" t="s">
        <v>71</v>
      </c>
      <c r="W687" s="261" t="str">
        <f t="shared" si="108"/>
        <v>기아자동차봉고3 특장1톤 냉동탑차 표준형 킹캡 초장축 럭셔리 A/T21680000</v>
      </c>
      <c r="X687" s="411">
        <f t="shared" si="109"/>
        <v>4461</v>
      </c>
      <c r="Y687" s="261">
        <v>6</v>
      </c>
      <c r="Z687" s="261">
        <v>6</v>
      </c>
      <c r="AA687" s="407" t="s">
        <v>411</v>
      </c>
      <c r="AB687" s="258" t="s">
        <v>73</v>
      </c>
      <c r="AC687" s="258"/>
      <c r="AD687" s="258" t="s">
        <v>2135</v>
      </c>
      <c r="AE687" s="258" t="s">
        <v>2129</v>
      </c>
      <c r="AF687" s="259"/>
      <c r="AG687" s="260"/>
      <c r="AH687" s="259"/>
      <c r="AI687" s="259"/>
      <c r="AJ687" s="260"/>
      <c r="AK687" s="259">
        <v>26</v>
      </c>
      <c r="AL687" s="259"/>
      <c r="AM687" s="259" t="s">
        <v>3228</v>
      </c>
      <c r="AN687" s="449"/>
      <c r="AO687" s="449"/>
      <c r="AP687" s="449"/>
      <c r="AQ687" s="392" t="str">
        <f>IFERROR(VLOOKUP(BG687,#REF!,1,0),"")</f>
        <v/>
      </c>
      <c r="AS687" s="259" t="s">
        <v>3228</v>
      </c>
      <c r="BD687" s="202" t="str">
        <f t="shared" si="101"/>
        <v>봉고3 특장1톤 냉동탑차 표준형 킹캡 초장축 럭셔리 A/T</v>
      </c>
      <c r="BE687" s="261" t="str">
        <f t="shared" si="107"/>
        <v>0066</v>
      </c>
      <c r="BF687" s="407" t="s">
        <v>411</v>
      </c>
      <c r="BG687" s="202" t="str">
        <f t="shared" si="102"/>
        <v>0066-0686</v>
      </c>
    </row>
    <row r="688" spans="1:59">
      <c r="A688" s="405">
        <v>4462</v>
      </c>
      <c r="B688" s="406">
        <v>4462</v>
      </c>
      <c r="C688" s="261" t="str">
        <f t="shared" si="103"/>
        <v>0001-0066</v>
      </c>
      <c r="D688" s="261" t="str">
        <f t="shared" si="104"/>
        <v>0001-0066-0030</v>
      </c>
      <c r="E688" s="407" t="s">
        <v>410</v>
      </c>
      <c r="F688" s="261" t="str">
        <f>TEXT(VLOOKUP(J688,'[3]1'!$B$2:$D$37,2,0),"0000")</f>
        <v>0001</v>
      </c>
      <c r="G688" s="261" t="str">
        <f t="shared" si="105"/>
        <v>0066</v>
      </c>
      <c r="H688" s="408">
        <f t="shared" si="106"/>
        <v>30</v>
      </c>
      <c r="I688" s="407" t="s">
        <v>410</v>
      </c>
      <c r="J688" s="258" t="s">
        <v>828</v>
      </c>
      <c r="K688" s="258" t="s">
        <v>2720</v>
      </c>
      <c r="L688" s="258" t="s">
        <v>2286</v>
      </c>
      <c r="M688" s="409">
        <v>20460000</v>
      </c>
      <c r="N688" s="258">
        <v>2497</v>
      </c>
      <c r="O688" s="258" t="s">
        <v>78</v>
      </c>
      <c r="P688" s="258" t="s">
        <v>86</v>
      </c>
      <c r="Q688" s="258" t="s">
        <v>88</v>
      </c>
      <c r="R688" s="258">
        <v>5</v>
      </c>
      <c r="S688" s="410">
        <v>12</v>
      </c>
      <c r="T688" s="261">
        <v>6</v>
      </c>
      <c r="U688" s="261">
        <v>6</v>
      </c>
      <c r="V688" s="258" t="s">
        <v>71</v>
      </c>
      <c r="W688" s="261" t="str">
        <f t="shared" si="108"/>
        <v>기아자동차봉고3 특장1톤 냉동탑차 표준형 표준캡 초장축 럭셔리20460000</v>
      </c>
      <c r="X688" s="411">
        <f t="shared" si="109"/>
        <v>4462</v>
      </c>
      <c r="Y688" s="261">
        <v>6</v>
      </c>
      <c r="Z688" s="261">
        <v>6</v>
      </c>
      <c r="AA688" s="407" t="s">
        <v>410</v>
      </c>
      <c r="AB688" s="258" t="s">
        <v>73</v>
      </c>
      <c r="AC688" s="258"/>
      <c r="AD688" s="258" t="s">
        <v>2135</v>
      </c>
      <c r="AE688" s="258" t="s">
        <v>2129</v>
      </c>
      <c r="AF688" s="259"/>
      <c r="AG688" s="260"/>
      <c r="AH688" s="259"/>
      <c r="AI688" s="259"/>
      <c r="AJ688" s="260"/>
      <c r="AK688" s="259">
        <v>26</v>
      </c>
      <c r="AL688" s="259"/>
      <c r="AM688" s="259" t="s">
        <v>3228</v>
      </c>
      <c r="AN688" s="449"/>
      <c r="AO688" s="449"/>
      <c r="AP688" s="449"/>
      <c r="AQ688" s="392" t="str">
        <f>IFERROR(VLOOKUP(BG688,#REF!,1,0),"")</f>
        <v/>
      </c>
      <c r="AS688" s="259" t="s">
        <v>3228</v>
      </c>
      <c r="BD688" s="202" t="str">
        <f t="shared" si="101"/>
        <v>봉고3 특장1톤 냉동탑차 표준형 표준캡 초장축 럭셔리</v>
      </c>
      <c r="BE688" s="261" t="str">
        <f t="shared" si="107"/>
        <v>0066</v>
      </c>
      <c r="BF688" s="407" t="s">
        <v>410</v>
      </c>
      <c r="BG688" s="202" t="str">
        <f t="shared" si="102"/>
        <v>0066-0687</v>
      </c>
    </row>
    <row r="689" spans="1:59">
      <c r="A689" s="405">
        <v>4463</v>
      </c>
      <c r="B689" s="406">
        <v>4463</v>
      </c>
      <c r="C689" s="261" t="str">
        <f t="shared" si="103"/>
        <v>0001-0066</v>
      </c>
      <c r="D689" s="261" t="str">
        <f t="shared" si="104"/>
        <v>0001-0066-0031</v>
      </c>
      <c r="E689" s="407" t="s">
        <v>409</v>
      </c>
      <c r="F689" s="261" t="str">
        <f>TEXT(VLOOKUP(J689,'[3]1'!$B$2:$D$37,2,0),"0000")</f>
        <v>0001</v>
      </c>
      <c r="G689" s="261" t="str">
        <f t="shared" si="105"/>
        <v>0066</v>
      </c>
      <c r="H689" s="408">
        <f t="shared" si="106"/>
        <v>31</v>
      </c>
      <c r="I689" s="407" t="s">
        <v>409</v>
      </c>
      <c r="J689" s="258" t="s">
        <v>828</v>
      </c>
      <c r="K689" s="258" t="s">
        <v>2720</v>
      </c>
      <c r="L689" s="258" t="s">
        <v>2287</v>
      </c>
      <c r="M689" s="409">
        <v>20370000</v>
      </c>
      <c r="N689" s="258">
        <v>2497</v>
      </c>
      <c r="O689" s="258" t="s">
        <v>78</v>
      </c>
      <c r="P689" s="258" t="s">
        <v>86</v>
      </c>
      <c r="Q689" s="258" t="s">
        <v>88</v>
      </c>
      <c r="R689" s="258">
        <v>5</v>
      </c>
      <c r="S689" s="410">
        <v>12</v>
      </c>
      <c r="T689" s="261">
        <v>6</v>
      </c>
      <c r="U689" s="261">
        <v>6</v>
      </c>
      <c r="V689" s="258" t="s">
        <v>71</v>
      </c>
      <c r="W689" s="261" t="str">
        <f t="shared" si="108"/>
        <v>기아자동차봉고3 특장1톤 냉장탑차 표준형 PLUS 킹캡 초장축 럭셔리20370000</v>
      </c>
      <c r="X689" s="411">
        <f t="shared" si="109"/>
        <v>4463</v>
      </c>
      <c r="Y689" s="261">
        <v>6</v>
      </c>
      <c r="Z689" s="261">
        <v>6</v>
      </c>
      <c r="AA689" s="407" t="s">
        <v>409</v>
      </c>
      <c r="AB689" s="258" t="s">
        <v>73</v>
      </c>
      <c r="AC689" s="258"/>
      <c r="AD689" s="258" t="s">
        <v>2135</v>
      </c>
      <c r="AE689" s="258" t="s">
        <v>2129</v>
      </c>
      <c r="AF689" s="259"/>
      <c r="AG689" s="260"/>
      <c r="AH689" s="259"/>
      <c r="AI689" s="259"/>
      <c r="AJ689" s="260"/>
      <c r="AK689" s="259">
        <v>26</v>
      </c>
      <c r="AL689" s="259"/>
      <c r="AM689" s="259" t="s">
        <v>3228</v>
      </c>
      <c r="AN689" s="449"/>
      <c r="AO689" s="449"/>
      <c r="AP689" s="449"/>
      <c r="AQ689" s="392" t="str">
        <f>IFERROR(VLOOKUP(BG689,#REF!,1,0),"")</f>
        <v/>
      </c>
      <c r="AS689" s="259" t="s">
        <v>3228</v>
      </c>
      <c r="BD689" s="202" t="str">
        <f t="shared" si="101"/>
        <v>봉고3 특장1톤 냉장탑차 표준형 PLUS 킹캡 초장축 럭셔리</v>
      </c>
      <c r="BE689" s="261" t="str">
        <f t="shared" si="107"/>
        <v>0066</v>
      </c>
      <c r="BF689" s="407" t="s">
        <v>409</v>
      </c>
      <c r="BG689" s="202" t="str">
        <f t="shared" si="102"/>
        <v>0066-0688</v>
      </c>
    </row>
    <row r="690" spans="1:59">
      <c r="A690" s="405">
        <v>4464</v>
      </c>
      <c r="B690" s="406">
        <v>4464</v>
      </c>
      <c r="C690" s="261" t="str">
        <f t="shared" si="103"/>
        <v>0001-0066</v>
      </c>
      <c r="D690" s="261" t="str">
        <f t="shared" si="104"/>
        <v>0001-0066-0032</v>
      </c>
      <c r="E690" s="407" t="s">
        <v>408</v>
      </c>
      <c r="F690" s="261" t="str">
        <f>TEXT(VLOOKUP(J690,'[3]1'!$B$2:$D$37,2,0),"0000")</f>
        <v>0001</v>
      </c>
      <c r="G690" s="261" t="str">
        <f t="shared" si="105"/>
        <v>0066</v>
      </c>
      <c r="H690" s="408">
        <f t="shared" si="106"/>
        <v>32</v>
      </c>
      <c r="I690" s="407" t="s">
        <v>408</v>
      </c>
      <c r="J690" s="258" t="s">
        <v>828</v>
      </c>
      <c r="K690" s="258" t="s">
        <v>2720</v>
      </c>
      <c r="L690" s="258" t="s">
        <v>2288</v>
      </c>
      <c r="M690" s="409">
        <v>21490000</v>
      </c>
      <c r="N690" s="258">
        <v>2497</v>
      </c>
      <c r="O690" s="258" t="s">
        <v>78</v>
      </c>
      <c r="P690" s="258" t="s">
        <v>86</v>
      </c>
      <c r="Q690" s="258" t="s">
        <v>72</v>
      </c>
      <c r="R690" s="258">
        <v>5</v>
      </c>
      <c r="S690" s="410">
        <v>12</v>
      </c>
      <c r="T690" s="261">
        <v>6</v>
      </c>
      <c r="U690" s="261">
        <v>6</v>
      </c>
      <c r="V690" s="258" t="s">
        <v>71</v>
      </c>
      <c r="W690" s="261" t="str">
        <f t="shared" si="108"/>
        <v>기아자동차봉고3 특장1톤 냉장탑차 표준형 PLUS 킹캡 초장축 럭셔리 A/T21490000</v>
      </c>
      <c r="X690" s="411">
        <f t="shared" si="109"/>
        <v>4464</v>
      </c>
      <c r="Y690" s="261">
        <v>6</v>
      </c>
      <c r="Z690" s="261">
        <v>6</v>
      </c>
      <c r="AA690" s="407" t="s">
        <v>408</v>
      </c>
      <c r="AB690" s="258" t="s">
        <v>73</v>
      </c>
      <c r="AC690" s="258"/>
      <c r="AD690" s="258" t="s">
        <v>2135</v>
      </c>
      <c r="AE690" s="258" t="s">
        <v>2129</v>
      </c>
      <c r="AF690" s="259"/>
      <c r="AG690" s="260"/>
      <c r="AH690" s="259"/>
      <c r="AI690" s="259"/>
      <c r="AJ690" s="260"/>
      <c r="AK690" s="259">
        <v>26</v>
      </c>
      <c r="AL690" s="259"/>
      <c r="AM690" s="259" t="s">
        <v>3228</v>
      </c>
      <c r="AN690" s="449"/>
      <c r="AO690" s="449"/>
      <c r="AP690" s="449"/>
      <c r="AQ690" s="392" t="str">
        <f>IFERROR(VLOOKUP(BG690,#REF!,1,0),"")</f>
        <v/>
      </c>
      <c r="AS690" s="259" t="s">
        <v>3228</v>
      </c>
      <c r="BD690" s="202" t="str">
        <f t="shared" si="101"/>
        <v>봉고3 특장1톤 냉장탑차 표준형 PLUS 킹캡 초장축 럭셔리 A/T</v>
      </c>
      <c r="BE690" s="261" t="str">
        <f t="shared" si="107"/>
        <v>0066</v>
      </c>
      <c r="BF690" s="407" t="s">
        <v>408</v>
      </c>
      <c r="BG690" s="202" t="str">
        <f t="shared" si="102"/>
        <v>0066-0689</v>
      </c>
    </row>
    <row r="691" spans="1:59">
      <c r="A691" s="405">
        <v>4465</v>
      </c>
      <c r="B691" s="406">
        <v>4465</v>
      </c>
      <c r="C691" s="261" t="str">
        <f t="shared" si="103"/>
        <v>0001-0066</v>
      </c>
      <c r="D691" s="261" t="str">
        <f t="shared" si="104"/>
        <v>0001-0066-0033</v>
      </c>
      <c r="E691" s="407" t="s">
        <v>407</v>
      </c>
      <c r="F691" s="261" t="str">
        <f>TEXT(VLOOKUP(J691,'[3]1'!$B$2:$D$37,2,0),"0000")</f>
        <v>0001</v>
      </c>
      <c r="G691" s="261" t="str">
        <f t="shared" si="105"/>
        <v>0066</v>
      </c>
      <c r="H691" s="408">
        <f t="shared" si="106"/>
        <v>33</v>
      </c>
      <c r="I691" s="407" t="s">
        <v>407</v>
      </c>
      <c r="J691" s="258" t="s">
        <v>828</v>
      </c>
      <c r="K691" s="258" t="s">
        <v>2720</v>
      </c>
      <c r="L691" s="258" t="s">
        <v>2289</v>
      </c>
      <c r="M691" s="409">
        <v>21000000</v>
      </c>
      <c r="N691" s="258">
        <v>2497</v>
      </c>
      <c r="O691" s="258" t="s">
        <v>78</v>
      </c>
      <c r="P691" s="258" t="s">
        <v>86</v>
      </c>
      <c r="Q691" s="258" t="s">
        <v>72</v>
      </c>
      <c r="R691" s="258">
        <v>5</v>
      </c>
      <c r="S691" s="410">
        <v>12</v>
      </c>
      <c r="T691" s="261">
        <v>6</v>
      </c>
      <c r="U691" s="261">
        <v>6</v>
      </c>
      <c r="V691" s="258" t="s">
        <v>71</v>
      </c>
      <c r="W691" s="261" t="str">
        <f t="shared" si="108"/>
        <v>기아자동차봉고3 특장1톤 냉장탑차 표준형 킵캡 초장축 럭셔리 A/T21000000</v>
      </c>
      <c r="X691" s="411">
        <f t="shared" si="109"/>
        <v>4465</v>
      </c>
      <c r="Y691" s="261">
        <v>6</v>
      </c>
      <c r="Z691" s="261">
        <v>6</v>
      </c>
      <c r="AA691" s="407" t="s">
        <v>407</v>
      </c>
      <c r="AB691" s="258" t="s">
        <v>73</v>
      </c>
      <c r="AC691" s="258"/>
      <c r="AD691" s="258" t="s">
        <v>2135</v>
      </c>
      <c r="AE691" s="258" t="s">
        <v>2129</v>
      </c>
      <c r="AF691" s="259"/>
      <c r="AG691" s="260"/>
      <c r="AH691" s="259"/>
      <c r="AI691" s="259"/>
      <c r="AJ691" s="260"/>
      <c r="AK691" s="259">
        <v>26</v>
      </c>
      <c r="AL691" s="259"/>
      <c r="AM691" s="259" t="s">
        <v>3228</v>
      </c>
      <c r="AN691" s="449"/>
      <c r="AO691" s="449"/>
      <c r="AP691" s="449"/>
      <c r="AQ691" s="392" t="str">
        <f>IFERROR(VLOOKUP(BG691,#REF!,1,0),"")</f>
        <v/>
      </c>
      <c r="AS691" s="259" t="s">
        <v>3228</v>
      </c>
      <c r="BD691" s="202" t="str">
        <f t="shared" si="101"/>
        <v>봉고3 특장1톤 냉장탑차 표준형 킵캡 초장축 럭셔리 A/T</v>
      </c>
      <c r="BE691" s="261" t="str">
        <f t="shared" si="107"/>
        <v>0066</v>
      </c>
      <c r="BF691" s="407" t="s">
        <v>407</v>
      </c>
      <c r="BG691" s="202" t="str">
        <f t="shared" si="102"/>
        <v>0066-0690</v>
      </c>
    </row>
    <row r="692" spans="1:59">
      <c r="A692" s="405">
        <v>4466</v>
      </c>
      <c r="B692" s="406">
        <v>4466</v>
      </c>
      <c r="C692" s="261" t="str">
        <f t="shared" si="103"/>
        <v>0001-0066</v>
      </c>
      <c r="D692" s="261" t="str">
        <f t="shared" si="104"/>
        <v>0001-0066-0034</v>
      </c>
      <c r="E692" s="407" t="s">
        <v>2779</v>
      </c>
      <c r="F692" s="261" t="str">
        <f>TEXT(VLOOKUP(J692,'[3]1'!$B$2:$D$37,2,0),"0000")</f>
        <v>0001</v>
      </c>
      <c r="G692" s="261" t="str">
        <f t="shared" si="105"/>
        <v>0066</v>
      </c>
      <c r="H692" s="408">
        <f t="shared" si="106"/>
        <v>34</v>
      </c>
      <c r="I692" s="407" t="s">
        <v>2779</v>
      </c>
      <c r="J692" s="258" t="s">
        <v>828</v>
      </c>
      <c r="K692" s="258" t="s">
        <v>2720</v>
      </c>
      <c r="L692" s="258" t="s">
        <v>2290</v>
      </c>
      <c r="M692" s="409">
        <v>19880000</v>
      </c>
      <c r="N692" s="258">
        <v>2497</v>
      </c>
      <c r="O692" s="258" t="s">
        <v>78</v>
      </c>
      <c r="P692" s="258" t="s">
        <v>86</v>
      </c>
      <c r="Q692" s="258" t="s">
        <v>88</v>
      </c>
      <c r="R692" s="258" t="e">
        <v>#N/A</v>
      </c>
      <c r="S692" s="410">
        <v>12</v>
      </c>
      <c r="T692" s="261">
        <v>6</v>
      </c>
      <c r="U692" s="261">
        <v>6</v>
      </c>
      <c r="V692" s="258" t="s">
        <v>3993</v>
      </c>
      <c r="W692" s="261" t="str">
        <f t="shared" si="108"/>
        <v>기아자동차봉고3 특장1톤 냉장탑차 표준형 킹캡 초장축 럭셔리19880000</v>
      </c>
      <c r="X692" s="411">
        <f t="shared" si="109"/>
        <v>4466</v>
      </c>
      <c r="Y692" s="261">
        <v>6</v>
      </c>
      <c r="Z692" s="261">
        <v>6</v>
      </c>
      <c r="AA692" s="407" t="s">
        <v>2779</v>
      </c>
      <c r="AB692" s="258" t="e">
        <v>#N/A</v>
      </c>
      <c r="AC692" s="258"/>
      <c r="AD692" s="258" t="s">
        <v>2135</v>
      </c>
      <c r="AE692" s="258" t="s">
        <v>2129</v>
      </c>
      <c r="AF692" s="259"/>
      <c r="AG692" s="260"/>
      <c r="AH692" s="259"/>
      <c r="AI692" s="259"/>
      <c r="AJ692" s="260"/>
      <c r="AK692" s="259">
        <v>26</v>
      </c>
      <c r="AL692" s="259"/>
      <c r="AM692" s="259" t="s">
        <v>3228</v>
      </c>
      <c r="AN692" s="449"/>
      <c r="AO692" s="449"/>
      <c r="AP692" s="449"/>
      <c r="AQ692" s="392" t="str">
        <f>IFERROR(VLOOKUP(BG692,#REF!,1,0),"")</f>
        <v/>
      </c>
      <c r="AS692" s="259" t="s">
        <v>3228</v>
      </c>
      <c r="BD692" s="202" t="str">
        <f t="shared" si="101"/>
        <v>봉고3 특장1톤 냉장탑차 표준형 킹캡 초장축 럭셔리</v>
      </c>
      <c r="BE692" s="261" t="str">
        <f t="shared" si="107"/>
        <v>0066</v>
      </c>
      <c r="BF692" s="407" t="s">
        <v>2779</v>
      </c>
      <c r="BG692" s="202" t="str">
        <f t="shared" si="102"/>
        <v>0066-0691</v>
      </c>
    </row>
    <row r="693" spans="1:59">
      <c r="A693" s="405">
        <v>4467</v>
      </c>
      <c r="B693" s="406">
        <v>4467</v>
      </c>
      <c r="C693" s="261" t="str">
        <f t="shared" si="103"/>
        <v>0001-0066</v>
      </c>
      <c r="D693" s="261" t="str">
        <f t="shared" si="104"/>
        <v>0001-0066-0035</v>
      </c>
      <c r="E693" s="407" t="s">
        <v>406</v>
      </c>
      <c r="F693" s="261" t="str">
        <f>TEXT(VLOOKUP(J693,'[3]1'!$B$2:$D$37,2,0),"0000")</f>
        <v>0001</v>
      </c>
      <c r="G693" s="261" t="str">
        <f t="shared" si="105"/>
        <v>0066</v>
      </c>
      <c r="H693" s="408">
        <f t="shared" si="106"/>
        <v>35</v>
      </c>
      <c r="I693" s="407" t="s">
        <v>406</v>
      </c>
      <c r="J693" s="258" t="s">
        <v>828</v>
      </c>
      <c r="K693" s="258" t="s">
        <v>2720</v>
      </c>
      <c r="L693" s="258" t="s">
        <v>2291</v>
      </c>
      <c r="M693" s="409">
        <v>21380000</v>
      </c>
      <c r="N693" s="258">
        <v>2497</v>
      </c>
      <c r="O693" s="258" t="s">
        <v>78</v>
      </c>
      <c r="P693" s="258" t="s">
        <v>86</v>
      </c>
      <c r="Q693" s="258" t="s">
        <v>88</v>
      </c>
      <c r="R693" s="258">
        <v>5</v>
      </c>
      <c r="S693" s="410">
        <v>12</v>
      </c>
      <c r="T693" s="261">
        <v>6</v>
      </c>
      <c r="U693" s="261">
        <v>6</v>
      </c>
      <c r="V693" s="258" t="s">
        <v>71</v>
      </c>
      <c r="W693" s="261" t="str">
        <f t="shared" si="108"/>
        <v>기아자동차봉고3 특장1톤 덤프 4WD 일반덤프 표준캡 장축 럭셔리21380000</v>
      </c>
      <c r="X693" s="411">
        <f t="shared" si="109"/>
        <v>4467</v>
      </c>
      <c r="Y693" s="261">
        <v>6</v>
      </c>
      <c r="Z693" s="261">
        <v>6</v>
      </c>
      <c r="AA693" s="407" t="s">
        <v>406</v>
      </c>
      <c r="AB693" s="258" t="s">
        <v>73</v>
      </c>
      <c r="AC693" s="258"/>
      <c r="AD693" s="258" t="s">
        <v>2135</v>
      </c>
      <c r="AE693" s="258" t="s">
        <v>2129</v>
      </c>
      <c r="AF693" s="259"/>
      <c r="AG693" s="260"/>
      <c r="AH693" s="259"/>
      <c r="AI693" s="259"/>
      <c r="AJ693" s="260"/>
      <c r="AK693" s="259">
        <v>26</v>
      </c>
      <c r="AL693" s="259"/>
      <c r="AM693" s="259" t="s">
        <v>3228</v>
      </c>
      <c r="AN693" s="449"/>
      <c r="AO693" s="449"/>
      <c r="AP693" s="449"/>
      <c r="AQ693" s="392" t="str">
        <f>IFERROR(VLOOKUP(BG693,#REF!,1,0),"")</f>
        <v/>
      </c>
      <c r="AS693" s="259" t="s">
        <v>3228</v>
      </c>
      <c r="BD693" s="202" t="str">
        <f t="shared" si="101"/>
        <v>봉고3 특장1톤 덤프 4WD 일반덤프 표준캡 장축 럭셔리</v>
      </c>
      <c r="BE693" s="261" t="str">
        <f t="shared" si="107"/>
        <v>0066</v>
      </c>
      <c r="BF693" s="407" t="s">
        <v>406</v>
      </c>
      <c r="BG693" s="202" t="str">
        <f t="shared" si="102"/>
        <v>0066-0692</v>
      </c>
    </row>
    <row r="694" spans="1:59">
      <c r="A694" s="405">
        <v>4468</v>
      </c>
      <c r="B694" s="406">
        <v>4468</v>
      </c>
      <c r="C694" s="261" t="str">
        <f t="shared" si="103"/>
        <v>0001-0066</v>
      </c>
      <c r="D694" s="261" t="str">
        <f t="shared" si="104"/>
        <v>0001-0066-0036</v>
      </c>
      <c r="E694" s="407" t="s">
        <v>405</v>
      </c>
      <c r="F694" s="261" t="str">
        <f>TEXT(VLOOKUP(J694,'[3]1'!$B$2:$D$37,2,0),"0000")</f>
        <v>0001</v>
      </c>
      <c r="G694" s="261" t="str">
        <f t="shared" si="105"/>
        <v>0066</v>
      </c>
      <c r="H694" s="408">
        <f t="shared" si="106"/>
        <v>36</v>
      </c>
      <c r="I694" s="407" t="s">
        <v>405</v>
      </c>
      <c r="J694" s="258" t="s">
        <v>828</v>
      </c>
      <c r="K694" s="258" t="s">
        <v>2720</v>
      </c>
      <c r="L694" s="258" t="s">
        <v>2292</v>
      </c>
      <c r="M694" s="409">
        <v>22420000</v>
      </c>
      <c r="N694" s="258">
        <v>2497</v>
      </c>
      <c r="O694" s="258" t="s">
        <v>78</v>
      </c>
      <c r="P694" s="258" t="s">
        <v>86</v>
      </c>
      <c r="Q694" s="258" t="s">
        <v>88</v>
      </c>
      <c r="R694" s="258">
        <v>8</v>
      </c>
      <c r="S694" s="410">
        <v>12</v>
      </c>
      <c r="T694" s="261">
        <v>6</v>
      </c>
      <c r="U694" s="261">
        <v>6</v>
      </c>
      <c r="V694" s="258" t="s">
        <v>71</v>
      </c>
      <c r="W694" s="261" t="str">
        <f t="shared" si="108"/>
        <v>기아자동차봉고3 특장1톤 워크스루밴 킹캡 초장축 럭셔리22420000</v>
      </c>
      <c r="X694" s="411">
        <f t="shared" si="109"/>
        <v>4468</v>
      </c>
      <c r="Y694" s="261">
        <v>6</v>
      </c>
      <c r="Z694" s="261">
        <v>6</v>
      </c>
      <c r="AA694" s="407" t="s">
        <v>405</v>
      </c>
      <c r="AB694" s="258" t="s">
        <v>73</v>
      </c>
      <c r="AC694" s="258"/>
      <c r="AD694" s="258" t="s">
        <v>2135</v>
      </c>
      <c r="AE694" s="258" t="s">
        <v>2129</v>
      </c>
      <c r="AF694" s="259"/>
      <c r="AG694" s="260"/>
      <c r="AH694" s="259"/>
      <c r="AI694" s="259"/>
      <c r="AJ694" s="260"/>
      <c r="AK694" s="259">
        <v>26</v>
      </c>
      <c r="AL694" s="259"/>
      <c r="AM694" s="259" t="s">
        <v>3228</v>
      </c>
      <c r="AN694" s="449"/>
      <c r="AO694" s="449"/>
      <c r="AP694" s="449"/>
      <c r="AQ694" s="392" t="str">
        <f>IFERROR(VLOOKUP(BG694,#REF!,1,0),"")</f>
        <v/>
      </c>
      <c r="AS694" s="259" t="s">
        <v>3228</v>
      </c>
      <c r="BD694" s="202" t="str">
        <f t="shared" si="101"/>
        <v>봉고3 특장1톤 워크스루밴 킹캡 초장축 럭셔리</v>
      </c>
      <c r="BE694" s="261" t="str">
        <f t="shared" si="107"/>
        <v>0066</v>
      </c>
      <c r="BF694" s="407" t="s">
        <v>405</v>
      </c>
      <c r="BG694" s="202" t="str">
        <f t="shared" si="102"/>
        <v>0066-0693</v>
      </c>
    </row>
    <row r="695" spans="1:59">
      <c r="A695" s="405">
        <v>4469</v>
      </c>
      <c r="B695" s="406">
        <v>4469</v>
      </c>
      <c r="C695" s="261" t="str">
        <f t="shared" si="103"/>
        <v>0001-0066</v>
      </c>
      <c r="D695" s="261" t="str">
        <f t="shared" si="104"/>
        <v>0001-0066-0037</v>
      </c>
      <c r="E695" s="407" t="s">
        <v>404</v>
      </c>
      <c r="F695" s="261" t="str">
        <f>TEXT(VLOOKUP(J695,'[3]1'!$B$2:$D$37,2,0),"0000")</f>
        <v>0001</v>
      </c>
      <c r="G695" s="261" t="str">
        <f t="shared" si="105"/>
        <v>0066</v>
      </c>
      <c r="H695" s="408">
        <f t="shared" si="106"/>
        <v>37</v>
      </c>
      <c r="I695" s="407" t="s">
        <v>404</v>
      </c>
      <c r="J695" s="258" t="s">
        <v>828</v>
      </c>
      <c r="K695" s="258" t="s">
        <v>2720</v>
      </c>
      <c r="L695" s="258" t="s">
        <v>2293</v>
      </c>
      <c r="M695" s="409">
        <v>21430000</v>
      </c>
      <c r="N695" s="258">
        <v>2497</v>
      </c>
      <c r="O695" s="258" t="s">
        <v>78</v>
      </c>
      <c r="P695" s="258" t="s">
        <v>86</v>
      </c>
      <c r="Q695" s="258" t="s">
        <v>72</v>
      </c>
      <c r="R695" s="258" t="e">
        <v>#N/A</v>
      </c>
      <c r="S695" s="410">
        <v>12</v>
      </c>
      <c r="T695" s="261">
        <v>6</v>
      </c>
      <c r="U695" s="261">
        <v>6</v>
      </c>
      <c r="V695" s="258" t="s">
        <v>3993</v>
      </c>
      <c r="W695" s="261" t="str">
        <f t="shared" si="108"/>
        <v>기아자동차봉고3 특장1톤 워크스루밴 킹캡 초장축 럭셔리 A/T21430000</v>
      </c>
      <c r="X695" s="411">
        <f t="shared" si="109"/>
        <v>4469</v>
      </c>
      <c r="Y695" s="261">
        <v>6</v>
      </c>
      <c r="Z695" s="261">
        <v>6</v>
      </c>
      <c r="AA695" s="407" t="s">
        <v>404</v>
      </c>
      <c r="AB695" s="258" t="e">
        <v>#N/A</v>
      </c>
      <c r="AC695" s="258"/>
      <c r="AD695" s="258" t="s">
        <v>2135</v>
      </c>
      <c r="AE695" s="258" t="s">
        <v>2129</v>
      </c>
      <c r="AF695" s="259"/>
      <c r="AG695" s="260"/>
      <c r="AH695" s="259"/>
      <c r="AI695" s="259"/>
      <c r="AJ695" s="260"/>
      <c r="AK695" s="259">
        <v>26</v>
      </c>
      <c r="AL695" s="259"/>
      <c r="AM695" s="259" t="s">
        <v>3228</v>
      </c>
      <c r="AN695" s="449"/>
      <c r="AO695" s="449"/>
      <c r="AP695" s="449"/>
      <c r="AQ695" s="392" t="str">
        <f>IFERROR(VLOOKUP(BG695,#REF!,1,0),"")</f>
        <v/>
      </c>
      <c r="AS695" s="259" t="s">
        <v>3228</v>
      </c>
      <c r="BD695" s="202" t="str">
        <f t="shared" si="101"/>
        <v>봉고3 특장1톤 워크스루밴 킹캡 초장축 럭셔리 A/T</v>
      </c>
      <c r="BE695" s="261" t="str">
        <f t="shared" si="107"/>
        <v>0066</v>
      </c>
      <c r="BF695" s="407" t="s">
        <v>404</v>
      </c>
      <c r="BG695" s="202" t="str">
        <f t="shared" si="102"/>
        <v>0066-0694</v>
      </c>
    </row>
    <row r="696" spans="1:59">
      <c r="A696" s="405">
        <v>4470</v>
      </c>
      <c r="B696" s="406">
        <v>4470</v>
      </c>
      <c r="C696" s="261" t="str">
        <f t="shared" si="103"/>
        <v>0001-0066</v>
      </c>
      <c r="D696" s="261" t="str">
        <f t="shared" si="104"/>
        <v>0001-0066-0038</v>
      </c>
      <c r="E696" s="407" t="s">
        <v>403</v>
      </c>
      <c r="F696" s="261" t="str">
        <f>TEXT(VLOOKUP(J696,'[3]1'!$B$2:$D$37,2,0),"0000")</f>
        <v>0001</v>
      </c>
      <c r="G696" s="261" t="str">
        <f t="shared" si="105"/>
        <v>0066</v>
      </c>
      <c r="H696" s="408">
        <f t="shared" si="106"/>
        <v>38</v>
      </c>
      <c r="I696" s="407" t="s">
        <v>403</v>
      </c>
      <c r="J696" s="258" t="s">
        <v>828</v>
      </c>
      <c r="K696" s="258" t="s">
        <v>2720</v>
      </c>
      <c r="L696" s="258" t="s">
        <v>2294</v>
      </c>
      <c r="M696" s="409">
        <v>18570000</v>
      </c>
      <c r="N696" s="258">
        <v>2497</v>
      </c>
      <c r="O696" s="258" t="s">
        <v>78</v>
      </c>
      <c r="P696" s="258" t="s">
        <v>86</v>
      </c>
      <c r="Q696" s="258" t="s">
        <v>88</v>
      </c>
      <c r="R696" s="258" t="e">
        <v>#N/A</v>
      </c>
      <c r="S696" s="410">
        <v>12</v>
      </c>
      <c r="T696" s="261">
        <v>6</v>
      </c>
      <c r="U696" s="261">
        <v>6</v>
      </c>
      <c r="V696" s="258" t="s">
        <v>3993</v>
      </c>
      <c r="W696" s="261" t="str">
        <f t="shared" si="108"/>
        <v>기아자동차봉고3 특장1톤 윙바디 수동식 킹캡 초장축 디럭스18570000</v>
      </c>
      <c r="X696" s="411">
        <f t="shared" si="109"/>
        <v>4470</v>
      </c>
      <c r="Y696" s="261">
        <v>6</v>
      </c>
      <c r="Z696" s="261">
        <v>6</v>
      </c>
      <c r="AA696" s="407" t="s">
        <v>403</v>
      </c>
      <c r="AB696" s="258" t="e">
        <v>#N/A</v>
      </c>
      <c r="AC696" s="258"/>
      <c r="AD696" s="258" t="s">
        <v>2135</v>
      </c>
      <c r="AE696" s="258" t="s">
        <v>2129</v>
      </c>
      <c r="AF696" s="259"/>
      <c r="AG696" s="260"/>
      <c r="AH696" s="259"/>
      <c r="AI696" s="259"/>
      <c r="AJ696" s="260"/>
      <c r="AK696" s="259">
        <v>26</v>
      </c>
      <c r="AL696" s="259"/>
      <c r="AM696" s="259" t="s">
        <v>3228</v>
      </c>
      <c r="AN696" s="449"/>
      <c r="AO696" s="449"/>
      <c r="AP696" s="449"/>
      <c r="AQ696" s="392" t="str">
        <f>IFERROR(VLOOKUP(BG696,#REF!,1,0),"")</f>
        <v/>
      </c>
      <c r="AS696" s="259" t="s">
        <v>3228</v>
      </c>
      <c r="BD696" s="202" t="str">
        <f t="shared" si="101"/>
        <v>봉고3 특장1톤 윙바디 수동식 킹캡 초장축 디럭스</v>
      </c>
      <c r="BE696" s="261" t="str">
        <f t="shared" si="107"/>
        <v>0066</v>
      </c>
      <c r="BF696" s="407" t="s">
        <v>403</v>
      </c>
      <c r="BG696" s="202" t="str">
        <f t="shared" si="102"/>
        <v>0066-0695</v>
      </c>
    </row>
    <row r="697" spans="1:59">
      <c r="A697" s="405">
        <v>4471</v>
      </c>
      <c r="B697" s="406">
        <v>4471</v>
      </c>
      <c r="C697" s="261" t="str">
        <f t="shared" si="103"/>
        <v>0001-0066</v>
      </c>
      <c r="D697" s="261" t="str">
        <f t="shared" si="104"/>
        <v>0001-0066-0039</v>
      </c>
      <c r="E697" s="407" t="s">
        <v>402</v>
      </c>
      <c r="F697" s="261" t="str">
        <f>TEXT(VLOOKUP(J697,'[3]1'!$B$2:$D$37,2,0),"0000")</f>
        <v>0001</v>
      </c>
      <c r="G697" s="261" t="str">
        <f t="shared" si="105"/>
        <v>0066</v>
      </c>
      <c r="H697" s="408">
        <f t="shared" si="106"/>
        <v>39</v>
      </c>
      <c r="I697" s="407" t="s">
        <v>402</v>
      </c>
      <c r="J697" s="258" t="s">
        <v>828</v>
      </c>
      <c r="K697" s="258" t="s">
        <v>2720</v>
      </c>
      <c r="L697" s="258" t="s">
        <v>2295</v>
      </c>
      <c r="M697" s="409">
        <v>21210000</v>
      </c>
      <c r="N697" s="258">
        <v>2497</v>
      </c>
      <c r="O697" s="258" t="s">
        <v>78</v>
      </c>
      <c r="P697" s="258" t="s">
        <v>86</v>
      </c>
      <c r="Q697" s="258" t="s">
        <v>72</v>
      </c>
      <c r="R697" s="258" t="e">
        <v>#N/A</v>
      </c>
      <c r="S697" s="410">
        <v>12</v>
      </c>
      <c r="T697" s="261">
        <v>6</v>
      </c>
      <c r="U697" s="261">
        <v>6</v>
      </c>
      <c r="V697" s="258" t="s">
        <v>3993</v>
      </c>
      <c r="W697" s="261" t="str">
        <f t="shared" si="108"/>
        <v>기아자동차봉고3 특장1톤 윙바디 전동식 킹캡 초장축 럭셔리 A/T21210000</v>
      </c>
      <c r="X697" s="411">
        <f t="shared" si="109"/>
        <v>4471</v>
      </c>
      <c r="Y697" s="261">
        <v>6</v>
      </c>
      <c r="Z697" s="261">
        <v>6</v>
      </c>
      <c r="AA697" s="407" t="s">
        <v>402</v>
      </c>
      <c r="AB697" s="258" t="e">
        <v>#N/A</v>
      </c>
      <c r="AC697" s="258"/>
      <c r="AD697" s="258" t="s">
        <v>2135</v>
      </c>
      <c r="AE697" s="258" t="s">
        <v>2129</v>
      </c>
      <c r="AF697" s="259"/>
      <c r="AG697" s="260"/>
      <c r="AH697" s="259"/>
      <c r="AI697" s="259"/>
      <c r="AJ697" s="260"/>
      <c r="AK697" s="259">
        <v>26</v>
      </c>
      <c r="AL697" s="259"/>
      <c r="AM697" s="259" t="s">
        <v>3228</v>
      </c>
      <c r="AN697" s="449"/>
      <c r="AO697" s="449"/>
      <c r="AP697" s="449"/>
      <c r="AQ697" s="392" t="str">
        <f>IFERROR(VLOOKUP(BG697,#REF!,1,0),"")</f>
        <v/>
      </c>
      <c r="AS697" s="259" t="s">
        <v>3228</v>
      </c>
      <c r="BD697" s="202" t="str">
        <f t="shared" si="101"/>
        <v>봉고3 특장1톤 윙바디 전동식 킹캡 초장축 럭셔리 A/T</v>
      </c>
      <c r="BE697" s="261" t="str">
        <f t="shared" si="107"/>
        <v>0066</v>
      </c>
      <c r="BF697" s="407" t="s">
        <v>402</v>
      </c>
      <c r="BG697" s="202" t="str">
        <f t="shared" si="102"/>
        <v>0066-0696</v>
      </c>
    </row>
    <row r="698" spans="1:59">
      <c r="A698" s="405">
        <v>4472</v>
      </c>
      <c r="B698" s="406">
        <v>4472</v>
      </c>
      <c r="C698" s="261" t="str">
        <f t="shared" si="103"/>
        <v>0001-0066</v>
      </c>
      <c r="D698" s="261" t="str">
        <f t="shared" si="104"/>
        <v>0001-0066-0040</v>
      </c>
      <c r="E698" s="407" t="s">
        <v>401</v>
      </c>
      <c r="F698" s="261" t="str">
        <f>TEXT(VLOOKUP(J698,'[3]1'!$B$2:$D$37,2,0),"0000")</f>
        <v>0001</v>
      </c>
      <c r="G698" s="261" t="str">
        <f t="shared" si="105"/>
        <v>0066</v>
      </c>
      <c r="H698" s="408">
        <f t="shared" si="106"/>
        <v>40</v>
      </c>
      <c r="I698" s="407" t="s">
        <v>401</v>
      </c>
      <c r="J698" s="258" t="s">
        <v>828</v>
      </c>
      <c r="K698" s="258" t="s">
        <v>2720</v>
      </c>
      <c r="L698" s="258" t="s">
        <v>2296</v>
      </c>
      <c r="M698" s="409">
        <v>18360000</v>
      </c>
      <c r="N698" s="258">
        <v>2497</v>
      </c>
      <c r="O698" s="258" t="s">
        <v>78</v>
      </c>
      <c r="P698" s="258" t="s">
        <v>86</v>
      </c>
      <c r="Q698" s="258" t="s">
        <v>88</v>
      </c>
      <c r="R698" s="258" t="e">
        <v>#N/A</v>
      </c>
      <c r="S698" s="410">
        <v>12</v>
      </c>
      <c r="T698" s="261">
        <v>6</v>
      </c>
      <c r="U698" s="261">
        <v>6</v>
      </c>
      <c r="V698" s="258" t="s">
        <v>3993</v>
      </c>
      <c r="W698" s="261" t="str">
        <f t="shared" si="108"/>
        <v>기아자동차봉고3 특장1톤 파워게이트 1단 킹캡 초장축 럭셔리18360000</v>
      </c>
      <c r="X698" s="411">
        <f t="shared" si="109"/>
        <v>4472</v>
      </c>
      <c r="Y698" s="261">
        <v>6</v>
      </c>
      <c r="Z698" s="261">
        <v>6</v>
      </c>
      <c r="AA698" s="407" t="s">
        <v>401</v>
      </c>
      <c r="AB698" s="258" t="e">
        <v>#N/A</v>
      </c>
      <c r="AC698" s="258"/>
      <c r="AD698" s="258" t="s">
        <v>2135</v>
      </c>
      <c r="AE698" s="258" t="s">
        <v>2129</v>
      </c>
      <c r="AF698" s="259"/>
      <c r="AG698" s="260"/>
      <c r="AH698" s="259"/>
      <c r="AI698" s="259"/>
      <c r="AJ698" s="260"/>
      <c r="AK698" s="259">
        <v>26</v>
      </c>
      <c r="AL698" s="259"/>
      <c r="AM698" s="259" t="s">
        <v>3228</v>
      </c>
      <c r="AN698" s="449"/>
      <c r="AO698" s="449"/>
      <c r="AP698" s="449"/>
      <c r="AQ698" s="392" t="str">
        <f>IFERROR(VLOOKUP(BG698,#REF!,1,0),"")</f>
        <v/>
      </c>
      <c r="AS698" s="259" t="s">
        <v>3228</v>
      </c>
      <c r="BD698" s="202" t="str">
        <f t="shared" si="101"/>
        <v>봉고3 특장1톤 파워게이트 1단 킹캡 초장축 럭셔리</v>
      </c>
      <c r="BE698" s="261" t="str">
        <f t="shared" si="107"/>
        <v>0066</v>
      </c>
      <c r="BF698" s="407" t="s">
        <v>401</v>
      </c>
      <c r="BG698" s="202" t="str">
        <f t="shared" si="102"/>
        <v>0066-0697</v>
      </c>
    </row>
    <row r="699" spans="1:59">
      <c r="A699" s="405">
        <v>4473</v>
      </c>
      <c r="B699" s="406">
        <v>4473</v>
      </c>
      <c r="C699" s="261" t="str">
        <f t="shared" si="103"/>
        <v>0001-0066</v>
      </c>
      <c r="D699" s="261" t="str">
        <f t="shared" si="104"/>
        <v>0001-0066-0041</v>
      </c>
      <c r="E699" s="407" t="s">
        <v>400</v>
      </c>
      <c r="F699" s="261" t="str">
        <f>TEXT(VLOOKUP(J699,'[3]1'!$B$2:$D$37,2,0),"0000")</f>
        <v>0001</v>
      </c>
      <c r="G699" s="261" t="str">
        <f t="shared" si="105"/>
        <v>0066</v>
      </c>
      <c r="H699" s="408">
        <f t="shared" si="106"/>
        <v>41</v>
      </c>
      <c r="I699" s="407" t="s">
        <v>400</v>
      </c>
      <c r="J699" s="258" t="s">
        <v>828</v>
      </c>
      <c r="K699" s="258" t="s">
        <v>2720</v>
      </c>
      <c r="L699" s="258" t="s">
        <v>2297</v>
      </c>
      <c r="M699" s="409">
        <v>18360000</v>
      </c>
      <c r="N699" s="258">
        <v>2497</v>
      </c>
      <c r="O699" s="258" t="s">
        <v>78</v>
      </c>
      <c r="P699" s="258" t="s">
        <v>86</v>
      </c>
      <c r="Q699" s="258" t="s">
        <v>88</v>
      </c>
      <c r="R699" s="258" t="e">
        <v>#N/A</v>
      </c>
      <c r="S699" s="410">
        <v>12</v>
      </c>
      <c r="T699" s="261">
        <v>6</v>
      </c>
      <c r="U699" s="261">
        <v>6</v>
      </c>
      <c r="V699" s="258" t="s">
        <v>3993</v>
      </c>
      <c r="W699" s="261" t="str">
        <f t="shared" si="108"/>
        <v>기아자동차봉고3 특장1톤 파워게이트 2단 킹캡 초장축 럭셔리18360000</v>
      </c>
      <c r="X699" s="411">
        <f t="shared" si="109"/>
        <v>4473</v>
      </c>
      <c r="Y699" s="261">
        <v>6</v>
      </c>
      <c r="Z699" s="261">
        <v>6</v>
      </c>
      <c r="AA699" s="407" t="s">
        <v>400</v>
      </c>
      <c r="AB699" s="258" t="e">
        <v>#N/A</v>
      </c>
      <c r="AC699" s="258"/>
      <c r="AD699" s="258" t="s">
        <v>2135</v>
      </c>
      <c r="AE699" s="258" t="s">
        <v>2129</v>
      </c>
      <c r="AF699" s="259"/>
      <c r="AG699" s="260"/>
      <c r="AH699" s="259"/>
      <c r="AI699" s="259"/>
      <c r="AJ699" s="260"/>
      <c r="AK699" s="259">
        <v>26</v>
      </c>
      <c r="AL699" s="259"/>
      <c r="AM699" s="259" t="s">
        <v>3228</v>
      </c>
      <c r="AN699" s="449"/>
      <c r="AO699" s="449"/>
      <c r="AP699" s="449"/>
      <c r="AQ699" s="392" t="str">
        <f>IFERROR(VLOOKUP(BG699,#REF!,1,0),"")</f>
        <v/>
      </c>
      <c r="AS699" s="259" t="s">
        <v>3228</v>
      </c>
      <c r="BD699" s="202" t="str">
        <f t="shared" si="101"/>
        <v>봉고3 특장1톤 파워게이트 2단 킹캡 초장축 럭셔리</v>
      </c>
      <c r="BE699" s="261" t="str">
        <f t="shared" si="107"/>
        <v>0066</v>
      </c>
      <c r="BF699" s="407" t="s">
        <v>400</v>
      </c>
      <c r="BG699" s="202" t="str">
        <f t="shared" si="102"/>
        <v>0066-0698</v>
      </c>
    </row>
    <row r="700" spans="1:59">
      <c r="A700" s="405">
        <v>4474</v>
      </c>
      <c r="B700" s="406">
        <v>4474</v>
      </c>
      <c r="C700" s="261" t="str">
        <f t="shared" si="103"/>
        <v>0001-0066</v>
      </c>
      <c r="D700" s="261" t="str">
        <f t="shared" si="104"/>
        <v>0001-0066-0042</v>
      </c>
      <c r="E700" s="407" t="s">
        <v>399</v>
      </c>
      <c r="F700" s="261" t="str">
        <f>TEXT(VLOOKUP(J700,'[3]1'!$B$2:$D$37,2,0),"0000")</f>
        <v>0001</v>
      </c>
      <c r="G700" s="261" t="str">
        <f t="shared" si="105"/>
        <v>0066</v>
      </c>
      <c r="H700" s="408">
        <f t="shared" si="106"/>
        <v>42</v>
      </c>
      <c r="I700" s="407" t="s">
        <v>399</v>
      </c>
      <c r="J700" s="258" t="s">
        <v>828</v>
      </c>
      <c r="K700" s="258" t="s">
        <v>2720</v>
      </c>
      <c r="L700" s="258" t="s">
        <v>2298</v>
      </c>
      <c r="M700" s="409">
        <v>20990000</v>
      </c>
      <c r="N700" s="258">
        <v>2497</v>
      </c>
      <c r="O700" s="258" t="s">
        <v>78</v>
      </c>
      <c r="P700" s="258" t="s">
        <v>86</v>
      </c>
      <c r="Q700" s="258" t="s">
        <v>88</v>
      </c>
      <c r="R700" s="258">
        <v>4</v>
      </c>
      <c r="S700" s="410">
        <v>12</v>
      </c>
      <c r="T700" s="261">
        <v>6</v>
      </c>
      <c r="U700" s="261">
        <v>6</v>
      </c>
      <c r="V700" s="258" t="s">
        <v>71</v>
      </c>
      <c r="W700" s="261" t="str">
        <f t="shared" si="108"/>
        <v>기아자동차봉고3 특장1톤 파워케이트 1단 킹캡 초장축 프레스티지 M/T20990000</v>
      </c>
      <c r="X700" s="411">
        <f t="shared" si="109"/>
        <v>4474</v>
      </c>
      <c r="Y700" s="261">
        <v>6</v>
      </c>
      <c r="Z700" s="261">
        <v>6</v>
      </c>
      <c r="AA700" s="407" t="s">
        <v>399</v>
      </c>
      <c r="AB700" s="258" t="s">
        <v>73</v>
      </c>
      <c r="AC700" s="258"/>
      <c r="AD700" s="258" t="s">
        <v>2135</v>
      </c>
      <c r="AE700" s="258" t="s">
        <v>2129</v>
      </c>
      <c r="AF700" s="259"/>
      <c r="AG700" s="260"/>
      <c r="AH700" s="259"/>
      <c r="AI700" s="259"/>
      <c r="AJ700" s="260"/>
      <c r="AK700" s="259">
        <v>26</v>
      </c>
      <c r="AL700" s="259"/>
      <c r="AM700" s="259" t="s">
        <v>3228</v>
      </c>
      <c r="AN700" s="449"/>
      <c r="AO700" s="449"/>
      <c r="AP700" s="449"/>
      <c r="AQ700" s="392" t="str">
        <f>IFERROR(VLOOKUP(BG700,#REF!,1,0),"")</f>
        <v/>
      </c>
      <c r="AS700" s="259" t="s">
        <v>3228</v>
      </c>
      <c r="BD700" s="202" t="str">
        <f t="shared" si="101"/>
        <v>봉고3 특장1톤 파워케이트 1단 킹캡 초장축 프레스티지 M/T</v>
      </c>
      <c r="BE700" s="261" t="str">
        <f t="shared" si="107"/>
        <v>0066</v>
      </c>
      <c r="BF700" s="407" t="s">
        <v>399</v>
      </c>
      <c r="BG700" s="202" t="str">
        <f t="shared" si="102"/>
        <v>0066-0699</v>
      </c>
    </row>
    <row r="701" spans="1:59">
      <c r="A701" s="405">
        <v>4475</v>
      </c>
      <c r="B701" s="406">
        <v>4475</v>
      </c>
      <c r="C701" s="261" t="str">
        <f t="shared" si="103"/>
        <v>0001-0066</v>
      </c>
      <c r="D701" s="261" t="str">
        <f t="shared" si="104"/>
        <v>0001-0066-0043</v>
      </c>
      <c r="E701" s="407" t="s">
        <v>398</v>
      </c>
      <c r="F701" s="261" t="str">
        <f>TEXT(VLOOKUP(J701,'[3]1'!$B$2:$D$37,2,0),"0000")</f>
        <v>0001</v>
      </c>
      <c r="G701" s="261" t="str">
        <f t="shared" si="105"/>
        <v>0066</v>
      </c>
      <c r="H701" s="408">
        <f t="shared" si="106"/>
        <v>43</v>
      </c>
      <c r="I701" s="407" t="s">
        <v>398</v>
      </c>
      <c r="J701" s="258" t="s">
        <v>828</v>
      </c>
      <c r="K701" s="258" t="s">
        <v>2720</v>
      </c>
      <c r="L701" s="258" t="s">
        <v>2299</v>
      </c>
      <c r="M701" s="409">
        <v>30470000</v>
      </c>
      <c r="N701" s="258">
        <v>2497</v>
      </c>
      <c r="O701" s="258" t="s">
        <v>78</v>
      </c>
      <c r="P701" s="258" t="s">
        <v>86</v>
      </c>
      <c r="Q701" s="258" t="s">
        <v>88</v>
      </c>
      <c r="R701" s="258" t="e">
        <v>#N/A</v>
      </c>
      <c r="S701" s="410">
        <v>12</v>
      </c>
      <c r="T701" s="261">
        <v>6</v>
      </c>
      <c r="U701" s="261">
        <v>6</v>
      </c>
      <c r="V701" s="258" t="s">
        <v>3993</v>
      </c>
      <c r="W701" s="261" t="str">
        <f t="shared" si="108"/>
        <v>기아자동차봉고3 특장1톤 홈로리 2WD 킹캡 장축 프레스티지30470000</v>
      </c>
      <c r="X701" s="411">
        <f t="shared" si="109"/>
        <v>4475</v>
      </c>
      <c r="Y701" s="261">
        <v>6</v>
      </c>
      <c r="Z701" s="261">
        <v>6</v>
      </c>
      <c r="AA701" s="407" t="s">
        <v>398</v>
      </c>
      <c r="AB701" s="258" t="e">
        <v>#N/A</v>
      </c>
      <c r="AC701" s="258"/>
      <c r="AD701" s="258" t="s">
        <v>2135</v>
      </c>
      <c r="AE701" s="258" t="s">
        <v>2129</v>
      </c>
      <c r="AF701" s="259"/>
      <c r="AG701" s="260"/>
      <c r="AH701" s="259"/>
      <c r="AI701" s="259"/>
      <c r="AJ701" s="260"/>
      <c r="AK701" s="259">
        <v>26</v>
      </c>
      <c r="AL701" s="259"/>
      <c r="AM701" s="259" t="s">
        <v>3228</v>
      </c>
      <c r="AN701" s="449"/>
      <c r="AO701" s="449"/>
      <c r="AP701" s="449"/>
      <c r="AQ701" s="392" t="str">
        <f>IFERROR(VLOOKUP(BG701,#REF!,1,0),"")</f>
        <v/>
      </c>
      <c r="AS701" s="259" t="s">
        <v>3228</v>
      </c>
      <c r="BD701" s="202" t="str">
        <f t="shared" si="101"/>
        <v>봉고3 특장1톤 홈로리 2WD 킹캡 장축 프레스티지</v>
      </c>
      <c r="BE701" s="261" t="str">
        <f t="shared" si="107"/>
        <v>0066</v>
      </c>
      <c r="BF701" s="407" t="s">
        <v>398</v>
      </c>
      <c r="BG701" s="202" t="str">
        <f t="shared" si="102"/>
        <v>0066-0700</v>
      </c>
    </row>
    <row r="702" spans="1:59">
      <c r="A702" s="405">
        <v>4476</v>
      </c>
      <c r="B702" s="406">
        <v>4476</v>
      </c>
      <c r="C702" s="261" t="str">
        <f t="shared" si="103"/>
        <v>0001-0066</v>
      </c>
      <c r="D702" s="261" t="str">
        <f t="shared" si="104"/>
        <v>0001-0066-0044</v>
      </c>
      <c r="E702" s="407" t="s">
        <v>397</v>
      </c>
      <c r="F702" s="261" t="str">
        <f>TEXT(VLOOKUP(J702,'[3]1'!$B$2:$D$37,2,0),"0000")</f>
        <v>0001</v>
      </c>
      <c r="G702" s="261" t="str">
        <f t="shared" si="105"/>
        <v>0066</v>
      </c>
      <c r="H702" s="408">
        <f t="shared" si="106"/>
        <v>44</v>
      </c>
      <c r="I702" s="407" t="s">
        <v>397</v>
      </c>
      <c r="J702" s="258" t="s">
        <v>828</v>
      </c>
      <c r="K702" s="258" t="s">
        <v>2720</v>
      </c>
      <c r="L702" s="258" t="s">
        <v>2300</v>
      </c>
      <c r="M702" s="409">
        <v>20030000</v>
      </c>
      <c r="N702" s="258">
        <v>2497</v>
      </c>
      <c r="O702" s="258" t="s">
        <v>78</v>
      </c>
      <c r="P702" s="258" t="s">
        <v>86</v>
      </c>
      <c r="Q702" s="258" t="s">
        <v>72</v>
      </c>
      <c r="R702" s="258" t="e">
        <v>#N/A</v>
      </c>
      <c r="S702" s="410">
        <v>12</v>
      </c>
      <c r="T702" s="261">
        <v>6</v>
      </c>
      <c r="U702" s="261">
        <v>6</v>
      </c>
      <c r="V702" s="258" t="s">
        <v>3993</v>
      </c>
      <c r="W702" s="261" t="str">
        <f t="shared" si="108"/>
        <v>기아자동차봉고3 특장1톤 활어수송차 킹캡 초장축 럭셔리 A/T20030000</v>
      </c>
      <c r="X702" s="411">
        <f t="shared" si="109"/>
        <v>4476</v>
      </c>
      <c r="Y702" s="261">
        <v>6</v>
      </c>
      <c r="Z702" s="261">
        <v>6</v>
      </c>
      <c r="AA702" s="407" t="s">
        <v>397</v>
      </c>
      <c r="AB702" s="258" t="e">
        <v>#N/A</v>
      </c>
      <c r="AC702" s="258"/>
      <c r="AD702" s="258" t="s">
        <v>2135</v>
      </c>
      <c r="AE702" s="258" t="s">
        <v>2129</v>
      </c>
      <c r="AF702" s="259"/>
      <c r="AG702" s="260"/>
      <c r="AH702" s="259"/>
      <c r="AI702" s="259"/>
      <c r="AJ702" s="260"/>
      <c r="AK702" s="259">
        <v>26</v>
      </c>
      <c r="AL702" s="259"/>
      <c r="AM702" s="259" t="s">
        <v>3228</v>
      </c>
      <c r="AN702" s="449"/>
      <c r="AO702" s="449"/>
      <c r="AP702" s="449"/>
      <c r="AQ702" s="392" t="str">
        <f>IFERROR(VLOOKUP(BG702,#REF!,1,0),"")</f>
        <v/>
      </c>
      <c r="AS702" s="259" t="s">
        <v>3228</v>
      </c>
      <c r="BD702" s="202" t="str">
        <f t="shared" si="101"/>
        <v>봉고3 특장1톤 활어수송차 킹캡 초장축 럭셔리 A/T</v>
      </c>
      <c r="BE702" s="261" t="str">
        <f t="shared" si="107"/>
        <v>0066</v>
      </c>
      <c r="BF702" s="407" t="s">
        <v>397</v>
      </c>
      <c r="BG702" s="202" t="str">
        <f t="shared" si="102"/>
        <v>0066-0701</v>
      </c>
    </row>
    <row r="703" spans="1:59">
      <c r="A703" s="405">
        <v>4477</v>
      </c>
      <c r="B703" s="406">
        <v>4477</v>
      </c>
      <c r="C703" s="261" t="str">
        <f t="shared" si="103"/>
        <v>0001-0066</v>
      </c>
      <c r="D703" s="261" t="str">
        <f t="shared" si="104"/>
        <v>0001-0066-0045</v>
      </c>
      <c r="E703" s="407" t="s">
        <v>396</v>
      </c>
      <c r="F703" s="261" t="str">
        <f>TEXT(VLOOKUP(J703,'[3]1'!$B$2:$D$37,2,0),"0000")</f>
        <v>0001</v>
      </c>
      <c r="G703" s="261" t="str">
        <f t="shared" si="105"/>
        <v>0066</v>
      </c>
      <c r="H703" s="408">
        <f t="shared" si="106"/>
        <v>45</v>
      </c>
      <c r="I703" s="407" t="s">
        <v>396</v>
      </c>
      <c r="J703" s="258" t="s">
        <v>828</v>
      </c>
      <c r="K703" s="258" t="s">
        <v>2720</v>
      </c>
      <c r="L703" s="258" t="s">
        <v>2301</v>
      </c>
      <c r="M703" s="409">
        <v>19220000</v>
      </c>
      <c r="N703" s="258">
        <v>2497</v>
      </c>
      <c r="O703" s="258" t="s">
        <v>78</v>
      </c>
      <c r="P703" s="258" t="s">
        <v>86</v>
      </c>
      <c r="Q703" s="258" t="s">
        <v>72</v>
      </c>
      <c r="R703" s="258" t="e">
        <v>#N/A</v>
      </c>
      <c r="S703" s="410">
        <v>12</v>
      </c>
      <c r="T703" s="261">
        <v>6</v>
      </c>
      <c r="U703" s="261">
        <v>6</v>
      </c>
      <c r="V703" s="258" t="s">
        <v>3993</v>
      </c>
      <c r="W703" s="261" t="str">
        <f t="shared" si="108"/>
        <v>기아자동차봉고3 특장봉고3 1톤 2WD 베이스 내장탑차 플러스형 킹캡 초장축 디럭스A/T19220000</v>
      </c>
      <c r="X703" s="411">
        <f t="shared" si="109"/>
        <v>4477</v>
      </c>
      <c r="Y703" s="261">
        <v>6</v>
      </c>
      <c r="Z703" s="261">
        <v>6</v>
      </c>
      <c r="AA703" s="407" t="s">
        <v>396</v>
      </c>
      <c r="AB703" s="258" t="e">
        <v>#N/A</v>
      </c>
      <c r="AC703" s="258"/>
      <c r="AD703" s="258" t="s">
        <v>2131</v>
      </c>
      <c r="AE703" s="258" t="s">
        <v>2129</v>
      </c>
      <c r="AF703" s="259"/>
      <c r="AG703" s="260"/>
      <c r="AH703" s="259"/>
      <c r="AI703" s="259"/>
      <c r="AJ703" s="260"/>
      <c r="AK703" s="259">
        <v>26</v>
      </c>
      <c r="AL703" s="259"/>
      <c r="AM703" s="259" t="s">
        <v>3228</v>
      </c>
      <c r="AN703" s="449"/>
      <c r="AO703" s="449"/>
      <c r="AP703" s="449"/>
      <c r="AQ703" s="392" t="str">
        <f>IFERROR(VLOOKUP(BG703,#REF!,1,0),"")</f>
        <v/>
      </c>
      <c r="AS703" s="259" t="s">
        <v>3228</v>
      </c>
      <c r="BD703" s="202" t="str">
        <f t="shared" si="101"/>
        <v>봉고3 특장봉고3 1톤 2WD 베이스 내장탑차 플러스형 킹캡 초장축 디럭스A/T</v>
      </c>
      <c r="BE703" s="261" t="str">
        <f t="shared" si="107"/>
        <v>0066</v>
      </c>
      <c r="BF703" s="407" t="s">
        <v>396</v>
      </c>
      <c r="BG703" s="202" t="str">
        <f t="shared" si="102"/>
        <v>0066-0702</v>
      </c>
    </row>
    <row r="704" spans="1:59">
      <c r="A704" s="405">
        <v>4478</v>
      </c>
      <c r="B704" s="406">
        <v>4478</v>
      </c>
      <c r="C704" s="261" t="str">
        <f t="shared" si="103"/>
        <v>0001-0066</v>
      </c>
      <c r="D704" s="261" t="str">
        <f t="shared" si="104"/>
        <v>0001-0066-0046</v>
      </c>
      <c r="E704" s="407" t="s">
        <v>395</v>
      </c>
      <c r="F704" s="261" t="str">
        <f>TEXT(VLOOKUP(J704,'[3]1'!$B$2:$D$37,2,0),"0000")</f>
        <v>0001</v>
      </c>
      <c r="G704" s="261" t="str">
        <f t="shared" si="105"/>
        <v>0066</v>
      </c>
      <c r="H704" s="408">
        <f t="shared" si="106"/>
        <v>46</v>
      </c>
      <c r="I704" s="407" t="s">
        <v>395</v>
      </c>
      <c r="J704" s="258" t="s">
        <v>828</v>
      </c>
      <c r="K704" s="258" t="s">
        <v>2720</v>
      </c>
      <c r="L704" s="258" t="s">
        <v>2302</v>
      </c>
      <c r="M704" s="409">
        <v>21530000</v>
      </c>
      <c r="N704" s="258">
        <v>2497</v>
      </c>
      <c r="O704" s="258" t="s">
        <v>78</v>
      </c>
      <c r="P704" s="258" t="s">
        <v>86</v>
      </c>
      <c r="Q704" s="258" t="s">
        <v>72</v>
      </c>
      <c r="R704" s="258" t="e">
        <v>#N/A</v>
      </c>
      <c r="S704" s="410">
        <v>12</v>
      </c>
      <c r="T704" s="261">
        <v>6</v>
      </c>
      <c r="U704" s="261">
        <v>6</v>
      </c>
      <c r="V704" s="258" t="s">
        <v>3993</v>
      </c>
      <c r="W704" s="261" t="str">
        <f t="shared" si="108"/>
        <v>기아자동차봉고3 특장봉고3 1톤 4WD 일반덤프 킹캡 장축 럭셔리 M/T21530000</v>
      </c>
      <c r="X704" s="411">
        <f t="shared" si="109"/>
        <v>4478</v>
      </c>
      <c r="Y704" s="261">
        <v>6</v>
      </c>
      <c r="Z704" s="261">
        <v>6</v>
      </c>
      <c r="AA704" s="407" t="s">
        <v>395</v>
      </c>
      <c r="AB704" s="258" t="e">
        <v>#N/A</v>
      </c>
      <c r="AC704" s="258"/>
      <c r="AD704" s="258" t="s">
        <v>2135</v>
      </c>
      <c r="AE704" s="258" t="s">
        <v>2129</v>
      </c>
      <c r="AF704" s="259"/>
      <c r="AG704" s="260"/>
      <c r="AH704" s="259"/>
      <c r="AI704" s="259"/>
      <c r="AJ704" s="260"/>
      <c r="AK704" s="259">
        <v>26</v>
      </c>
      <c r="AL704" s="259"/>
      <c r="AM704" s="259" t="s">
        <v>3228</v>
      </c>
      <c r="AN704" s="449"/>
      <c r="AO704" s="449"/>
      <c r="AP704" s="449"/>
      <c r="AQ704" s="392" t="str">
        <f>IFERROR(VLOOKUP(BG704,#REF!,1,0),"")</f>
        <v/>
      </c>
      <c r="AS704" s="259" t="s">
        <v>3228</v>
      </c>
      <c r="BD704" s="202" t="str">
        <f t="shared" si="101"/>
        <v>봉고3 특장봉고3 1톤 4WD 일반덤프 킹캡 장축 럭셔리 M/T</v>
      </c>
      <c r="BE704" s="261" t="str">
        <f t="shared" si="107"/>
        <v>0066</v>
      </c>
      <c r="BF704" s="407" t="s">
        <v>395</v>
      </c>
      <c r="BG704" s="202" t="str">
        <f t="shared" si="102"/>
        <v>0066-0703</v>
      </c>
    </row>
    <row r="705" spans="1:59">
      <c r="A705" s="405">
        <v>4479</v>
      </c>
      <c r="B705" s="406">
        <v>4479</v>
      </c>
      <c r="C705" s="261" t="str">
        <f t="shared" si="103"/>
        <v>0001-0066</v>
      </c>
      <c r="D705" s="261" t="str">
        <f t="shared" si="104"/>
        <v>0001-0066-0047</v>
      </c>
      <c r="E705" s="407" t="s">
        <v>394</v>
      </c>
      <c r="F705" s="261" t="str">
        <f>TEXT(VLOOKUP(J705,'[3]1'!$B$2:$D$37,2,0),"0000")</f>
        <v>0001</v>
      </c>
      <c r="G705" s="261" t="str">
        <f t="shared" si="105"/>
        <v>0066</v>
      </c>
      <c r="H705" s="408">
        <f t="shared" si="106"/>
        <v>47</v>
      </c>
      <c r="I705" s="407" t="s">
        <v>394</v>
      </c>
      <c r="J705" s="413" t="s">
        <v>828</v>
      </c>
      <c r="K705" s="258" t="s">
        <v>2720</v>
      </c>
      <c r="L705" s="258" t="s">
        <v>2303</v>
      </c>
      <c r="M705" s="409">
        <v>24530000</v>
      </c>
      <c r="N705" s="258">
        <v>2497</v>
      </c>
      <c r="O705" s="258" t="s">
        <v>78</v>
      </c>
      <c r="P705" s="258" t="s">
        <v>86</v>
      </c>
      <c r="Q705" s="258" t="s">
        <v>72</v>
      </c>
      <c r="R705" s="258">
        <v>5</v>
      </c>
      <c r="S705" s="410">
        <v>12</v>
      </c>
      <c r="T705" s="261">
        <v>6</v>
      </c>
      <c r="U705" s="261">
        <v>6</v>
      </c>
      <c r="V705" s="258" t="s">
        <v>71</v>
      </c>
      <c r="W705" s="261" t="str">
        <f t="shared" si="108"/>
        <v>기아자동차봉고3 특장1톤 내장탑차 플러스형 킹캡 초장축 L24530000</v>
      </c>
      <c r="X705" s="411">
        <f t="shared" si="109"/>
        <v>4479</v>
      </c>
      <c r="Y705" s="261">
        <v>6</v>
      </c>
      <c r="Z705" s="261">
        <v>6</v>
      </c>
      <c r="AA705" s="407" t="s">
        <v>394</v>
      </c>
      <c r="AB705" s="258" t="s">
        <v>73</v>
      </c>
      <c r="AC705" s="258"/>
      <c r="AD705" s="258" t="s">
        <v>2135</v>
      </c>
      <c r="AE705" s="258" t="s">
        <v>2129</v>
      </c>
      <c r="AF705" s="259"/>
      <c r="AG705" s="260"/>
      <c r="AH705" s="259"/>
      <c r="AI705" s="259"/>
      <c r="AJ705" s="260"/>
      <c r="AK705" s="259">
        <v>26</v>
      </c>
      <c r="AL705" s="259"/>
      <c r="AM705" s="259" t="s">
        <v>3228</v>
      </c>
      <c r="AN705" s="449"/>
      <c r="AO705" s="449"/>
      <c r="AP705" s="449"/>
      <c r="AQ705" s="392" t="str">
        <f>IFERROR(VLOOKUP(BG705,#REF!,1,0),"")</f>
        <v/>
      </c>
      <c r="AS705" s="259" t="s">
        <v>3228</v>
      </c>
      <c r="BD705" s="202" t="str">
        <f t="shared" si="101"/>
        <v>봉고3 특장1톤 내장탑차 플러스형 킹캡 초장축 L</v>
      </c>
      <c r="BE705" s="261" t="str">
        <f t="shared" si="107"/>
        <v>0066</v>
      </c>
      <c r="BF705" s="407" t="s">
        <v>394</v>
      </c>
      <c r="BG705" s="202" t="str">
        <f t="shared" si="102"/>
        <v>0066-0704</v>
      </c>
    </row>
    <row r="706" spans="1:59">
      <c r="A706" s="405">
        <v>4480</v>
      </c>
      <c r="B706" s="406">
        <v>4480</v>
      </c>
      <c r="C706" s="261" t="str">
        <f t="shared" si="103"/>
        <v>0001-0066</v>
      </c>
      <c r="D706" s="261" t="str">
        <f t="shared" si="104"/>
        <v>0001-0066-0048</v>
      </c>
      <c r="E706" s="407" t="s">
        <v>393</v>
      </c>
      <c r="F706" s="261" t="str">
        <f>TEXT(VLOOKUP(J706,'[3]1'!$B$2:$D$37,2,0),"0000")</f>
        <v>0001</v>
      </c>
      <c r="G706" s="261" t="str">
        <f t="shared" si="105"/>
        <v>0066</v>
      </c>
      <c r="H706" s="408">
        <f t="shared" si="106"/>
        <v>48</v>
      </c>
      <c r="I706" s="407" t="s">
        <v>393</v>
      </c>
      <c r="J706" s="413" t="s">
        <v>828</v>
      </c>
      <c r="K706" s="258" t="s">
        <v>2720</v>
      </c>
      <c r="L706" s="258" t="s">
        <v>2304</v>
      </c>
      <c r="M706" s="409">
        <v>26890000</v>
      </c>
      <c r="N706" s="258">
        <v>2497</v>
      </c>
      <c r="O706" s="258" t="s">
        <v>78</v>
      </c>
      <c r="P706" s="258" t="s">
        <v>86</v>
      </c>
      <c r="Q706" s="258" t="s">
        <v>88</v>
      </c>
      <c r="R706" s="258">
        <v>6</v>
      </c>
      <c r="S706" s="410">
        <v>12</v>
      </c>
      <c r="T706" s="261">
        <v>6</v>
      </c>
      <c r="U706" s="261">
        <v>6</v>
      </c>
      <c r="V706" s="258" t="s">
        <v>71</v>
      </c>
      <c r="W706" s="261" t="str">
        <f t="shared" si="108"/>
        <v>기아자동차봉고3 특장1.2톤 윙바디 전동식 표준캡 초장축 GL (M/T)26890000</v>
      </c>
      <c r="X706" s="411">
        <f t="shared" si="109"/>
        <v>4480</v>
      </c>
      <c r="Y706" s="261">
        <v>6</v>
      </c>
      <c r="Z706" s="261">
        <v>6</v>
      </c>
      <c r="AA706" s="407" t="s">
        <v>393</v>
      </c>
      <c r="AB706" s="258" t="e">
        <v>#N/A</v>
      </c>
      <c r="AC706" s="258"/>
      <c r="AD706" s="258" t="s">
        <v>2135</v>
      </c>
      <c r="AE706" s="258" t="s">
        <v>2129</v>
      </c>
      <c r="AF706" s="259"/>
      <c r="AG706" s="260"/>
      <c r="AH706" s="259"/>
      <c r="AI706" s="259"/>
      <c r="AJ706" s="260"/>
      <c r="AK706" s="259">
        <v>26</v>
      </c>
      <c r="AL706" s="259"/>
      <c r="AM706" s="259" t="s">
        <v>3228</v>
      </c>
      <c r="AN706" s="449"/>
      <c r="AO706" s="449"/>
      <c r="AP706" s="449"/>
      <c r="AQ706" s="392" t="str">
        <f>IFERROR(VLOOKUP(BG706,#REF!,1,0),"")</f>
        <v/>
      </c>
      <c r="AS706" s="259" t="s">
        <v>3228</v>
      </c>
      <c r="BD706" s="202" t="str">
        <f t="shared" si="101"/>
        <v>봉고3 특장1.2톤 윙바디 전동식 표준캡 초장축 GL (M/T)</v>
      </c>
      <c r="BE706" s="261" t="str">
        <f t="shared" si="107"/>
        <v>0066</v>
      </c>
      <c r="BF706" s="407" t="s">
        <v>393</v>
      </c>
      <c r="BG706" s="202" t="str">
        <f t="shared" si="102"/>
        <v>0066-0705</v>
      </c>
    </row>
    <row r="707" spans="1:59">
      <c r="A707" s="405">
        <v>4481</v>
      </c>
      <c r="B707" s="406">
        <v>4481</v>
      </c>
      <c r="C707" s="261" t="str">
        <f t="shared" si="103"/>
        <v>0001-0066</v>
      </c>
      <c r="D707" s="261" t="str">
        <f t="shared" si="104"/>
        <v>0001-0066-0049</v>
      </c>
      <c r="E707" s="407" t="s">
        <v>392</v>
      </c>
      <c r="F707" s="261" t="str">
        <f>TEXT(VLOOKUP(J707,'[3]1'!$B$2:$D$37,2,0),"0000")</f>
        <v>0001</v>
      </c>
      <c r="G707" s="261" t="str">
        <f t="shared" si="105"/>
        <v>0066</v>
      </c>
      <c r="H707" s="408">
        <f t="shared" si="106"/>
        <v>49</v>
      </c>
      <c r="I707" s="407" t="s">
        <v>392</v>
      </c>
      <c r="J707" s="413" t="s">
        <v>828</v>
      </c>
      <c r="K707" s="258" t="s">
        <v>2720</v>
      </c>
      <c r="L707" s="258" t="s">
        <v>2305</v>
      </c>
      <c r="M707" s="409">
        <v>24480000</v>
      </c>
      <c r="N707" s="258">
        <v>2497</v>
      </c>
      <c r="O707" s="258" t="s">
        <v>78</v>
      </c>
      <c r="P707" s="258" t="s">
        <v>86</v>
      </c>
      <c r="Q707" s="258" t="s">
        <v>88</v>
      </c>
      <c r="R707" s="258">
        <v>6</v>
      </c>
      <c r="S707" s="410">
        <v>12</v>
      </c>
      <c r="T707" s="261">
        <v>6</v>
      </c>
      <c r="U707" s="261">
        <v>6</v>
      </c>
      <c r="V707" s="258" t="s">
        <v>71</v>
      </c>
      <c r="W707" s="261" t="str">
        <f t="shared" si="108"/>
        <v>기아자동차봉고3 특장1톤 덤프 장축 킹캡 4WD 3WAY형 킹캡 장축 GL24480000</v>
      </c>
      <c r="X707" s="411">
        <f t="shared" si="109"/>
        <v>4481</v>
      </c>
      <c r="Y707" s="261">
        <v>6</v>
      </c>
      <c r="Z707" s="261">
        <v>6</v>
      </c>
      <c r="AA707" s="407" t="s">
        <v>392</v>
      </c>
      <c r="AB707" s="258" t="e">
        <v>#N/A</v>
      </c>
      <c r="AC707" s="258"/>
      <c r="AD707" s="258" t="s">
        <v>2135</v>
      </c>
      <c r="AE707" s="258" t="s">
        <v>2129</v>
      </c>
      <c r="AF707" s="259"/>
      <c r="AG707" s="260"/>
      <c r="AH707" s="259"/>
      <c r="AI707" s="259"/>
      <c r="AJ707" s="260"/>
      <c r="AK707" s="259">
        <v>26</v>
      </c>
      <c r="AL707" s="259"/>
      <c r="AM707" s="259" t="s">
        <v>3228</v>
      </c>
      <c r="AN707" s="449"/>
      <c r="AO707" s="449"/>
      <c r="AP707" s="449"/>
      <c r="AQ707" s="392" t="str">
        <f>IFERROR(VLOOKUP(BG707,#REF!,1,0),"")</f>
        <v/>
      </c>
      <c r="AS707" s="259" t="s">
        <v>3228</v>
      </c>
      <c r="BD707" s="202" t="str">
        <f t="shared" si="101"/>
        <v>봉고3 특장1톤 덤프 장축 킹캡 4WD 3WAY형 킹캡 장축 GL</v>
      </c>
      <c r="BE707" s="261" t="str">
        <f t="shared" si="107"/>
        <v>0066</v>
      </c>
      <c r="BF707" s="407" t="s">
        <v>392</v>
      </c>
      <c r="BG707" s="202" t="str">
        <f t="shared" si="102"/>
        <v>0066-0706</v>
      </c>
    </row>
    <row r="708" spans="1:59">
      <c r="A708" s="405">
        <v>4482</v>
      </c>
      <c r="B708" s="406">
        <v>4482</v>
      </c>
      <c r="C708" s="261" t="str">
        <f t="shared" si="103"/>
        <v>0001-0066</v>
      </c>
      <c r="D708" s="261" t="str">
        <f t="shared" si="104"/>
        <v>0001-0066-0050</v>
      </c>
      <c r="E708" s="407" t="s">
        <v>391</v>
      </c>
      <c r="F708" s="261" t="str">
        <f>TEXT(VLOOKUP(J708,'[3]1'!$B$2:$D$37,2,0),"0000")</f>
        <v>0001</v>
      </c>
      <c r="G708" s="261" t="str">
        <f t="shared" si="105"/>
        <v>0066</v>
      </c>
      <c r="H708" s="408">
        <f t="shared" si="106"/>
        <v>50</v>
      </c>
      <c r="I708" s="407" t="s">
        <v>391</v>
      </c>
      <c r="J708" s="413" t="s">
        <v>828</v>
      </c>
      <c r="K708" s="258" t="s">
        <v>2720</v>
      </c>
      <c r="L708" s="258" t="s">
        <v>2306</v>
      </c>
      <c r="M708" s="409">
        <v>26950000</v>
      </c>
      <c r="N708" s="258">
        <v>2497</v>
      </c>
      <c r="O708" s="258" t="s">
        <v>78</v>
      </c>
      <c r="P708" s="258" t="s">
        <v>86</v>
      </c>
      <c r="Q708" s="258" t="s">
        <v>72</v>
      </c>
      <c r="R708" s="258">
        <v>6</v>
      </c>
      <c r="S708" s="410">
        <v>12</v>
      </c>
      <c r="T708" s="261">
        <v>6</v>
      </c>
      <c r="U708" s="261">
        <v>6</v>
      </c>
      <c r="V708" s="258" t="s">
        <v>71</v>
      </c>
      <c r="W708" s="261" t="str">
        <f t="shared" si="108"/>
        <v>기아자동차봉고3 특장봉고3 1톤 냉동탑 초장축 킹캡 디젤 GL 2WD26950000</v>
      </c>
      <c r="X708" s="411">
        <f t="shared" si="109"/>
        <v>4482</v>
      </c>
      <c r="Y708" s="261">
        <v>6</v>
      </c>
      <c r="Z708" s="261">
        <v>6</v>
      </c>
      <c r="AA708" s="407" t="s">
        <v>391</v>
      </c>
      <c r="AB708" s="258" t="e">
        <v>#N/A</v>
      </c>
      <c r="AC708" s="258"/>
      <c r="AD708" s="258" t="s">
        <v>2134</v>
      </c>
      <c r="AE708" s="258" t="s">
        <v>2129</v>
      </c>
      <c r="AF708" s="259"/>
      <c r="AG708" s="260"/>
      <c r="AH708" s="259"/>
      <c r="AI708" s="259"/>
      <c r="AJ708" s="260"/>
      <c r="AK708" s="259">
        <v>26</v>
      </c>
      <c r="AL708" s="259"/>
      <c r="AM708" s="259" t="s">
        <v>3228</v>
      </c>
      <c r="AN708" s="449"/>
      <c r="AO708" s="449"/>
      <c r="AP708" s="449"/>
      <c r="AQ708" s="392" t="str">
        <f>IFERROR(VLOOKUP(BG708,#REF!,1,0),"")</f>
        <v/>
      </c>
      <c r="AS708" s="259" t="s">
        <v>3228</v>
      </c>
      <c r="BD708" s="202" t="str">
        <f t="shared" si="101"/>
        <v>봉고3 특장봉고3 1톤 냉동탑 초장축 킹캡 디젤 GL 2WD</v>
      </c>
      <c r="BE708" s="261" t="str">
        <f t="shared" si="107"/>
        <v>0066</v>
      </c>
      <c r="BF708" s="407" t="s">
        <v>391</v>
      </c>
      <c r="BG708" s="202" t="str">
        <f t="shared" si="102"/>
        <v>0066-0707</v>
      </c>
    </row>
    <row r="709" spans="1:59">
      <c r="A709" s="405">
        <v>4483</v>
      </c>
      <c r="B709" s="406">
        <v>4483</v>
      </c>
      <c r="C709" s="261" t="str">
        <f t="shared" si="103"/>
        <v>0001-0066</v>
      </c>
      <c r="D709" s="261" t="str">
        <f t="shared" si="104"/>
        <v>0001-0066-0051</v>
      </c>
      <c r="E709" s="407" t="s">
        <v>390</v>
      </c>
      <c r="F709" s="261" t="str">
        <f>TEXT(VLOOKUP(J709,'[3]1'!$B$2:$D$37,2,0),"0000")</f>
        <v>0001</v>
      </c>
      <c r="G709" s="261" t="str">
        <f t="shared" si="105"/>
        <v>0066</v>
      </c>
      <c r="H709" s="408">
        <f t="shared" si="106"/>
        <v>51</v>
      </c>
      <c r="I709" s="407" t="s">
        <v>390</v>
      </c>
      <c r="J709" s="413" t="s">
        <v>828</v>
      </c>
      <c r="K709" s="258" t="s">
        <v>2720</v>
      </c>
      <c r="L709" s="258" t="s">
        <v>2307</v>
      </c>
      <c r="M709" s="409">
        <v>20400000</v>
      </c>
      <c r="N709" s="258">
        <v>2497</v>
      </c>
      <c r="O709" s="258" t="s">
        <v>78</v>
      </c>
      <c r="P709" s="258" t="s">
        <v>86</v>
      </c>
      <c r="Q709" s="258" t="s">
        <v>72</v>
      </c>
      <c r="R709" s="258">
        <v>6</v>
      </c>
      <c r="S709" s="410">
        <v>12</v>
      </c>
      <c r="T709" s="261">
        <v>6</v>
      </c>
      <c r="U709" s="261">
        <v>6</v>
      </c>
      <c r="V709" s="258" t="s">
        <v>71</v>
      </c>
      <c r="W709" s="261" t="str">
        <f t="shared" si="108"/>
        <v>기아자동차봉고3 특장1톤 내장탑차 표준형 킹캡 초장축 L 2WD A/T20400000</v>
      </c>
      <c r="X709" s="411">
        <f t="shared" si="109"/>
        <v>4483</v>
      </c>
      <c r="Y709" s="261">
        <v>6</v>
      </c>
      <c r="Z709" s="261">
        <v>6</v>
      </c>
      <c r="AA709" s="407" t="s">
        <v>390</v>
      </c>
      <c r="AB709" s="258" t="e">
        <v>#N/A</v>
      </c>
      <c r="AC709" s="258"/>
      <c r="AD709" s="258" t="s">
        <v>2135</v>
      </c>
      <c r="AE709" s="258" t="s">
        <v>2129</v>
      </c>
      <c r="AF709" s="259"/>
      <c r="AG709" s="260"/>
      <c r="AH709" s="259"/>
      <c r="AI709" s="259"/>
      <c r="AJ709" s="260"/>
      <c r="AK709" s="259">
        <v>26</v>
      </c>
      <c r="AL709" s="259"/>
      <c r="AM709" s="259" t="s">
        <v>3228</v>
      </c>
      <c r="AN709" s="449"/>
      <c r="AO709" s="449"/>
      <c r="AP709" s="449"/>
      <c r="AQ709" s="392" t="str">
        <f>IFERROR(VLOOKUP(BG709,#REF!,1,0),"")</f>
        <v/>
      </c>
      <c r="AS709" s="259" t="s">
        <v>3228</v>
      </c>
      <c r="BD709" s="202" t="str">
        <f t="shared" ref="BD709:BD772" si="110">K709&amp;L709</f>
        <v>봉고3 특장1톤 내장탑차 표준형 킹캡 초장축 L 2WD A/T</v>
      </c>
      <c r="BE709" s="261" t="str">
        <f t="shared" si="107"/>
        <v>0066</v>
      </c>
      <c r="BF709" s="407" t="s">
        <v>390</v>
      </c>
      <c r="BG709" s="202" t="str">
        <f t="shared" ref="BG709:BG772" si="111">BE709&amp;"-"&amp;BF709</f>
        <v>0066-0708</v>
      </c>
    </row>
    <row r="710" spans="1:59">
      <c r="A710" s="405">
        <v>4484</v>
      </c>
      <c r="B710" s="406">
        <v>4484</v>
      </c>
      <c r="C710" s="261" t="str">
        <f t="shared" ref="C710:C773" si="112">TEXT(F710,"0000")&amp;"-"&amp;TEXT(G710,"0000")</f>
        <v>0001-0066</v>
      </c>
      <c r="D710" s="261" t="str">
        <f t="shared" ref="D710:D773" si="113">TEXT(F710,"0000")&amp;"-"&amp;TEXT(G710,"0000")&amp;"-"&amp;TEXT(H710,"0000")</f>
        <v>0001-0066-0052</v>
      </c>
      <c r="E710" s="407" t="s">
        <v>389</v>
      </c>
      <c r="F710" s="261" t="str">
        <f>TEXT(VLOOKUP(J710,'[3]1'!$B$2:$D$37,2,0),"0000")</f>
        <v>0001</v>
      </c>
      <c r="G710" s="261" t="str">
        <f t="shared" ref="G710:G773" si="114">IF(K710=K709,TEXT(G709,"0000"),TEXT(G709+1,"0000"))</f>
        <v>0066</v>
      </c>
      <c r="H710" s="408">
        <f t="shared" ref="H710:H773" si="115">IF(F710&amp;G710=F709&amp;G709,H709+1,1)</f>
        <v>52</v>
      </c>
      <c r="I710" s="407" t="s">
        <v>389</v>
      </c>
      <c r="J710" s="413" t="s">
        <v>828</v>
      </c>
      <c r="K710" s="258" t="s">
        <v>2720</v>
      </c>
      <c r="L710" s="258" t="s">
        <v>2308</v>
      </c>
      <c r="M710" s="409">
        <v>23380000</v>
      </c>
      <c r="N710" s="258">
        <v>2497</v>
      </c>
      <c r="O710" s="258" t="s">
        <v>78</v>
      </c>
      <c r="P710" s="258" t="s">
        <v>86</v>
      </c>
      <c r="Q710" s="258" t="s">
        <v>88</v>
      </c>
      <c r="R710" s="258">
        <v>6</v>
      </c>
      <c r="S710" s="410">
        <v>12</v>
      </c>
      <c r="T710" s="261">
        <v>6</v>
      </c>
      <c r="U710" s="261">
        <v>6</v>
      </c>
      <c r="V710" s="258" t="s">
        <v>71</v>
      </c>
      <c r="W710" s="261" t="str">
        <f t="shared" si="108"/>
        <v>기아자동차봉고3 특장1톤 일반덤프 장축 킹캡 4WD 일반형 GL23380000</v>
      </c>
      <c r="X710" s="411">
        <f t="shared" si="109"/>
        <v>4484</v>
      </c>
      <c r="Y710" s="261">
        <v>6</v>
      </c>
      <c r="Z710" s="261">
        <v>6</v>
      </c>
      <c r="AA710" s="407" t="s">
        <v>389</v>
      </c>
      <c r="AB710" s="258" t="e">
        <v>#N/A</v>
      </c>
      <c r="AC710" s="258"/>
      <c r="AD710" s="258" t="s">
        <v>2135</v>
      </c>
      <c r="AE710" s="258" t="s">
        <v>2129</v>
      </c>
      <c r="AF710" s="259"/>
      <c r="AG710" s="260"/>
      <c r="AH710" s="259"/>
      <c r="AI710" s="259"/>
      <c r="AJ710" s="260"/>
      <c r="AK710" s="259">
        <v>26</v>
      </c>
      <c r="AL710" s="259"/>
      <c r="AM710" s="259" t="s">
        <v>3228</v>
      </c>
      <c r="AN710" s="449"/>
      <c r="AO710" s="449"/>
      <c r="AP710" s="449"/>
      <c r="AQ710" s="392" t="str">
        <f>IFERROR(VLOOKUP(BG710,#REF!,1,0),"")</f>
        <v/>
      </c>
      <c r="AS710" s="259" t="s">
        <v>3228</v>
      </c>
      <c r="BD710" s="202" t="str">
        <f t="shared" si="110"/>
        <v>봉고3 특장1톤 일반덤프 장축 킹캡 4WD 일반형 GL</v>
      </c>
      <c r="BE710" s="261" t="str">
        <f t="shared" ref="BE710:BE773" si="116">IF(K709=K710,TEXT(G709,"0000"),TEXT(G709+1,"0000"))</f>
        <v>0066</v>
      </c>
      <c r="BF710" s="407" t="s">
        <v>389</v>
      </c>
      <c r="BG710" s="202" t="str">
        <f t="shared" si="111"/>
        <v>0066-0709</v>
      </c>
    </row>
    <row r="711" spans="1:59">
      <c r="A711" s="405">
        <v>4485</v>
      </c>
      <c r="B711" s="406">
        <v>4485</v>
      </c>
      <c r="C711" s="261" t="str">
        <f t="shared" si="112"/>
        <v>0001-0066</v>
      </c>
      <c r="D711" s="261" t="str">
        <f t="shared" si="113"/>
        <v>0001-0066-0053</v>
      </c>
      <c r="E711" s="407" t="s">
        <v>388</v>
      </c>
      <c r="F711" s="261" t="str">
        <f>TEXT(VLOOKUP(J711,'[3]1'!$B$2:$D$37,2,0),"0000")</f>
        <v>0001</v>
      </c>
      <c r="G711" s="261" t="str">
        <f t="shared" si="114"/>
        <v>0066</v>
      </c>
      <c r="H711" s="408">
        <f t="shared" si="115"/>
        <v>53</v>
      </c>
      <c r="I711" s="407" t="s">
        <v>388</v>
      </c>
      <c r="J711" s="413" t="s">
        <v>828</v>
      </c>
      <c r="K711" s="258" t="s">
        <v>2720</v>
      </c>
      <c r="L711" s="258" t="s">
        <v>2309</v>
      </c>
      <c r="M711" s="409">
        <v>22450000</v>
      </c>
      <c r="N711" s="258">
        <v>2497</v>
      </c>
      <c r="O711" s="258" t="s">
        <v>78</v>
      </c>
      <c r="P711" s="258" t="s">
        <v>86</v>
      </c>
      <c r="Q711" s="258" t="s">
        <v>72</v>
      </c>
      <c r="R711" s="258">
        <v>6</v>
      </c>
      <c r="S711" s="410">
        <v>12</v>
      </c>
      <c r="T711" s="261">
        <v>6</v>
      </c>
      <c r="U711" s="261">
        <v>6</v>
      </c>
      <c r="V711" s="258" t="s">
        <v>71</v>
      </c>
      <c r="W711" s="261" t="str">
        <f t="shared" ref="W711:W774" si="117">J711&amp;K711&amp;L711&amp;M711</f>
        <v>기아자동차봉고3 특장1톤 윙바디 킹캡 초장축 L22450000</v>
      </c>
      <c r="X711" s="411">
        <f t="shared" ref="X711:X774" si="118">B711</f>
        <v>4485</v>
      </c>
      <c r="Y711" s="261">
        <v>6</v>
      </c>
      <c r="Z711" s="261">
        <v>6</v>
      </c>
      <c r="AA711" s="407" t="s">
        <v>388</v>
      </c>
      <c r="AB711" s="258" t="e">
        <v>#N/A</v>
      </c>
      <c r="AC711" s="258"/>
      <c r="AD711" s="258" t="s">
        <v>2135</v>
      </c>
      <c r="AE711" s="258" t="s">
        <v>2129</v>
      </c>
      <c r="AF711" s="259"/>
      <c r="AG711" s="260"/>
      <c r="AH711" s="259"/>
      <c r="AI711" s="259"/>
      <c r="AJ711" s="260"/>
      <c r="AK711" s="259">
        <v>26</v>
      </c>
      <c r="AL711" s="259"/>
      <c r="AM711" s="259" t="s">
        <v>3228</v>
      </c>
      <c r="AN711" s="449"/>
      <c r="AO711" s="449"/>
      <c r="AP711" s="449"/>
      <c r="AQ711" s="392" t="str">
        <f>IFERROR(VLOOKUP(BG711,#REF!,1,0),"")</f>
        <v/>
      </c>
      <c r="AS711" s="259" t="s">
        <v>3228</v>
      </c>
      <c r="BD711" s="202" t="str">
        <f t="shared" si="110"/>
        <v>봉고3 특장1톤 윙바디 킹캡 초장축 L</v>
      </c>
      <c r="BE711" s="261" t="str">
        <f t="shared" si="116"/>
        <v>0066</v>
      </c>
      <c r="BF711" s="407" t="s">
        <v>388</v>
      </c>
      <c r="BG711" s="202" t="str">
        <f t="shared" si="111"/>
        <v>0066-0710</v>
      </c>
    </row>
    <row r="712" spans="1:59">
      <c r="A712" s="405">
        <v>4486</v>
      </c>
      <c r="B712" s="406">
        <v>4486</v>
      </c>
      <c r="C712" s="261" t="str">
        <f t="shared" si="112"/>
        <v>0001-0066</v>
      </c>
      <c r="D712" s="261" t="str">
        <f t="shared" si="113"/>
        <v>0001-0066-0054</v>
      </c>
      <c r="E712" s="407" t="s">
        <v>387</v>
      </c>
      <c r="F712" s="261" t="str">
        <f>TEXT(VLOOKUP(J712,'[3]1'!$B$2:$D$37,2,0),"0000")</f>
        <v>0001</v>
      </c>
      <c r="G712" s="261" t="str">
        <f t="shared" si="114"/>
        <v>0066</v>
      </c>
      <c r="H712" s="408">
        <f t="shared" si="115"/>
        <v>54</v>
      </c>
      <c r="I712" s="407" t="s">
        <v>387</v>
      </c>
      <c r="J712" s="413" t="s">
        <v>828</v>
      </c>
      <c r="K712" s="258" t="s">
        <v>2720</v>
      </c>
      <c r="L712" s="258" t="s">
        <v>3350</v>
      </c>
      <c r="M712" s="409">
        <v>25160000</v>
      </c>
      <c r="N712" s="258">
        <v>2469</v>
      </c>
      <c r="O712" s="258" t="s">
        <v>3351</v>
      </c>
      <c r="P712" s="258" t="s">
        <v>86</v>
      </c>
      <c r="Q712" s="258" t="s">
        <v>72</v>
      </c>
      <c r="R712" s="258">
        <v>6</v>
      </c>
      <c r="S712" s="410">
        <v>20</v>
      </c>
      <c r="T712" s="261">
        <v>6</v>
      </c>
      <c r="U712" s="261">
        <v>6</v>
      </c>
      <c r="V712" s="258" t="s">
        <v>3352</v>
      </c>
      <c r="W712" s="261" t="str">
        <f t="shared" si="117"/>
        <v>기아자동차봉고3 특장1톤 더블캡 2WD25160000</v>
      </c>
      <c r="X712" s="411">
        <f t="shared" si="118"/>
        <v>4486</v>
      </c>
      <c r="Y712" s="261">
        <v>6</v>
      </c>
      <c r="Z712" s="261">
        <v>6</v>
      </c>
      <c r="AA712" s="407" t="s">
        <v>387</v>
      </c>
      <c r="AB712" s="258" t="s">
        <v>2806</v>
      </c>
      <c r="AC712" s="258"/>
      <c r="AD712" s="258" t="s">
        <v>2135</v>
      </c>
      <c r="AE712" s="258" t="s">
        <v>2129</v>
      </c>
      <c r="AF712" s="259"/>
      <c r="AG712" s="260"/>
      <c r="AH712" s="259"/>
      <c r="AI712" s="259"/>
      <c r="AJ712" s="260"/>
      <c r="AK712" s="259">
        <v>26</v>
      </c>
      <c r="AL712" s="259"/>
      <c r="AM712" s="259" t="s">
        <v>3353</v>
      </c>
      <c r="AN712" s="449"/>
      <c r="AO712" s="449"/>
      <c r="AP712" s="449"/>
      <c r="AQ712" s="392" t="str">
        <f>IFERROR(VLOOKUP(BG712,#REF!,1,0),"")</f>
        <v/>
      </c>
      <c r="AS712" s="259" t="s">
        <v>3353</v>
      </c>
      <c r="BD712" s="202" t="str">
        <f t="shared" si="110"/>
        <v>봉고3 특장1톤 더블캡 2WD</v>
      </c>
      <c r="BE712" s="261" t="str">
        <f t="shared" si="116"/>
        <v>0066</v>
      </c>
      <c r="BF712" s="407" t="s">
        <v>387</v>
      </c>
      <c r="BG712" s="202" t="str">
        <f t="shared" si="111"/>
        <v>0066-0711</v>
      </c>
    </row>
    <row r="713" spans="1:59">
      <c r="A713" s="405">
        <v>4487</v>
      </c>
      <c r="B713" s="406">
        <v>4487</v>
      </c>
      <c r="C713" s="261" t="str">
        <f t="shared" si="112"/>
        <v>0001-0067</v>
      </c>
      <c r="D713" s="261" t="str">
        <f t="shared" si="113"/>
        <v>0001-0067-0001</v>
      </c>
      <c r="E713" s="407" t="s">
        <v>386</v>
      </c>
      <c r="F713" s="261" t="str">
        <f>TEXT(VLOOKUP(J713,'[3]1'!$B$2:$D$37,2,0),"0000")</f>
        <v>0001</v>
      </c>
      <c r="G713" s="261" t="str">
        <f t="shared" si="114"/>
        <v>0067</v>
      </c>
      <c r="H713" s="408">
        <f t="shared" si="115"/>
        <v>1</v>
      </c>
      <c r="I713" s="407" t="s">
        <v>386</v>
      </c>
      <c r="J713" s="260" t="s">
        <v>828</v>
      </c>
      <c r="K713" s="258" t="s">
        <v>2721</v>
      </c>
      <c r="L713" s="258" t="s">
        <v>2310</v>
      </c>
      <c r="M713" s="409">
        <v>24400000</v>
      </c>
      <c r="N713" s="258">
        <v>1598</v>
      </c>
      <c r="O713" s="258" t="s">
        <v>78</v>
      </c>
      <c r="P713" s="258" t="s">
        <v>73</v>
      </c>
      <c r="Q713" s="258" t="s">
        <v>72</v>
      </c>
      <c r="R713" s="258">
        <v>5</v>
      </c>
      <c r="S713" s="410">
        <v>5</v>
      </c>
      <c r="T713" s="261">
        <v>6</v>
      </c>
      <c r="U713" s="261">
        <v>6</v>
      </c>
      <c r="V713" s="258" t="s">
        <v>3329</v>
      </c>
      <c r="W713" s="261" t="str">
        <f t="shared" si="117"/>
        <v>기아자동차셀토스1.6 디젤 프레스티지24400000</v>
      </c>
      <c r="X713" s="411">
        <f t="shared" si="118"/>
        <v>4487</v>
      </c>
      <c r="Y713" s="261">
        <v>6</v>
      </c>
      <c r="Z713" s="261">
        <v>6</v>
      </c>
      <c r="AA713" s="407" t="s">
        <v>386</v>
      </c>
      <c r="AB713" s="258" t="s">
        <v>3333</v>
      </c>
      <c r="AC713" s="260"/>
      <c r="AD713" s="258" t="s">
        <v>2130</v>
      </c>
      <c r="AE713" s="258" t="s">
        <v>2129</v>
      </c>
      <c r="AF713" s="259"/>
      <c r="AG713" s="260"/>
      <c r="AH713" s="259"/>
      <c r="AI713" s="259"/>
      <c r="AJ713" s="260"/>
      <c r="AK713" s="259">
        <v>26</v>
      </c>
      <c r="AL713" s="259"/>
      <c r="AM713" s="259" t="s">
        <v>93</v>
      </c>
      <c r="AN713" s="449"/>
      <c r="AO713" s="449"/>
      <c r="AP713" s="449"/>
      <c r="AQ713" s="392" t="str">
        <f>IFERROR(VLOOKUP(BG713,#REF!,1,0),"")</f>
        <v/>
      </c>
      <c r="AS713" s="259" t="s">
        <v>93</v>
      </c>
      <c r="BD713" s="202" t="str">
        <f t="shared" si="110"/>
        <v>셀토스1.6 디젤 프레스티지</v>
      </c>
      <c r="BE713" s="261" t="str">
        <f t="shared" si="116"/>
        <v>0067</v>
      </c>
      <c r="BF713" s="407" t="s">
        <v>386</v>
      </c>
      <c r="BG713" s="202" t="str">
        <f t="shared" si="111"/>
        <v>0067-0712</v>
      </c>
    </row>
    <row r="714" spans="1:59">
      <c r="A714" s="405">
        <v>4488</v>
      </c>
      <c r="B714" s="406">
        <v>4488</v>
      </c>
      <c r="C714" s="261" t="str">
        <f t="shared" si="112"/>
        <v>0001-0067</v>
      </c>
      <c r="D714" s="261" t="str">
        <f t="shared" si="113"/>
        <v>0001-0067-0002</v>
      </c>
      <c r="E714" s="407" t="s">
        <v>385</v>
      </c>
      <c r="F714" s="261" t="str">
        <f>TEXT(VLOOKUP(J714,'[3]1'!$B$2:$D$37,2,0),"0000")</f>
        <v>0001</v>
      </c>
      <c r="G714" s="261" t="str">
        <f t="shared" si="114"/>
        <v>0067</v>
      </c>
      <c r="H714" s="408">
        <f t="shared" si="115"/>
        <v>2</v>
      </c>
      <c r="I714" s="407" t="s">
        <v>385</v>
      </c>
      <c r="J714" s="260" t="s">
        <v>828</v>
      </c>
      <c r="K714" s="258" t="s">
        <v>2721</v>
      </c>
      <c r="L714" s="258" t="s">
        <v>2311</v>
      </c>
      <c r="M714" s="409">
        <v>27190000</v>
      </c>
      <c r="N714" s="258">
        <v>1598</v>
      </c>
      <c r="O714" s="258" t="s">
        <v>78</v>
      </c>
      <c r="P714" s="258" t="s">
        <v>73</v>
      </c>
      <c r="Q714" s="258" t="s">
        <v>72</v>
      </c>
      <c r="R714" s="258">
        <v>5</v>
      </c>
      <c r="S714" s="410">
        <v>5</v>
      </c>
      <c r="T714" s="261">
        <v>6</v>
      </c>
      <c r="U714" s="261">
        <v>6</v>
      </c>
      <c r="V714" s="258" t="s">
        <v>3329</v>
      </c>
      <c r="W714" s="261" t="str">
        <f t="shared" si="117"/>
        <v>기아자동차셀토스1.6 디젤 그래비티27190000</v>
      </c>
      <c r="X714" s="411">
        <f t="shared" si="118"/>
        <v>4488</v>
      </c>
      <c r="Y714" s="261">
        <v>6</v>
      </c>
      <c r="Z714" s="261">
        <v>6</v>
      </c>
      <c r="AA714" s="407" t="s">
        <v>385</v>
      </c>
      <c r="AB714" s="258" t="s">
        <v>3333</v>
      </c>
      <c r="AC714" s="260"/>
      <c r="AD714" s="258" t="s">
        <v>2130</v>
      </c>
      <c r="AE714" s="258" t="s">
        <v>2129</v>
      </c>
      <c r="AF714" s="259"/>
      <c r="AG714" s="260"/>
      <c r="AH714" s="259"/>
      <c r="AI714" s="259"/>
      <c r="AJ714" s="260"/>
      <c r="AK714" s="259">
        <v>26</v>
      </c>
      <c r="AL714" s="259"/>
      <c r="AM714" s="259" t="s">
        <v>93</v>
      </c>
      <c r="AN714" s="449"/>
      <c r="AO714" s="449"/>
      <c r="AP714" s="449"/>
      <c r="AQ714" s="392" t="str">
        <f>IFERROR(VLOOKUP(BG714,#REF!,1,0),"")</f>
        <v/>
      </c>
      <c r="AS714" s="259" t="s">
        <v>93</v>
      </c>
      <c r="BD714" s="202" t="str">
        <f t="shared" si="110"/>
        <v>셀토스1.6 디젤 그래비티</v>
      </c>
      <c r="BE714" s="261" t="str">
        <f t="shared" si="116"/>
        <v>0067</v>
      </c>
      <c r="BF714" s="407" t="s">
        <v>385</v>
      </c>
      <c r="BG714" s="202" t="str">
        <f t="shared" si="111"/>
        <v>0067-0713</v>
      </c>
    </row>
    <row r="715" spans="1:59">
      <c r="A715" s="405">
        <v>4489</v>
      </c>
      <c r="B715" s="406">
        <v>4489</v>
      </c>
      <c r="C715" s="261" t="str">
        <f t="shared" si="112"/>
        <v>0001-0067</v>
      </c>
      <c r="D715" s="261" t="str">
        <f t="shared" si="113"/>
        <v>0001-0067-0003</v>
      </c>
      <c r="E715" s="407" t="s">
        <v>384</v>
      </c>
      <c r="F715" s="261" t="str">
        <f>TEXT(VLOOKUP(J715,'[3]1'!$B$2:$D$37,2,0),"0000")</f>
        <v>0001</v>
      </c>
      <c r="G715" s="261" t="str">
        <f t="shared" si="114"/>
        <v>0067</v>
      </c>
      <c r="H715" s="408">
        <f t="shared" si="115"/>
        <v>3</v>
      </c>
      <c r="I715" s="407" t="s">
        <v>384</v>
      </c>
      <c r="J715" s="260" t="s">
        <v>828</v>
      </c>
      <c r="K715" s="258" t="s">
        <v>2721</v>
      </c>
      <c r="L715" s="258" t="s">
        <v>2312</v>
      </c>
      <c r="M715" s="409">
        <v>21250000</v>
      </c>
      <c r="N715" s="258">
        <v>1598</v>
      </c>
      <c r="O715" s="258" t="s">
        <v>78</v>
      </c>
      <c r="P715" s="258" t="s">
        <v>73</v>
      </c>
      <c r="Q715" s="258" t="s">
        <v>72</v>
      </c>
      <c r="R715" s="258">
        <v>5</v>
      </c>
      <c r="S715" s="410">
        <v>5</v>
      </c>
      <c r="T715" s="261">
        <v>6</v>
      </c>
      <c r="U715" s="261">
        <v>6</v>
      </c>
      <c r="V715" s="258" t="s">
        <v>3329</v>
      </c>
      <c r="W715" s="261" t="str">
        <f t="shared" si="117"/>
        <v>기아자동차셀토스1.6 디젤 트렌디21250000</v>
      </c>
      <c r="X715" s="411">
        <f t="shared" si="118"/>
        <v>4489</v>
      </c>
      <c r="Y715" s="261">
        <v>6</v>
      </c>
      <c r="Z715" s="261">
        <v>6</v>
      </c>
      <c r="AA715" s="407" t="s">
        <v>384</v>
      </c>
      <c r="AB715" s="258" t="s">
        <v>3333</v>
      </c>
      <c r="AC715" s="260"/>
      <c r="AD715" s="258" t="s">
        <v>2130</v>
      </c>
      <c r="AE715" s="258" t="s">
        <v>2129</v>
      </c>
      <c r="AF715" s="259"/>
      <c r="AG715" s="260"/>
      <c r="AH715" s="259"/>
      <c r="AI715" s="259"/>
      <c r="AJ715" s="260"/>
      <c r="AK715" s="259">
        <v>26</v>
      </c>
      <c r="AL715" s="259"/>
      <c r="AM715" s="259" t="s">
        <v>93</v>
      </c>
      <c r="AN715" s="449"/>
      <c r="AO715" s="449"/>
      <c r="AP715" s="449"/>
      <c r="AQ715" s="392" t="str">
        <f>IFERROR(VLOOKUP(BG715,#REF!,1,0),"")</f>
        <v/>
      </c>
      <c r="AS715" s="259" t="s">
        <v>93</v>
      </c>
      <c r="BD715" s="202" t="str">
        <f t="shared" si="110"/>
        <v>셀토스1.6 디젤 트렌디</v>
      </c>
      <c r="BE715" s="261" t="str">
        <f t="shared" si="116"/>
        <v>0067</v>
      </c>
      <c r="BF715" s="407" t="s">
        <v>384</v>
      </c>
      <c r="BG715" s="202" t="str">
        <f t="shared" si="111"/>
        <v>0067-0714</v>
      </c>
    </row>
    <row r="716" spans="1:59">
      <c r="A716" s="405">
        <v>4490</v>
      </c>
      <c r="B716" s="406">
        <v>4490</v>
      </c>
      <c r="C716" s="261" t="str">
        <f t="shared" si="112"/>
        <v>0001-0067</v>
      </c>
      <c r="D716" s="261" t="str">
        <f t="shared" si="113"/>
        <v>0001-0067-0004</v>
      </c>
      <c r="E716" s="407" t="s">
        <v>383</v>
      </c>
      <c r="F716" s="261" t="str">
        <f>TEXT(VLOOKUP(J716,'[3]1'!$B$2:$D$37,2,0),"0000")</f>
        <v>0001</v>
      </c>
      <c r="G716" s="261" t="str">
        <f t="shared" si="114"/>
        <v>0067</v>
      </c>
      <c r="H716" s="408">
        <f t="shared" si="115"/>
        <v>4</v>
      </c>
      <c r="I716" s="407" t="s">
        <v>383</v>
      </c>
      <c r="J716" s="260" t="s">
        <v>828</v>
      </c>
      <c r="K716" s="258" t="s">
        <v>2721</v>
      </c>
      <c r="L716" s="258" t="s">
        <v>2313</v>
      </c>
      <c r="M716" s="409">
        <v>26460000</v>
      </c>
      <c r="N716" s="258">
        <v>1598</v>
      </c>
      <c r="O716" s="258" t="s">
        <v>78</v>
      </c>
      <c r="P716" s="258" t="s">
        <v>73</v>
      </c>
      <c r="Q716" s="258" t="s">
        <v>72</v>
      </c>
      <c r="R716" s="258">
        <v>5</v>
      </c>
      <c r="S716" s="410">
        <v>5</v>
      </c>
      <c r="T716" s="261">
        <v>6</v>
      </c>
      <c r="U716" s="261">
        <v>6</v>
      </c>
      <c r="V716" s="258" t="s">
        <v>3329</v>
      </c>
      <c r="W716" s="261" t="str">
        <f t="shared" si="117"/>
        <v>기아자동차셀토스1.6 디젤 시그니처26460000</v>
      </c>
      <c r="X716" s="411">
        <f t="shared" si="118"/>
        <v>4490</v>
      </c>
      <c r="Y716" s="261">
        <v>6</v>
      </c>
      <c r="Z716" s="261">
        <v>6</v>
      </c>
      <c r="AA716" s="407" t="s">
        <v>383</v>
      </c>
      <c r="AB716" s="258" t="s">
        <v>3333</v>
      </c>
      <c r="AC716" s="260"/>
      <c r="AD716" s="258" t="s">
        <v>2130</v>
      </c>
      <c r="AE716" s="258" t="s">
        <v>2129</v>
      </c>
      <c r="AF716" s="259"/>
      <c r="AG716" s="260"/>
      <c r="AH716" s="259"/>
      <c r="AI716" s="259"/>
      <c r="AJ716" s="260"/>
      <c r="AK716" s="259">
        <v>26</v>
      </c>
      <c r="AL716" s="259"/>
      <c r="AM716" s="259" t="s">
        <v>93</v>
      </c>
      <c r="AN716" s="449"/>
      <c r="AO716" s="449"/>
      <c r="AP716" s="449"/>
      <c r="AQ716" s="392" t="str">
        <f>IFERROR(VLOOKUP(BG716,#REF!,1,0),"")</f>
        <v/>
      </c>
      <c r="AS716" s="259" t="s">
        <v>93</v>
      </c>
      <c r="BD716" s="202" t="str">
        <f t="shared" si="110"/>
        <v>셀토스1.6 디젤 시그니처</v>
      </c>
      <c r="BE716" s="261" t="str">
        <f t="shared" si="116"/>
        <v>0067</v>
      </c>
      <c r="BF716" s="407" t="s">
        <v>383</v>
      </c>
      <c r="BG716" s="202" t="str">
        <f t="shared" si="111"/>
        <v>0067-0715</v>
      </c>
    </row>
    <row r="717" spans="1:59">
      <c r="A717" s="405">
        <v>4491</v>
      </c>
      <c r="B717" s="406">
        <v>4491</v>
      </c>
      <c r="C717" s="261" t="str">
        <f t="shared" si="112"/>
        <v>0001-0067</v>
      </c>
      <c r="D717" s="261" t="str">
        <f t="shared" si="113"/>
        <v>0001-0067-0005</v>
      </c>
      <c r="E717" s="407" t="s">
        <v>382</v>
      </c>
      <c r="F717" s="261" t="str">
        <f>TEXT(VLOOKUP(J717,'[3]1'!$B$2:$D$37,2,0),"0000")</f>
        <v>0001</v>
      </c>
      <c r="G717" s="261" t="str">
        <f t="shared" si="114"/>
        <v>0067</v>
      </c>
      <c r="H717" s="408">
        <f t="shared" si="115"/>
        <v>5</v>
      </c>
      <c r="I717" s="407" t="s">
        <v>382</v>
      </c>
      <c r="J717" s="260" t="s">
        <v>828</v>
      </c>
      <c r="K717" s="258" t="s">
        <v>2721</v>
      </c>
      <c r="L717" s="258" t="s">
        <v>2140</v>
      </c>
      <c r="M717" s="409">
        <v>22480000</v>
      </c>
      <c r="N717" s="258">
        <v>1591</v>
      </c>
      <c r="O717" s="258" t="s">
        <v>77</v>
      </c>
      <c r="P717" s="258" t="s">
        <v>73</v>
      </c>
      <c r="Q717" s="258" t="s">
        <v>72</v>
      </c>
      <c r="R717" s="258">
        <v>5</v>
      </c>
      <c r="S717" s="410">
        <v>6</v>
      </c>
      <c r="T717" s="261">
        <v>6</v>
      </c>
      <c r="U717" s="261">
        <v>6</v>
      </c>
      <c r="V717" s="258" t="s">
        <v>3329</v>
      </c>
      <c r="W717" s="261" t="str">
        <f t="shared" si="117"/>
        <v>기아자동차셀토스1.6 가솔린 프레스티지22480000</v>
      </c>
      <c r="X717" s="411">
        <f t="shared" si="118"/>
        <v>4491</v>
      </c>
      <c r="Y717" s="261">
        <v>6</v>
      </c>
      <c r="Z717" s="261">
        <v>6</v>
      </c>
      <c r="AA717" s="407" t="s">
        <v>382</v>
      </c>
      <c r="AB717" s="258" t="s">
        <v>3333</v>
      </c>
      <c r="AC717" s="260"/>
      <c r="AD717" s="258" t="s">
        <v>2131</v>
      </c>
      <c r="AE717" s="258" t="s">
        <v>2129</v>
      </c>
      <c r="AF717" s="259"/>
      <c r="AG717" s="260"/>
      <c r="AH717" s="259"/>
      <c r="AI717" s="259"/>
      <c r="AJ717" s="260"/>
      <c r="AK717" s="259">
        <v>26</v>
      </c>
      <c r="AL717" s="259"/>
      <c r="AM717" s="259" t="s">
        <v>150</v>
      </c>
      <c r="AN717" s="449"/>
      <c r="AO717" s="449"/>
      <c r="AP717" s="449"/>
      <c r="AQ717" s="392" t="str">
        <f>IFERROR(VLOOKUP(BG717,#REF!,1,0),"")</f>
        <v/>
      </c>
      <c r="AS717" s="259" t="s">
        <v>150</v>
      </c>
      <c r="BD717" s="202" t="str">
        <f t="shared" si="110"/>
        <v>셀토스1.6 가솔린 프레스티지</v>
      </c>
      <c r="BE717" s="261" t="str">
        <f t="shared" si="116"/>
        <v>0067</v>
      </c>
      <c r="BF717" s="407" t="s">
        <v>382</v>
      </c>
      <c r="BG717" s="202" t="str">
        <f t="shared" si="111"/>
        <v>0067-0716</v>
      </c>
    </row>
    <row r="718" spans="1:59">
      <c r="A718" s="405">
        <v>4492</v>
      </c>
      <c r="B718" s="406">
        <v>4492</v>
      </c>
      <c r="C718" s="261" t="str">
        <f t="shared" si="112"/>
        <v>0001-0067</v>
      </c>
      <c r="D718" s="261" t="str">
        <f t="shared" si="113"/>
        <v>0001-0067-0006</v>
      </c>
      <c r="E718" s="407" t="s">
        <v>381</v>
      </c>
      <c r="F718" s="261" t="str">
        <f>TEXT(VLOOKUP(J718,'[3]1'!$B$2:$D$37,2,0),"0000")</f>
        <v>0001</v>
      </c>
      <c r="G718" s="261" t="str">
        <f t="shared" si="114"/>
        <v>0067</v>
      </c>
      <c r="H718" s="408">
        <f t="shared" si="115"/>
        <v>6</v>
      </c>
      <c r="I718" s="407" t="s">
        <v>381</v>
      </c>
      <c r="J718" s="260" t="s">
        <v>828</v>
      </c>
      <c r="K718" s="258" t="s">
        <v>2721</v>
      </c>
      <c r="L718" s="258" t="s">
        <v>2138</v>
      </c>
      <c r="M718" s="409">
        <v>24540000</v>
      </c>
      <c r="N718" s="258">
        <v>1591</v>
      </c>
      <c r="O718" s="258" t="s">
        <v>77</v>
      </c>
      <c r="P718" s="258" t="s">
        <v>73</v>
      </c>
      <c r="Q718" s="258" t="s">
        <v>72</v>
      </c>
      <c r="R718" s="258">
        <v>5</v>
      </c>
      <c r="S718" s="410">
        <v>6</v>
      </c>
      <c r="T718" s="261">
        <v>6</v>
      </c>
      <c r="U718" s="261">
        <v>6</v>
      </c>
      <c r="V718" s="258" t="s">
        <v>3329</v>
      </c>
      <c r="W718" s="261" t="str">
        <f t="shared" si="117"/>
        <v>기아자동차셀토스1.6 가솔린 시그니처24540000</v>
      </c>
      <c r="X718" s="411">
        <f t="shared" si="118"/>
        <v>4492</v>
      </c>
      <c r="Y718" s="261">
        <v>6</v>
      </c>
      <c r="Z718" s="261">
        <v>6</v>
      </c>
      <c r="AA718" s="407" t="s">
        <v>381</v>
      </c>
      <c r="AB718" s="258" t="s">
        <v>3333</v>
      </c>
      <c r="AC718" s="260"/>
      <c r="AD718" s="258" t="s">
        <v>2131</v>
      </c>
      <c r="AE718" s="258" t="s">
        <v>2129</v>
      </c>
      <c r="AF718" s="259"/>
      <c r="AG718" s="260"/>
      <c r="AH718" s="259"/>
      <c r="AI718" s="259"/>
      <c r="AJ718" s="260"/>
      <c r="AK718" s="259">
        <v>26</v>
      </c>
      <c r="AL718" s="259"/>
      <c r="AM718" s="259" t="s">
        <v>150</v>
      </c>
      <c r="AN718" s="449"/>
      <c r="AO718" s="449"/>
      <c r="AP718" s="449"/>
      <c r="AQ718" s="392" t="str">
        <f>IFERROR(VLOOKUP(BG718,#REF!,1,0),"")</f>
        <v/>
      </c>
      <c r="AS718" s="259" t="s">
        <v>150</v>
      </c>
      <c r="BD718" s="202" t="str">
        <f t="shared" si="110"/>
        <v>셀토스1.6 가솔린 시그니처</v>
      </c>
      <c r="BE718" s="261" t="str">
        <f t="shared" si="116"/>
        <v>0067</v>
      </c>
      <c r="BF718" s="407" t="s">
        <v>381</v>
      </c>
      <c r="BG718" s="202" t="str">
        <f t="shared" si="111"/>
        <v>0067-0717</v>
      </c>
    </row>
    <row r="719" spans="1:59">
      <c r="A719" s="405">
        <v>4493</v>
      </c>
      <c r="B719" s="406">
        <v>4493</v>
      </c>
      <c r="C719" s="261" t="str">
        <f t="shared" si="112"/>
        <v>0001-0067</v>
      </c>
      <c r="D719" s="261" t="str">
        <f t="shared" si="113"/>
        <v>0001-0067-0007</v>
      </c>
      <c r="E719" s="407" t="s">
        <v>380</v>
      </c>
      <c r="F719" s="261" t="str">
        <f>TEXT(VLOOKUP(J719,'[3]1'!$B$2:$D$37,2,0),"0000")</f>
        <v>0001</v>
      </c>
      <c r="G719" s="261" t="str">
        <f t="shared" si="114"/>
        <v>0067</v>
      </c>
      <c r="H719" s="408">
        <f t="shared" si="115"/>
        <v>7</v>
      </c>
      <c r="I719" s="407" t="s">
        <v>380</v>
      </c>
      <c r="J719" s="260" t="s">
        <v>828</v>
      </c>
      <c r="K719" s="258" t="s">
        <v>2721</v>
      </c>
      <c r="L719" s="258" t="s">
        <v>2314</v>
      </c>
      <c r="M719" s="409">
        <v>19340000</v>
      </c>
      <c r="N719" s="258">
        <v>1591</v>
      </c>
      <c r="O719" s="258" t="s">
        <v>77</v>
      </c>
      <c r="P719" s="258" t="s">
        <v>73</v>
      </c>
      <c r="Q719" s="258" t="s">
        <v>72</v>
      </c>
      <c r="R719" s="258">
        <v>5</v>
      </c>
      <c r="S719" s="410">
        <v>6</v>
      </c>
      <c r="T719" s="261">
        <v>6</v>
      </c>
      <c r="U719" s="261">
        <v>6</v>
      </c>
      <c r="V719" s="258" t="s">
        <v>3329</v>
      </c>
      <c r="W719" s="261" t="str">
        <f t="shared" si="117"/>
        <v>기아자동차셀토스1.6 가솔린 트렌디19340000</v>
      </c>
      <c r="X719" s="411">
        <f t="shared" si="118"/>
        <v>4493</v>
      </c>
      <c r="Y719" s="261">
        <v>6</v>
      </c>
      <c r="Z719" s="261">
        <v>6</v>
      </c>
      <c r="AA719" s="407" t="s">
        <v>380</v>
      </c>
      <c r="AB719" s="258" t="s">
        <v>3333</v>
      </c>
      <c r="AC719" s="260"/>
      <c r="AD719" s="258" t="s">
        <v>2131</v>
      </c>
      <c r="AE719" s="258" t="s">
        <v>2129</v>
      </c>
      <c r="AF719" s="259"/>
      <c r="AG719" s="260"/>
      <c r="AH719" s="259"/>
      <c r="AI719" s="259"/>
      <c r="AJ719" s="260"/>
      <c r="AK719" s="259">
        <v>26</v>
      </c>
      <c r="AL719" s="259"/>
      <c r="AM719" s="259" t="s">
        <v>150</v>
      </c>
      <c r="AN719" s="449"/>
      <c r="AO719" s="449"/>
      <c r="AP719" s="449"/>
      <c r="AQ719" s="392" t="str">
        <f>IFERROR(VLOOKUP(BG719,#REF!,1,0),"")</f>
        <v/>
      </c>
      <c r="AS719" s="259" t="s">
        <v>150</v>
      </c>
      <c r="BD719" s="202" t="str">
        <f t="shared" si="110"/>
        <v>셀토스1.6 가솔린 트렌디</v>
      </c>
      <c r="BE719" s="261" t="str">
        <f t="shared" si="116"/>
        <v>0067</v>
      </c>
      <c r="BF719" s="407" t="s">
        <v>380</v>
      </c>
      <c r="BG719" s="202" t="str">
        <f t="shared" si="111"/>
        <v>0067-0718</v>
      </c>
    </row>
    <row r="720" spans="1:59">
      <c r="A720" s="405">
        <v>4494</v>
      </c>
      <c r="B720" s="406">
        <v>4494</v>
      </c>
      <c r="C720" s="261" t="str">
        <f t="shared" si="112"/>
        <v>0001-0067</v>
      </c>
      <c r="D720" s="261" t="str">
        <f t="shared" si="113"/>
        <v>0001-0067-0008</v>
      </c>
      <c r="E720" s="407" t="s">
        <v>379</v>
      </c>
      <c r="F720" s="261" t="str">
        <f>TEXT(VLOOKUP(J720,'[3]1'!$B$2:$D$37,2,0),"0000")</f>
        <v>0001</v>
      </c>
      <c r="G720" s="261" t="str">
        <f t="shared" si="114"/>
        <v>0067</v>
      </c>
      <c r="H720" s="408">
        <f t="shared" si="115"/>
        <v>8</v>
      </c>
      <c r="I720" s="407" t="s">
        <v>379</v>
      </c>
      <c r="J720" s="260" t="s">
        <v>828</v>
      </c>
      <c r="K720" s="258" t="s">
        <v>2721</v>
      </c>
      <c r="L720" s="258" t="s">
        <v>2315</v>
      </c>
      <c r="M720" s="409">
        <v>25280000</v>
      </c>
      <c r="N720" s="258">
        <v>1591</v>
      </c>
      <c r="O720" s="258" t="s">
        <v>77</v>
      </c>
      <c r="P720" s="258" t="s">
        <v>73</v>
      </c>
      <c r="Q720" s="258" t="s">
        <v>72</v>
      </c>
      <c r="R720" s="258">
        <v>5</v>
      </c>
      <c r="S720" s="410">
        <v>6</v>
      </c>
      <c r="T720" s="261">
        <v>6</v>
      </c>
      <c r="U720" s="261">
        <v>6</v>
      </c>
      <c r="V720" s="258" t="s">
        <v>71</v>
      </c>
      <c r="W720" s="261" t="str">
        <f t="shared" si="117"/>
        <v>기아자동차셀토스1.6 가솔린 그래비티25280000</v>
      </c>
      <c r="X720" s="411">
        <f t="shared" si="118"/>
        <v>4494</v>
      </c>
      <c r="Y720" s="261">
        <v>6</v>
      </c>
      <c r="Z720" s="261">
        <v>6</v>
      </c>
      <c r="AA720" s="407" t="s">
        <v>379</v>
      </c>
      <c r="AB720" s="258" t="s">
        <v>73</v>
      </c>
      <c r="AC720" s="260"/>
      <c r="AD720" s="258" t="s">
        <v>2131</v>
      </c>
      <c r="AE720" s="258" t="s">
        <v>2129</v>
      </c>
      <c r="AF720" s="259"/>
      <c r="AG720" s="260"/>
      <c r="AH720" s="259"/>
      <c r="AI720" s="259"/>
      <c r="AJ720" s="260"/>
      <c r="AK720" s="259">
        <v>26</v>
      </c>
      <c r="AL720" s="259"/>
      <c r="AM720" s="259" t="s">
        <v>150</v>
      </c>
      <c r="AN720" s="449"/>
      <c r="AO720" s="449"/>
      <c r="AP720" s="449"/>
      <c r="AQ720" s="392" t="str">
        <f>IFERROR(VLOOKUP(BG720,#REF!,1,0),"")</f>
        <v/>
      </c>
      <c r="AS720" s="259" t="s">
        <v>150</v>
      </c>
      <c r="BD720" s="202" t="str">
        <f t="shared" si="110"/>
        <v>셀토스1.6 가솔린 그래비티</v>
      </c>
      <c r="BE720" s="261" t="str">
        <f t="shared" si="116"/>
        <v>0067</v>
      </c>
      <c r="BF720" s="407" t="s">
        <v>379</v>
      </c>
      <c r="BG720" s="202" t="str">
        <f t="shared" si="111"/>
        <v>0067-0719</v>
      </c>
    </row>
    <row r="721" spans="1:59">
      <c r="A721" s="405">
        <v>4495</v>
      </c>
      <c r="B721" s="406">
        <v>4495</v>
      </c>
      <c r="C721" s="261" t="str">
        <f t="shared" si="112"/>
        <v>0001-0068</v>
      </c>
      <c r="D721" s="261" t="str">
        <f t="shared" si="113"/>
        <v>0001-0068-0001</v>
      </c>
      <c r="E721" s="407" t="s">
        <v>378</v>
      </c>
      <c r="F721" s="261" t="str">
        <f>TEXT(VLOOKUP(J721,'[3]1'!$B$2:$D$37,2,0),"0000")</f>
        <v>0001</v>
      </c>
      <c r="G721" s="261" t="str">
        <f t="shared" si="114"/>
        <v>0068</v>
      </c>
      <c r="H721" s="408">
        <f t="shared" si="115"/>
        <v>1</v>
      </c>
      <c r="I721" s="407" t="s">
        <v>378</v>
      </c>
      <c r="J721" s="258" t="s">
        <v>828</v>
      </c>
      <c r="K721" s="258" t="s">
        <v>2722</v>
      </c>
      <c r="L721" s="258" t="s">
        <v>2316</v>
      </c>
      <c r="M721" s="409">
        <v>20520000</v>
      </c>
      <c r="N721" s="258">
        <v>1368</v>
      </c>
      <c r="O721" s="258" t="s">
        <v>78</v>
      </c>
      <c r="P721" s="258" t="s">
        <v>73</v>
      </c>
      <c r="Q721" s="258" t="s">
        <v>72</v>
      </c>
      <c r="R721" s="258" t="e">
        <v>#N/A</v>
      </c>
      <c r="S721" s="410">
        <v>5</v>
      </c>
      <c r="T721" s="261">
        <v>6</v>
      </c>
      <c r="U721" s="261">
        <v>6</v>
      </c>
      <c r="V721" s="258" t="s">
        <v>3993</v>
      </c>
      <c r="W721" s="261" t="str">
        <f t="shared" si="117"/>
        <v>기아자동차스토닉1.4 프레스티지20520000</v>
      </c>
      <c r="X721" s="411">
        <f t="shared" si="118"/>
        <v>4495</v>
      </c>
      <c r="Y721" s="261">
        <v>6</v>
      </c>
      <c r="Z721" s="261">
        <v>6</v>
      </c>
      <c r="AA721" s="407" t="s">
        <v>378</v>
      </c>
      <c r="AB721" s="258" t="e">
        <v>#N/A</v>
      </c>
      <c r="AC721" s="258"/>
      <c r="AD721" s="258" t="s">
        <v>2130</v>
      </c>
      <c r="AE721" s="258" t="s">
        <v>2129</v>
      </c>
      <c r="AF721" s="259"/>
      <c r="AG721" s="260"/>
      <c r="AH721" s="259"/>
      <c r="AI721" s="259"/>
      <c r="AJ721" s="260"/>
      <c r="AK721" s="259">
        <v>26</v>
      </c>
      <c r="AL721" s="259"/>
      <c r="AM721" s="259" t="s">
        <v>93</v>
      </c>
      <c r="AN721" s="449"/>
      <c r="AO721" s="449"/>
      <c r="AP721" s="449"/>
      <c r="AQ721" s="392" t="str">
        <f>IFERROR(VLOOKUP(BG721,#REF!,1,0),"")</f>
        <v/>
      </c>
      <c r="AS721" s="259" t="s">
        <v>93</v>
      </c>
      <c r="BD721" s="202" t="str">
        <f t="shared" si="110"/>
        <v>스토닉1.4 프레스티지</v>
      </c>
      <c r="BE721" s="261" t="str">
        <f t="shared" si="116"/>
        <v>0068</v>
      </c>
      <c r="BF721" s="407" t="s">
        <v>378</v>
      </c>
      <c r="BG721" s="202" t="str">
        <f t="shared" si="111"/>
        <v>0068-0720</v>
      </c>
    </row>
    <row r="722" spans="1:59">
      <c r="A722" s="405">
        <v>4496</v>
      </c>
      <c r="B722" s="406">
        <v>4496</v>
      </c>
      <c r="C722" s="261" t="str">
        <f t="shared" si="112"/>
        <v>0001-0068</v>
      </c>
      <c r="D722" s="261" t="str">
        <f t="shared" si="113"/>
        <v>0001-0068-0002</v>
      </c>
      <c r="E722" s="407" t="s">
        <v>377</v>
      </c>
      <c r="F722" s="261" t="str">
        <f>TEXT(VLOOKUP(J722,'[3]1'!$B$2:$D$37,2,0),"0000")</f>
        <v>0001</v>
      </c>
      <c r="G722" s="261" t="str">
        <f t="shared" si="114"/>
        <v>0068</v>
      </c>
      <c r="H722" s="408">
        <f t="shared" si="115"/>
        <v>2</v>
      </c>
      <c r="I722" s="407" t="s">
        <v>377</v>
      </c>
      <c r="J722" s="258" t="s">
        <v>828</v>
      </c>
      <c r="K722" s="258" t="s">
        <v>2722</v>
      </c>
      <c r="L722" s="258" t="s">
        <v>2317</v>
      </c>
      <c r="M722" s="409">
        <v>18010000</v>
      </c>
      <c r="N722" s="258">
        <v>1368</v>
      </c>
      <c r="O722" s="258" t="s">
        <v>77</v>
      </c>
      <c r="P722" s="258" t="s">
        <v>73</v>
      </c>
      <c r="Q722" s="258" t="s">
        <v>72</v>
      </c>
      <c r="R722" s="258">
        <v>5</v>
      </c>
      <c r="S722" s="410">
        <v>8</v>
      </c>
      <c r="T722" s="261">
        <v>6</v>
      </c>
      <c r="U722" s="261">
        <v>6</v>
      </c>
      <c r="V722" s="258" t="s">
        <v>71</v>
      </c>
      <c r="W722" s="261" t="str">
        <f t="shared" si="117"/>
        <v>기아자동차스토닉1.4 트렌디18010000</v>
      </c>
      <c r="X722" s="411">
        <f t="shared" si="118"/>
        <v>4496</v>
      </c>
      <c r="Y722" s="261">
        <v>6</v>
      </c>
      <c r="Z722" s="261">
        <v>6</v>
      </c>
      <c r="AA722" s="407" t="s">
        <v>377</v>
      </c>
      <c r="AB722" s="258" t="s">
        <v>73</v>
      </c>
      <c r="AC722" s="258"/>
      <c r="AD722" s="258" t="s">
        <v>2130</v>
      </c>
      <c r="AE722" s="258" t="s">
        <v>2129</v>
      </c>
      <c r="AF722" s="259"/>
      <c r="AG722" s="260"/>
      <c r="AH722" s="259"/>
      <c r="AI722" s="259"/>
      <c r="AJ722" s="260"/>
      <c r="AK722" s="259">
        <v>26</v>
      </c>
      <c r="AL722" s="259"/>
      <c r="AM722" s="259" t="s">
        <v>3231</v>
      </c>
      <c r="AN722" s="449"/>
      <c r="AO722" s="449"/>
      <c r="AP722" s="449"/>
      <c r="AQ722" s="392" t="str">
        <f>IFERROR(VLOOKUP(BG722,#REF!,1,0),"")</f>
        <v/>
      </c>
      <c r="AS722" s="259" t="s">
        <v>3231</v>
      </c>
      <c r="BD722" s="202" t="str">
        <f t="shared" si="110"/>
        <v>스토닉1.4 트렌디</v>
      </c>
      <c r="BE722" s="261" t="str">
        <f t="shared" si="116"/>
        <v>0068</v>
      </c>
      <c r="BF722" s="407" t="s">
        <v>377</v>
      </c>
      <c r="BG722" s="202" t="str">
        <f t="shared" si="111"/>
        <v>0068-0721</v>
      </c>
    </row>
    <row r="723" spans="1:59">
      <c r="A723" s="405">
        <v>4497</v>
      </c>
      <c r="B723" s="406">
        <v>4497</v>
      </c>
      <c r="C723" s="261" t="str">
        <f t="shared" si="112"/>
        <v>0001-0068</v>
      </c>
      <c r="D723" s="261" t="str">
        <f t="shared" si="113"/>
        <v>0001-0068-0003</v>
      </c>
      <c r="E723" s="407" t="s">
        <v>376</v>
      </c>
      <c r="F723" s="261" t="str">
        <f>TEXT(VLOOKUP(J723,'[3]1'!$B$2:$D$37,2,0),"0000")</f>
        <v>0001</v>
      </c>
      <c r="G723" s="261" t="str">
        <f t="shared" si="114"/>
        <v>0068</v>
      </c>
      <c r="H723" s="408">
        <f t="shared" si="115"/>
        <v>3</v>
      </c>
      <c r="I723" s="407" t="s">
        <v>376</v>
      </c>
      <c r="J723" s="258" t="s">
        <v>828</v>
      </c>
      <c r="K723" s="258" t="s">
        <v>2722</v>
      </c>
      <c r="L723" s="258" t="s">
        <v>2318</v>
      </c>
      <c r="M723" s="409">
        <v>16250000</v>
      </c>
      <c r="N723" s="258">
        <v>1368</v>
      </c>
      <c r="O723" s="258" t="s">
        <v>77</v>
      </c>
      <c r="P723" s="258" t="s">
        <v>73</v>
      </c>
      <c r="Q723" s="258" t="s">
        <v>72</v>
      </c>
      <c r="R723" s="258" t="e">
        <v>#N/A</v>
      </c>
      <c r="S723" s="410">
        <v>8</v>
      </c>
      <c r="T723" s="261">
        <v>6</v>
      </c>
      <c r="U723" s="261">
        <v>6</v>
      </c>
      <c r="V723" s="258" t="s">
        <v>3993</v>
      </c>
      <c r="W723" s="261" t="str">
        <f t="shared" si="117"/>
        <v>기아자동차스토닉1.4 디럭스16250000</v>
      </c>
      <c r="X723" s="411">
        <f t="shared" si="118"/>
        <v>4497</v>
      </c>
      <c r="Y723" s="261">
        <v>6</v>
      </c>
      <c r="Z723" s="261">
        <v>6</v>
      </c>
      <c r="AA723" s="407" t="s">
        <v>376</v>
      </c>
      <c r="AB723" s="258" t="e">
        <v>#N/A</v>
      </c>
      <c r="AC723" s="258"/>
      <c r="AD723" s="258" t="s">
        <v>2130</v>
      </c>
      <c r="AE723" s="258" t="s">
        <v>2129</v>
      </c>
      <c r="AF723" s="259"/>
      <c r="AG723" s="260"/>
      <c r="AH723" s="259"/>
      <c r="AI723" s="259"/>
      <c r="AJ723" s="260"/>
      <c r="AK723" s="259">
        <v>26</v>
      </c>
      <c r="AL723" s="259"/>
      <c r="AM723" s="259" t="s">
        <v>3231</v>
      </c>
      <c r="AN723" s="449"/>
      <c r="AO723" s="449"/>
      <c r="AP723" s="449"/>
      <c r="AQ723" s="392" t="str">
        <f>IFERROR(VLOOKUP(BG723,#REF!,1,0),"")</f>
        <v/>
      </c>
      <c r="AS723" s="259" t="s">
        <v>3231</v>
      </c>
      <c r="BD723" s="202" t="str">
        <f t="shared" si="110"/>
        <v>스토닉1.4 디럭스</v>
      </c>
      <c r="BE723" s="261" t="str">
        <f t="shared" si="116"/>
        <v>0068</v>
      </c>
      <c r="BF723" s="407" t="s">
        <v>376</v>
      </c>
      <c r="BG723" s="202" t="str">
        <f t="shared" si="111"/>
        <v>0068-0722</v>
      </c>
    </row>
    <row r="724" spans="1:59">
      <c r="A724" s="405">
        <v>4498</v>
      </c>
      <c r="B724" s="406">
        <v>4498</v>
      </c>
      <c r="C724" s="261" t="str">
        <f t="shared" si="112"/>
        <v>0001-0068</v>
      </c>
      <c r="D724" s="261" t="str">
        <f t="shared" si="113"/>
        <v>0001-0068-0004</v>
      </c>
      <c r="E724" s="407" t="s">
        <v>375</v>
      </c>
      <c r="F724" s="261" t="str">
        <f>TEXT(VLOOKUP(J724,'[3]1'!$B$2:$D$37,2,0),"0000")</f>
        <v>0001</v>
      </c>
      <c r="G724" s="261" t="str">
        <f t="shared" si="114"/>
        <v>0068</v>
      </c>
      <c r="H724" s="408">
        <f t="shared" si="115"/>
        <v>4</v>
      </c>
      <c r="I724" s="407" t="s">
        <v>375</v>
      </c>
      <c r="J724" s="258" t="s">
        <v>828</v>
      </c>
      <c r="K724" s="258" t="s">
        <v>2722</v>
      </c>
      <c r="L724" s="258" t="s">
        <v>2319</v>
      </c>
      <c r="M724" s="409">
        <v>21650000</v>
      </c>
      <c r="N724" s="258">
        <v>998</v>
      </c>
      <c r="O724" s="258" t="s">
        <v>77</v>
      </c>
      <c r="P724" s="258" t="s">
        <v>73</v>
      </c>
      <c r="Q724" s="258" t="s">
        <v>72</v>
      </c>
      <c r="R724" s="258" t="e">
        <v>#N/A</v>
      </c>
      <c r="S724" s="410">
        <v>8</v>
      </c>
      <c r="T724" s="261">
        <v>6</v>
      </c>
      <c r="U724" s="261">
        <v>6</v>
      </c>
      <c r="V724" s="258" t="s">
        <v>3993</v>
      </c>
      <c r="W724" s="261" t="str">
        <f t="shared" si="117"/>
        <v>기아자동차스토닉1.0 터보 프레스티지21650000</v>
      </c>
      <c r="X724" s="411">
        <f t="shared" si="118"/>
        <v>4498</v>
      </c>
      <c r="Y724" s="261">
        <v>6</v>
      </c>
      <c r="Z724" s="261">
        <v>6</v>
      </c>
      <c r="AA724" s="407" t="s">
        <v>375</v>
      </c>
      <c r="AB724" s="258" t="e">
        <v>#N/A</v>
      </c>
      <c r="AC724" s="258"/>
      <c r="AD724" s="258" t="s">
        <v>2131</v>
      </c>
      <c r="AE724" s="258" t="s">
        <v>2129</v>
      </c>
      <c r="AF724" s="259"/>
      <c r="AG724" s="260"/>
      <c r="AH724" s="259"/>
      <c r="AI724" s="259"/>
      <c r="AJ724" s="260"/>
      <c r="AK724" s="259">
        <v>26</v>
      </c>
      <c r="AL724" s="259"/>
      <c r="AM724" s="259" t="s">
        <v>3231</v>
      </c>
      <c r="AN724" s="449"/>
      <c r="AO724" s="449"/>
      <c r="AP724" s="449"/>
      <c r="AQ724" s="392" t="str">
        <f>IFERROR(VLOOKUP(BG724,#REF!,1,0),"")</f>
        <v/>
      </c>
      <c r="AS724" s="259" t="s">
        <v>3231</v>
      </c>
      <c r="BD724" s="202" t="str">
        <f t="shared" si="110"/>
        <v>스토닉1.0 터보 프레스티지</v>
      </c>
      <c r="BE724" s="261" t="str">
        <f t="shared" si="116"/>
        <v>0068</v>
      </c>
      <c r="BF724" s="407" t="s">
        <v>375</v>
      </c>
      <c r="BG724" s="202" t="str">
        <f t="shared" si="111"/>
        <v>0068-0723</v>
      </c>
    </row>
    <row r="725" spans="1:59">
      <c r="A725" s="405">
        <v>4499</v>
      </c>
      <c r="B725" s="406">
        <v>4499</v>
      </c>
      <c r="C725" s="261" t="str">
        <f t="shared" si="112"/>
        <v>0001-0068</v>
      </c>
      <c r="D725" s="261" t="str">
        <f t="shared" si="113"/>
        <v>0001-0068-0005</v>
      </c>
      <c r="E725" s="407" t="s">
        <v>374</v>
      </c>
      <c r="F725" s="261" t="str">
        <f>TEXT(VLOOKUP(J725,'[3]1'!$B$2:$D$37,2,0),"0000")</f>
        <v>0001</v>
      </c>
      <c r="G725" s="261" t="str">
        <f t="shared" si="114"/>
        <v>0068</v>
      </c>
      <c r="H725" s="408">
        <f t="shared" si="115"/>
        <v>5</v>
      </c>
      <c r="I725" s="407" t="s">
        <v>374</v>
      </c>
      <c r="J725" s="258" t="s">
        <v>828</v>
      </c>
      <c r="K725" s="258" t="s">
        <v>2722</v>
      </c>
      <c r="L725" s="258" t="s">
        <v>2320</v>
      </c>
      <c r="M725" s="409">
        <v>19140000</v>
      </c>
      <c r="N725" s="258">
        <v>998</v>
      </c>
      <c r="O725" s="258" t="s">
        <v>77</v>
      </c>
      <c r="P725" s="258" t="s">
        <v>73</v>
      </c>
      <c r="Q725" s="258" t="s">
        <v>72</v>
      </c>
      <c r="R725" s="258" t="e">
        <v>#N/A</v>
      </c>
      <c r="S725" s="410">
        <v>8</v>
      </c>
      <c r="T725" s="261">
        <v>6</v>
      </c>
      <c r="U725" s="261">
        <v>6</v>
      </c>
      <c r="V725" s="258" t="s">
        <v>3993</v>
      </c>
      <c r="W725" s="261" t="str">
        <f t="shared" si="117"/>
        <v>기아자동차스토닉1.0 터보 트렌디19140000</v>
      </c>
      <c r="X725" s="411">
        <f t="shared" si="118"/>
        <v>4499</v>
      </c>
      <c r="Y725" s="261">
        <v>6</v>
      </c>
      <c r="Z725" s="261">
        <v>6</v>
      </c>
      <c r="AA725" s="407" t="s">
        <v>374</v>
      </c>
      <c r="AB725" s="258" t="e">
        <v>#N/A</v>
      </c>
      <c r="AC725" s="258"/>
      <c r="AD725" s="258" t="s">
        <v>2131</v>
      </c>
      <c r="AE725" s="258" t="s">
        <v>2129</v>
      </c>
      <c r="AF725" s="259"/>
      <c r="AG725" s="260"/>
      <c r="AH725" s="259"/>
      <c r="AI725" s="259"/>
      <c r="AJ725" s="260"/>
      <c r="AK725" s="259">
        <v>26</v>
      </c>
      <c r="AL725" s="259"/>
      <c r="AM725" s="259" t="s">
        <v>3231</v>
      </c>
      <c r="AN725" s="449"/>
      <c r="AO725" s="449"/>
      <c r="AP725" s="449"/>
      <c r="AQ725" s="392" t="str">
        <f>IFERROR(VLOOKUP(BG725,#REF!,1,0),"")</f>
        <v/>
      </c>
      <c r="AS725" s="259" t="s">
        <v>3231</v>
      </c>
      <c r="BD725" s="202" t="str">
        <f t="shared" si="110"/>
        <v>스토닉1.0 터보 트렌디</v>
      </c>
      <c r="BE725" s="261" t="str">
        <f t="shared" si="116"/>
        <v>0068</v>
      </c>
      <c r="BF725" s="407" t="s">
        <v>374</v>
      </c>
      <c r="BG725" s="202" t="str">
        <f t="shared" si="111"/>
        <v>0068-0724</v>
      </c>
    </row>
    <row r="726" spans="1:59">
      <c r="A726" s="405">
        <v>4500</v>
      </c>
      <c r="B726" s="406">
        <v>4500</v>
      </c>
      <c r="C726" s="261" t="str">
        <f t="shared" si="112"/>
        <v>0001-0069</v>
      </c>
      <c r="D726" s="261" t="str">
        <f t="shared" si="113"/>
        <v>0001-0069-0001</v>
      </c>
      <c r="E726" s="407" t="s">
        <v>373</v>
      </c>
      <c r="F726" s="261" t="str">
        <f>TEXT(VLOOKUP(J726,'[3]1'!$B$2:$D$37,2,0),"0000")</f>
        <v>0001</v>
      </c>
      <c r="G726" s="261" t="str">
        <f t="shared" si="114"/>
        <v>0069</v>
      </c>
      <c r="H726" s="408">
        <f t="shared" si="115"/>
        <v>1</v>
      </c>
      <c r="I726" s="407" t="s">
        <v>373</v>
      </c>
      <c r="J726" s="258" t="s">
        <v>828</v>
      </c>
      <c r="K726" s="258" t="s">
        <v>2723</v>
      </c>
      <c r="L726" s="258" t="s">
        <v>2321</v>
      </c>
      <c r="M726" s="409">
        <v>35240000</v>
      </c>
      <c r="N726" s="258">
        <v>1998</v>
      </c>
      <c r="O726" s="258" t="s">
        <v>77</v>
      </c>
      <c r="P726" s="258" t="s">
        <v>73</v>
      </c>
      <c r="Q726" s="258" t="s">
        <v>72</v>
      </c>
      <c r="R726" s="258" t="e">
        <v>#N/A</v>
      </c>
      <c r="S726" s="410">
        <v>11</v>
      </c>
      <c r="T726" s="261">
        <v>6</v>
      </c>
      <c r="U726" s="261">
        <v>6</v>
      </c>
      <c r="V726" s="258" t="s">
        <v>3993</v>
      </c>
      <c r="W726" s="261" t="str">
        <f t="shared" si="117"/>
        <v>기아자동차스팅어2.0 가솔린 터보 프라임35240000</v>
      </c>
      <c r="X726" s="411">
        <f t="shared" si="118"/>
        <v>4500</v>
      </c>
      <c r="Y726" s="261">
        <v>6</v>
      </c>
      <c r="Z726" s="261">
        <v>6</v>
      </c>
      <c r="AA726" s="407" t="s">
        <v>373</v>
      </c>
      <c r="AB726" s="258" t="e">
        <v>#N/A</v>
      </c>
      <c r="AC726" s="258"/>
      <c r="AD726" s="258" t="s">
        <v>2132</v>
      </c>
      <c r="AE726" s="258" t="s">
        <v>2129</v>
      </c>
      <c r="AF726" s="259"/>
      <c r="AG726" s="260"/>
      <c r="AH726" s="259"/>
      <c r="AI726" s="259"/>
      <c r="AJ726" s="260"/>
      <c r="AK726" s="259">
        <v>26</v>
      </c>
      <c r="AL726" s="259"/>
      <c r="AM726" s="259" t="s">
        <v>3232</v>
      </c>
      <c r="AN726" s="449"/>
      <c r="AO726" s="449"/>
      <c r="AP726" s="449"/>
      <c r="AQ726" s="392" t="str">
        <f>IFERROR(VLOOKUP(BG726,#REF!,1,0),"")</f>
        <v/>
      </c>
      <c r="AS726" s="259" t="s">
        <v>3232</v>
      </c>
      <c r="BD726" s="202" t="str">
        <f t="shared" si="110"/>
        <v>스팅어2.0 가솔린 터보 프라임</v>
      </c>
      <c r="BE726" s="261" t="str">
        <f t="shared" si="116"/>
        <v>0069</v>
      </c>
      <c r="BF726" s="407" t="s">
        <v>373</v>
      </c>
      <c r="BG726" s="202" t="str">
        <f t="shared" si="111"/>
        <v>0069-0725</v>
      </c>
    </row>
    <row r="727" spans="1:59">
      <c r="A727" s="405">
        <v>4501</v>
      </c>
      <c r="B727" s="406">
        <v>4501</v>
      </c>
      <c r="C727" s="261" t="str">
        <f t="shared" si="112"/>
        <v>0001-0069</v>
      </c>
      <c r="D727" s="261" t="str">
        <f t="shared" si="113"/>
        <v>0001-0069-0002</v>
      </c>
      <c r="E727" s="407" t="s">
        <v>372</v>
      </c>
      <c r="F727" s="261" t="str">
        <f>TEXT(VLOOKUP(J727,'[3]1'!$B$2:$D$37,2,0),"0000")</f>
        <v>0001</v>
      </c>
      <c r="G727" s="261" t="str">
        <f t="shared" si="114"/>
        <v>0069</v>
      </c>
      <c r="H727" s="408">
        <f t="shared" si="115"/>
        <v>2</v>
      </c>
      <c r="I727" s="407" t="s">
        <v>372</v>
      </c>
      <c r="J727" s="258" t="s">
        <v>828</v>
      </c>
      <c r="K727" s="258" t="s">
        <v>2723</v>
      </c>
      <c r="L727" s="258" t="s">
        <v>2322</v>
      </c>
      <c r="M727" s="409">
        <v>38680000</v>
      </c>
      <c r="N727" s="258">
        <v>1998</v>
      </c>
      <c r="O727" s="258" t="s">
        <v>77</v>
      </c>
      <c r="P727" s="258" t="s">
        <v>73</v>
      </c>
      <c r="Q727" s="258" t="s">
        <v>72</v>
      </c>
      <c r="R727" s="258" t="e">
        <v>#N/A</v>
      </c>
      <c r="S727" s="410">
        <v>11</v>
      </c>
      <c r="T727" s="261">
        <v>6</v>
      </c>
      <c r="U727" s="261">
        <v>6</v>
      </c>
      <c r="V727" s="258" t="s">
        <v>3993</v>
      </c>
      <c r="W727" s="261" t="str">
        <f t="shared" si="117"/>
        <v>기아자동차스팅어2.0 가솔린 터보 플래티넘38680000</v>
      </c>
      <c r="X727" s="411">
        <f t="shared" si="118"/>
        <v>4501</v>
      </c>
      <c r="Y727" s="261">
        <v>6</v>
      </c>
      <c r="Z727" s="261">
        <v>6</v>
      </c>
      <c r="AA727" s="407" t="s">
        <v>372</v>
      </c>
      <c r="AB727" s="258" t="e">
        <v>#N/A</v>
      </c>
      <c r="AC727" s="258"/>
      <c r="AD727" s="258" t="s">
        <v>2132</v>
      </c>
      <c r="AE727" s="258" t="s">
        <v>2129</v>
      </c>
      <c r="AF727" s="259"/>
      <c r="AG727" s="260"/>
      <c r="AH727" s="259"/>
      <c r="AI727" s="259"/>
      <c r="AJ727" s="260"/>
      <c r="AK727" s="259">
        <v>26</v>
      </c>
      <c r="AL727" s="259"/>
      <c r="AM727" s="259" t="s">
        <v>3232</v>
      </c>
      <c r="AN727" s="449"/>
      <c r="AO727" s="449"/>
      <c r="AP727" s="449"/>
      <c r="AQ727" s="392" t="str">
        <f>IFERROR(VLOOKUP(BG727,#REF!,1,0),"")</f>
        <v/>
      </c>
      <c r="AS727" s="259" t="s">
        <v>3232</v>
      </c>
      <c r="BD727" s="202" t="str">
        <f t="shared" si="110"/>
        <v>스팅어2.0 가솔린 터보 플래티넘</v>
      </c>
      <c r="BE727" s="261" t="str">
        <f t="shared" si="116"/>
        <v>0069</v>
      </c>
      <c r="BF727" s="407" t="s">
        <v>372</v>
      </c>
      <c r="BG727" s="202" t="str">
        <f t="shared" si="111"/>
        <v>0069-0726</v>
      </c>
    </row>
    <row r="728" spans="1:59">
      <c r="A728" s="405">
        <v>4502</v>
      </c>
      <c r="B728" s="406">
        <v>4502</v>
      </c>
      <c r="C728" s="261" t="str">
        <f t="shared" si="112"/>
        <v>0001-0069</v>
      </c>
      <c r="D728" s="261" t="str">
        <f t="shared" si="113"/>
        <v>0001-0069-0003</v>
      </c>
      <c r="E728" s="407" t="s">
        <v>371</v>
      </c>
      <c r="F728" s="261" t="str">
        <f>TEXT(VLOOKUP(J728,'[3]1'!$B$2:$D$37,2,0),"0000")</f>
        <v>0001</v>
      </c>
      <c r="G728" s="261" t="str">
        <f t="shared" si="114"/>
        <v>0069</v>
      </c>
      <c r="H728" s="408">
        <f t="shared" si="115"/>
        <v>3</v>
      </c>
      <c r="I728" s="407" t="s">
        <v>371</v>
      </c>
      <c r="J728" s="258" t="s">
        <v>828</v>
      </c>
      <c r="K728" s="258" t="s">
        <v>2723</v>
      </c>
      <c r="L728" s="266" t="s">
        <v>2953</v>
      </c>
      <c r="M728" s="316">
        <v>38530000</v>
      </c>
      <c r="N728" s="266">
        <v>2497</v>
      </c>
      <c r="O728" s="258" t="s">
        <v>77</v>
      </c>
      <c r="P728" s="258" t="s">
        <v>73</v>
      </c>
      <c r="Q728" s="258" t="s">
        <v>72</v>
      </c>
      <c r="R728" s="236">
        <v>5</v>
      </c>
      <c r="S728" s="410">
        <v>11</v>
      </c>
      <c r="T728" s="261">
        <v>6</v>
      </c>
      <c r="U728" s="261">
        <v>6</v>
      </c>
      <c r="V728" s="258" t="s">
        <v>71</v>
      </c>
      <c r="W728" s="261" t="str">
        <f t="shared" si="117"/>
        <v>기아자동차스팅어가솔린 2.5 RWD 플래티넘38530000</v>
      </c>
      <c r="X728" s="411">
        <f t="shared" si="118"/>
        <v>4502</v>
      </c>
      <c r="Y728" s="261">
        <v>6</v>
      </c>
      <c r="Z728" s="261">
        <v>6</v>
      </c>
      <c r="AA728" s="407" t="s">
        <v>371</v>
      </c>
      <c r="AB728" s="258" t="s">
        <v>73</v>
      </c>
      <c r="AC728" s="258"/>
      <c r="AD728" s="271">
        <v>4</v>
      </c>
      <c r="AE728" s="258" t="s">
        <v>2129</v>
      </c>
      <c r="AF728" s="259"/>
      <c r="AG728" s="260"/>
      <c r="AH728" s="259"/>
      <c r="AI728" s="259"/>
      <c r="AJ728" s="260"/>
      <c r="AK728" s="259">
        <v>26</v>
      </c>
      <c r="AL728" s="259"/>
      <c r="AM728" s="259" t="s">
        <v>3232</v>
      </c>
      <c r="AN728" s="449"/>
      <c r="AO728" s="449"/>
      <c r="AP728" s="449"/>
      <c r="AQ728" s="392" t="str">
        <f>IFERROR(VLOOKUP(BG728,#REF!,1,0),"")</f>
        <v/>
      </c>
      <c r="AS728" s="259" t="s">
        <v>3232</v>
      </c>
      <c r="BD728" s="202" t="str">
        <f t="shared" si="110"/>
        <v>스팅어가솔린 2.5 RWD 플래티넘</v>
      </c>
      <c r="BE728" s="261" t="str">
        <f t="shared" si="116"/>
        <v>0069</v>
      </c>
      <c r="BF728" s="407" t="s">
        <v>371</v>
      </c>
      <c r="BG728" s="202" t="str">
        <f t="shared" si="111"/>
        <v>0069-0727</v>
      </c>
    </row>
    <row r="729" spans="1:59">
      <c r="A729" s="405">
        <v>4503</v>
      </c>
      <c r="B729" s="406">
        <v>4503</v>
      </c>
      <c r="C729" s="261" t="str">
        <f t="shared" si="112"/>
        <v>0001-0069</v>
      </c>
      <c r="D729" s="261" t="str">
        <f t="shared" si="113"/>
        <v>0001-0069-0004</v>
      </c>
      <c r="E729" s="407" t="s">
        <v>370</v>
      </c>
      <c r="F729" s="261" t="str">
        <f>TEXT(VLOOKUP(J729,'[3]1'!$B$2:$D$37,2,0),"0000")</f>
        <v>0001</v>
      </c>
      <c r="G729" s="261" t="str">
        <f t="shared" si="114"/>
        <v>0069</v>
      </c>
      <c r="H729" s="408">
        <f t="shared" si="115"/>
        <v>4</v>
      </c>
      <c r="I729" s="407" t="s">
        <v>370</v>
      </c>
      <c r="J729" s="258" t="s">
        <v>828</v>
      </c>
      <c r="K729" s="258" t="s">
        <v>2723</v>
      </c>
      <c r="L729" s="266" t="s">
        <v>2954</v>
      </c>
      <c r="M729" s="316">
        <v>41970000</v>
      </c>
      <c r="N729" s="266">
        <v>2497</v>
      </c>
      <c r="O729" s="258" t="s">
        <v>77</v>
      </c>
      <c r="P729" s="258" t="s">
        <v>73</v>
      </c>
      <c r="Q729" s="258" t="s">
        <v>72</v>
      </c>
      <c r="R729" s="236">
        <v>5</v>
      </c>
      <c r="S729" s="410">
        <v>11</v>
      </c>
      <c r="T729" s="261">
        <v>6</v>
      </c>
      <c r="U729" s="261">
        <v>6</v>
      </c>
      <c r="V729" s="258" t="s">
        <v>71</v>
      </c>
      <c r="W729" s="261" t="str">
        <f t="shared" si="117"/>
        <v>기아자동차스팅어가솔린 2.5 RWD 마스터즈41970000</v>
      </c>
      <c r="X729" s="411">
        <f t="shared" si="118"/>
        <v>4503</v>
      </c>
      <c r="Y729" s="261">
        <v>6</v>
      </c>
      <c r="Z729" s="261">
        <v>6</v>
      </c>
      <c r="AA729" s="407" t="s">
        <v>370</v>
      </c>
      <c r="AB729" s="258" t="s">
        <v>73</v>
      </c>
      <c r="AC729" s="258"/>
      <c r="AD729" s="271">
        <v>4</v>
      </c>
      <c r="AE729" s="258" t="s">
        <v>2129</v>
      </c>
      <c r="AF729" s="259"/>
      <c r="AG729" s="260"/>
      <c r="AH729" s="259"/>
      <c r="AI729" s="259"/>
      <c r="AJ729" s="260"/>
      <c r="AK729" s="259">
        <v>26</v>
      </c>
      <c r="AL729" s="259"/>
      <c r="AM729" s="259" t="s">
        <v>3232</v>
      </c>
      <c r="AN729" s="449"/>
      <c r="AO729" s="449"/>
      <c r="AP729" s="449"/>
      <c r="AQ729" s="392" t="str">
        <f>IFERROR(VLOOKUP(BG729,#REF!,1,0),"")</f>
        <v/>
      </c>
      <c r="AS729" s="259" t="s">
        <v>3232</v>
      </c>
      <c r="BD729" s="202" t="str">
        <f t="shared" si="110"/>
        <v>스팅어가솔린 2.5 RWD 마스터즈</v>
      </c>
      <c r="BE729" s="261" t="str">
        <f t="shared" si="116"/>
        <v>0069</v>
      </c>
      <c r="BF729" s="407" t="s">
        <v>370</v>
      </c>
      <c r="BG729" s="202" t="str">
        <f t="shared" si="111"/>
        <v>0069-0728</v>
      </c>
    </row>
    <row r="730" spans="1:59">
      <c r="A730" s="405">
        <v>4504</v>
      </c>
      <c r="B730" s="406">
        <v>4504</v>
      </c>
      <c r="C730" s="261" t="str">
        <f t="shared" si="112"/>
        <v>0001-0069</v>
      </c>
      <c r="D730" s="261" t="str">
        <f t="shared" si="113"/>
        <v>0001-0069-0005</v>
      </c>
      <c r="E730" s="407" t="s">
        <v>369</v>
      </c>
      <c r="F730" s="261" t="str">
        <f>TEXT(VLOOKUP(J730,'[3]1'!$B$2:$D$37,2,0),"0000")</f>
        <v>0001</v>
      </c>
      <c r="G730" s="261" t="str">
        <f t="shared" si="114"/>
        <v>0069</v>
      </c>
      <c r="H730" s="408">
        <f t="shared" si="115"/>
        <v>5</v>
      </c>
      <c r="I730" s="407" t="s">
        <v>369</v>
      </c>
      <c r="J730" s="258" t="s">
        <v>828</v>
      </c>
      <c r="K730" s="258" t="s">
        <v>2723</v>
      </c>
      <c r="L730" s="266" t="s">
        <v>2955</v>
      </c>
      <c r="M730" s="316">
        <v>40790000</v>
      </c>
      <c r="N730" s="266">
        <v>2497</v>
      </c>
      <c r="O730" s="258" t="s">
        <v>77</v>
      </c>
      <c r="P730" s="258" t="s">
        <v>73</v>
      </c>
      <c r="Q730" s="258" t="s">
        <v>72</v>
      </c>
      <c r="R730" s="236">
        <v>5</v>
      </c>
      <c r="S730" s="410">
        <v>11</v>
      </c>
      <c r="T730" s="261">
        <v>6</v>
      </c>
      <c r="U730" s="261">
        <v>6</v>
      </c>
      <c r="V730" s="258" t="s">
        <v>71</v>
      </c>
      <c r="W730" s="261" t="str">
        <f t="shared" si="117"/>
        <v>기아자동차스팅어가솔린 2.5 AWD 플래티넘40790000</v>
      </c>
      <c r="X730" s="411">
        <f t="shared" si="118"/>
        <v>4504</v>
      </c>
      <c r="Y730" s="261">
        <v>6</v>
      </c>
      <c r="Z730" s="261">
        <v>6</v>
      </c>
      <c r="AA730" s="407" t="s">
        <v>369</v>
      </c>
      <c r="AB730" s="258" t="s">
        <v>73</v>
      </c>
      <c r="AC730" s="258"/>
      <c r="AD730" s="271">
        <v>4</v>
      </c>
      <c r="AE730" s="258" t="s">
        <v>2129</v>
      </c>
      <c r="AF730" s="259"/>
      <c r="AG730" s="260"/>
      <c r="AH730" s="259"/>
      <c r="AI730" s="259"/>
      <c r="AJ730" s="260"/>
      <c r="AK730" s="259">
        <v>26</v>
      </c>
      <c r="AL730" s="259"/>
      <c r="AM730" s="259" t="s">
        <v>3232</v>
      </c>
      <c r="AN730" s="449"/>
      <c r="AO730" s="449"/>
      <c r="AP730" s="449"/>
      <c r="AQ730" s="392" t="str">
        <f>IFERROR(VLOOKUP(BG730,#REF!,1,0),"")</f>
        <v/>
      </c>
      <c r="AS730" s="259" t="s">
        <v>3232</v>
      </c>
      <c r="BD730" s="202" t="str">
        <f t="shared" si="110"/>
        <v>스팅어가솔린 2.5 AWD 플래티넘</v>
      </c>
      <c r="BE730" s="261" t="str">
        <f t="shared" si="116"/>
        <v>0069</v>
      </c>
      <c r="BF730" s="407" t="s">
        <v>369</v>
      </c>
      <c r="BG730" s="202" t="str">
        <f t="shared" si="111"/>
        <v>0069-0729</v>
      </c>
    </row>
    <row r="731" spans="1:59">
      <c r="A731" s="405">
        <v>4505</v>
      </c>
      <c r="B731" s="406">
        <v>4505</v>
      </c>
      <c r="C731" s="261" t="str">
        <f t="shared" si="112"/>
        <v>0001-0069</v>
      </c>
      <c r="D731" s="261" t="str">
        <f t="shared" si="113"/>
        <v>0001-0069-0006</v>
      </c>
      <c r="E731" s="407" t="s">
        <v>368</v>
      </c>
      <c r="F731" s="261" t="str">
        <f>TEXT(VLOOKUP(J731,'[3]1'!$B$2:$D$37,2,0),"0000")</f>
        <v>0001</v>
      </c>
      <c r="G731" s="261" t="str">
        <f t="shared" si="114"/>
        <v>0069</v>
      </c>
      <c r="H731" s="408">
        <f t="shared" si="115"/>
        <v>6</v>
      </c>
      <c r="I731" s="407" t="s">
        <v>368</v>
      </c>
      <c r="J731" s="258" t="s">
        <v>828</v>
      </c>
      <c r="K731" s="258" t="s">
        <v>2723</v>
      </c>
      <c r="L731" s="258" t="s">
        <v>2323</v>
      </c>
      <c r="M731" s="409">
        <v>49820000</v>
      </c>
      <c r="N731" s="258">
        <v>3342</v>
      </c>
      <c r="O731" s="258" t="s">
        <v>77</v>
      </c>
      <c r="P731" s="258" t="s">
        <v>73</v>
      </c>
      <c r="Q731" s="258" t="s">
        <v>72</v>
      </c>
      <c r="R731" s="258" t="e">
        <v>#N/A</v>
      </c>
      <c r="S731" s="410">
        <v>13</v>
      </c>
      <c r="T731" s="261">
        <v>6</v>
      </c>
      <c r="U731" s="261">
        <v>6</v>
      </c>
      <c r="V731" s="258" t="s">
        <v>3993</v>
      </c>
      <c r="W731" s="261" t="str">
        <f t="shared" si="117"/>
        <v>기아자동차스팅어3.3 가솔린 터보 GT49820000</v>
      </c>
      <c r="X731" s="411">
        <f t="shared" si="118"/>
        <v>4505</v>
      </c>
      <c r="Y731" s="261">
        <v>6</v>
      </c>
      <c r="Z731" s="261">
        <v>6</v>
      </c>
      <c r="AA731" s="407" t="s">
        <v>368</v>
      </c>
      <c r="AB731" s="258" t="e">
        <v>#N/A</v>
      </c>
      <c r="AC731" s="258"/>
      <c r="AD731" s="258" t="s">
        <v>2135</v>
      </c>
      <c r="AE731" s="258" t="s">
        <v>2129</v>
      </c>
      <c r="AF731" s="259"/>
      <c r="AG731" s="260"/>
      <c r="AH731" s="259"/>
      <c r="AI731" s="259"/>
      <c r="AJ731" s="260"/>
      <c r="AK731" s="259">
        <v>26</v>
      </c>
      <c r="AL731" s="259"/>
      <c r="AM731" s="259" t="s">
        <v>3227</v>
      </c>
      <c r="AN731" s="449"/>
      <c r="AO731" s="449"/>
      <c r="AP731" s="449"/>
      <c r="AQ731" s="392" t="str">
        <f>IFERROR(VLOOKUP(BG731,#REF!,1,0),"")</f>
        <v/>
      </c>
      <c r="AS731" s="259" t="s">
        <v>3227</v>
      </c>
      <c r="BD731" s="202" t="str">
        <f t="shared" si="110"/>
        <v>스팅어3.3 가솔린 터보 GT</v>
      </c>
      <c r="BE731" s="261" t="str">
        <f t="shared" si="116"/>
        <v>0069</v>
      </c>
      <c r="BF731" s="407" t="s">
        <v>368</v>
      </c>
      <c r="BG731" s="202" t="str">
        <f t="shared" si="111"/>
        <v>0069-0730</v>
      </c>
    </row>
    <row r="732" spans="1:59">
      <c r="A732" s="405">
        <v>4506</v>
      </c>
      <c r="B732" s="406">
        <v>4506</v>
      </c>
      <c r="C732" s="261" t="str">
        <f t="shared" si="112"/>
        <v>0001-0069</v>
      </c>
      <c r="D732" s="261" t="str">
        <f t="shared" si="113"/>
        <v>0001-0069-0007</v>
      </c>
      <c r="E732" s="407" t="s">
        <v>367</v>
      </c>
      <c r="F732" s="261" t="str">
        <f>TEXT(VLOOKUP(J732,'[3]1'!$B$2:$D$37,2,0),"0000")</f>
        <v>0001</v>
      </c>
      <c r="G732" s="261" t="str">
        <f t="shared" si="114"/>
        <v>0069</v>
      </c>
      <c r="H732" s="408">
        <f t="shared" si="115"/>
        <v>7</v>
      </c>
      <c r="I732" s="407" t="s">
        <v>367</v>
      </c>
      <c r="J732" s="420" t="s">
        <v>828</v>
      </c>
      <c r="K732" s="420" t="s">
        <v>2723</v>
      </c>
      <c r="L732" s="421" t="s">
        <v>2956</v>
      </c>
      <c r="M732" s="316">
        <v>44230000</v>
      </c>
      <c r="N732" s="421">
        <v>2497</v>
      </c>
      <c r="O732" s="258" t="s">
        <v>77</v>
      </c>
      <c r="P732" s="420" t="s">
        <v>73</v>
      </c>
      <c r="Q732" s="420" t="s">
        <v>72</v>
      </c>
      <c r="R732" s="306">
        <v>5</v>
      </c>
      <c r="S732" s="410">
        <v>11</v>
      </c>
      <c r="T732" s="261">
        <v>6</v>
      </c>
      <c r="U732" s="261">
        <v>6</v>
      </c>
      <c r="V732" s="420" t="s">
        <v>71</v>
      </c>
      <c r="W732" s="261" t="str">
        <f t="shared" si="117"/>
        <v>기아자동차스팅어가솔린 2.5 AWD 마스터즈44230000</v>
      </c>
      <c r="X732" s="411">
        <f t="shared" si="118"/>
        <v>4506</v>
      </c>
      <c r="Y732" s="261">
        <v>6</v>
      </c>
      <c r="Z732" s="261">
        <v>6</v>
      </c>
      <c r="AA732" s="407" t="s">
        <v>367</v>
      </c>
      <c r="AB732" s="258" t="s">
        <v>73</v>
      </c>
      <c r="AC732" s="258"/>
      <c r="AD732" s="271">
        <v>4</v>
      </c>
      <c r="AE732" s="258" t="s">
        <v>2129</v>
      </c>
      <c r="AF732" s="259"/>
      <c r="AG732" s="260"/>
      <c r="AH732" s="259"/>
      <c r="AI732" s="259"/>
      <c r="AJ732" s="260"/>
      <c r="AK732" s="259">
        <v>26</v>
      </c>
      <c r="AL732" s="259"/>
      <c r="AM732" s="259" t="s">
        <v>3232</v>
      </c>
      <c r="AN732" s="449"/>
      <c r="AO732" s="449"/>
      <c r="AP732" s="449"/>
      <c r="AQ732" s="392" t="str">
        <f>IFERROR(VLOOKUP(BG732,#REF!,1,0),"")</f>
        <v/>
      </c>
      <c r="AS732" s="259" t="s">
        <v>3232</v>
      </c>
      <c r="BD732" s="202" t="str">
        <f t="shared" si="110"/>
        <v>스팅어가솔린 2.5 AWD 마스터즈</v>
      </c>
      <c r="BE732" s="261" t="str">
        <f t="shared" si="116"/>
        <v>0069</v>
      </c>
      <c r="BF732" s="407" t="s">
        <v>367</v>
      </c>
      <c r="BG732" s="202" t="str">
        <f t="shared" si="111"/>
        <v>0069-0731</v>
      </c>
    </row>
    <row r="733" spans="1:59">
      <c r="A733" s="405">
        <v>4507</v>
      </c>
      <c r="B733" s="406">
        <v>4507</v>
      </c>
      <c r="C733" s="261" t="str">
        <f t="shared" si="112"/>
        <v>0001-0069</v>
      </c>
      <c r="D733" s="261" t="str">
        <f t="shared" si="113"/>
        <v>0001-0069-0008</v>
      </c>
      <c r="E733" s="407" t="s">
        <v>366</v>
      </c>
      <c r="F733" s="261" t="str">
        <f>TEXT(VLOOKUP(J733,'[3]1'!$B$2:$D$37,2,0),"0000")</f>
        <v>0001</v>
      </c>
      <c r="G733" s="261" t="str">
        <f t="shared" si="114"/>
        <v>0069</v>
      </c>
      <c r="H733" s="408">
        <f t="shared" si="115"/>
        <v>8</v>
      </c>
      <c r="I733" s="407" t="s">
        <v>366</v>
      </c>
      <c r="J733" s="258" t="s">
        <v>828</v>
      </c>
      <c r="K733" s="258" t="s">
        <v>2723</v>
      </c>
      <c r="L733" s="266" t="s">
        <v>2957</v>
      </c>
      <c r="M733" s="316">
        <v>46430000</v>
      </c>
      <c r="N733" s="266">
        <v>3342</v>
      </c>
      <c r="O733" s="258" t="s">
        <v>77</v>
      </c>
      <c r="P733" s="258" t="s">
        <v>73</v>
      </c>
      <c r="Q733" s="258" t="s">
        <v>72</v>
      </c>
      <c r="R733" s="236">
        <v>5</v>
      </c>
      <c r="S733" s="410">
        <v>13</v>
      </c>
      <c r="T733" s="261">
        <v>6</v>
      </c>
      <c r="U733" s="261">
        <v>6</v>
      </c>
      <c r="V733" s="258" t="s">
        <v>71</v>
      </c>
      <c r="W733" s="261" t="str">
        <f t="shared" si="117"/>
        <v>기아자동차스팅어가솔린 터보 3.3 RWD 마스터즈46430000</v>
      </c>
      <c r="X733" s="411">
        <f t="shared" si="118"/>
        <v>4507</v>
      </c>
      <c r="Y733" s="261">
        <v>6</v>
      </c>
      <c r="Z733" s="261">
        <v>6</v>
      </c>
      <c r="AA733" s="407" t="s">
        <v>366</v>
      </c>
      <c r="AB733" s="258" t="s">
        <v>73</v>
      </c>
      <c r="AC733" s="258"/>
      <c r="AD733" s="271">
        <v>5</v>
      </c>
      <c r="AE733" s="258" t="s">
        <v>2129</v>
      </c>
      <c r="AF733" s="259"/>
      <c r="AG733" s="260"/>
      <c r="AH733" s="259"/>
      <c r="AI733" s="259"/>
      <c r="AJ733" s="260"/>
      <c r="AK733" s="259">
        <v>26</v>
      </c>
      <c r="AL733" s="259"/>
      <c r="AM733" s="259" t="s">
        <v>3227</v>
      </c>
      <c r="AN733" s="449"/>
      <c r="AO733" s="449"/>
      <c r="AP733" s="449"/>
      <c r="AQ733" s="392" t="str">
        <f>IFERROR(VLOOKUP(BG733,#REF!,1,0),"")</f>
        <v/>
      </c>
      <c r="AS733" s="259" t="s">
        <v>3227</v>
      </c>
      <c r="BD733" s="202" t="str">
        <f t="shared" si="110"/>
        <v>스팅어가솔린 터보 3.3 RWD 마스터즈</v>
      </c>
      <c r="BE733" s="261" t="str">
        <f t="shared" si="116"/>
        <v>0069</v>
      </c>
      <c r="BF733" s="407" t="s">
        <v>366</v>
      </c>
      <c r="BG733" s="202" t="str">
        <f t="shared" si="111"/>
        <v>0069-0732</v>
      </c>
    </row>
    <row r="734" spans="1:59">
      <c r="A734" s="405">
        <v>4508</v>
      </c>
      <c r="B734" s="406">
        <v>4508</v>
      </c>
      <c r="C734" s="261" t="str">
        <f t="shared" si="112"/>
        <v>0001-0069</v>
      </c>
      <c r="D734" s="261" t="str">
        <f t="shared" si="113"/>
        <v>0001-0069-0009</v>
      </c>
      <c r="E734" s="407" t="s">
        <v>365</v>
      </c>
      <c r="F734" s="261" t="str">
        <f>TEXT(VLOOKUP(J734,'[3]1'!$B$2:$D$37,2,0),"0000")</f>
        <v>0001</v>
      </c>
      <c r="G734" s="261" t="str">
        <f t="shared" si="114"/>
        <v>0069</v>
      </c>
      <c r="H734" s="408">
        <f t="shared" si="115"/>
        <v>9</v>
      </c>
      <c r="I734" s="407" t="s">
        <v>365</v>
      </c>
      <c r="J734" s="258" t="s">
        <v>828</v>
      </c>
      <c r="K734" s="258" t="s">
        <v>2723</v>
      </c>
      <c r="L734" s="266" t="s">
        <v>2958</v>
      </c>
      <c r="M734" s="316">
        <v>48880000</v>
      </c>
      <c r="N734" s="266">
        <v>3342</v>
      </c>
      <c r="O734" s="258" t="s">
        <v>77</v>
      </c>
      <c r="P734" s="258" t="s">
        <v>73</v>
      </c>
      <c r="Q734" s="258" t="s">
        <v>72</v>
      </c>
      <c r="R734" s="236">
        <v>5</v>
      </c>
      <c r="S734" s="410">
        <v>13</v>
      </c>
      <c r="T734" s="261">
        <v>6</v>
      </c>
      <c r="U734" s="261">
        <v>6</v>
      </c>
      <c r="V734" s="258" t="s">
        <v>71</v>
      </c>
      <c r="W734" s="261" t="str">
        <f t="shared" si="117"/>
        <v>기아자동차스팅어가솔린 터보 3.3 AWD 마스터즈48880000</v>
      </c>
      <c r="X734" s="411">
        <f t="shared" si="118"/>
        <v>4508</v>
      </c>
      <c r="Y734" s="261">
        <v>6</v>
      </c>
      <c r="Z734" s="261">
        <v>6</v>
      </c>
      <c r="AA734" s="407" t="s">
        <v>365</v>
      </c>
      <c r="AB734" s="258" t="s">
        <v>73</v>
      </c>
      <c r="AC734" s="258"/>
      <c r="AD734" s="271">
        <v>5</v>
      </c>
      <c r="AE734" s="258" t="s">
        <v>2129</v>
      </c>
      <c r="AF734" s="259"/>
      <c r="AG734" s="260"/>
      <c r="AH734" s="259"/>
      <c r="AI734" s="259"/>
      <c r="AJ734" s="260"/>
      <c r="AK734" s="259">
        <v>26</v>
      </c>
      <c r="AL734" s="259"/>
      <c r="AM734" s="259" t="s">
        <v>3227</v>
      </c>
      <c r="AN734" s="449"/>
      <c r="AO734" s="449"/>
      <c r="AP734" s="449"/>
      <c r="AQ734" s="392" t="str">
        <f>IFERROR(VLOOKUP(BG734,#REF!,1,0),"")</f>
        <v/>
      </c>
      <c r="AS734" s="259" t="s">
        <v>3227</v>
      </c>
      <c r="BD734" s="202" t="str">
        <f t="shared" si="110"/>
        <v>스팅어가솔린 터보 3.3 AWD 마스터즈</v>
      </c>
      <c r="BE734" s="261" t="str">
        <f t="shared" si="116"/>
        <v>0069</v>
      </c>
      <c r="BF734" s="407" t="s">
        <v>365</v>
      </c>
      <c r="BG734" s="202" t="str">
        <f t="shared" si="111"/>
        <v>0069-0733</v>
      </c>
    </row>
    <row r="735" spans="1:59">
      <c r="A735" s="405">
        <v>4509</v>
      </c>
      <c r="B735" s="406">
        <v>4509</v>
      </c>
      <c r="C735" s="261" t="str">
        <f t="shared" si="112"/>
        <v>0001-0070</v>
      </c>
      <c r="D735" s="261" t="str">
        <f t="shared" si="113"/>
        <v>0001-0070-0001</v>
      </c>
      <c r="E735" s="407" t="s">
        <v>364</v>
      </c>
      <c r="F735" s="261" t="str">
        <f>TEXT(VLOOKUP(J735,'[3]1'!$B$2:$D$37,2,0),"0000")</f>
        <v>0001</v>
      </c>
      <c r="G735" s="261" t="str">
        <f t="shared" si="114"/>
        <v>0070</v>
      </c>
      <c r="H735" s="408">
        <f t="shared" si="115"/>
        <v>1</v>
      </c>
      <c r="I735" s="407" t="s">
        <v>364</v>
      </c>
      <c r="J735" s="258" t="s">
        <v>828</v>
      </c>
      <c r="K735" s="258" t="s">
        <v>2724</v>
      </c>
      <c r="L735" s="258" t="s">
        <v>2313</v>
      </c>
      <c r="M735" s="409">
        <v>2917000</v>
      </c>
      <c r="N735" s="258">
        <v>1598</v>
      </c>
      <c r="O735" s="258" t="s">
        <v>78</v>
      </c>
      <c r="P735" s="258" t="s">
        <v>73</v>
      </c>
      <c r="Q735" s="258" t="s">
        <v>72</v>
      </c>
      <c r="R735" s="258">
        <v>5</v>
      </c>
      <c r="S735" s="410">
        <v>4</v>
      </c>
      <c r="T735" s="261">
        <v>6</v>
      </c>
      <c r="U735" s="261">
        <v>6</v>
      </c>
      <c r="V735" s="258" t="s">
        <v>3329</v>
      </c>
      <c r="W735" s="261" t="str">
        <f t="shared" si="117"/>
        <v>기아자동차스포티지1.6 디젤 시그니처2917000</v>
      </c>
      <c r="X735" s="411">
        <f t="shared" si="118"/>
        <v>4509</v>
      </c>
      <c r="Y735" s="261">
        <v>6</v>
      </c>
      <c r="Z735" s="261">
        <v>6</v>
      </c>
      <c r="AA735" s="407" t="s">
        <v>364</v>
      </c>
      <c r="AB735" s="258" t="s">
        <v>3333</v>
      </c>
      <c r="AC735" s="258"/>
      <c r="AD735" s="258" t="s">
        <v>2130</v>
      </c>
      <c r="AE735" s="258" t="s">
        <v>2129</v>
      </c>
      <c r="AF735" s="259"/>
      <c r="AG735" s="260"/>
      <c r="AH735" s="259"/>
      <c r="AI735" s="259"/>
      <c r="AJ735" s="260"/>
      <c r="AK735" s="259">
        <v>26</v>
      </c>
      <c r="AL735" s="259"/>
      <c r="AM735" s="259" t="s">
        <v>3226</v>
      </c>
      <c r="AN735" s="449"/>
      <c r="AO735" s="449"/>
      <c r="AP735" s="449"/>
      <c r="AQ735" s="392" t="str">
        <f>IFERROR(VLOOKUP(BG735,#REF!,1,0),"")</f>
        <v/>
      </c>
      <c r="AS735" s="259" t="s">
        <v>3226</v>
      </c>
      <c r="BD735" s="202" t="str">
        <f t="shared" si="110"/>
        <v>스포티지1.6 디젤 시그니처</v>
      </c>
      <c r="BE735" s="261" t="str">
        <f t="shared" si="116"/>
        <v>0070</v>
      </c>
      <c r="BF735" s="407" t="s">
        <v>364</v>
      </c>
      <c r="BG735" s="202" t="str">
        <f t="shared" si="111"/>
        <v>0070-0734</v>
      </c>
    </row>
    <row r="736" spans="1:59">
      <c r="A736" s="405">
        <v>4510</v>
      </c>
      <c r="B736" s="406">
        <v>4510</v>
      </c>
      <c r="C736" s="261" t="str">
        <f t="shared" si="112"/>
        <v>0001-0070</v>
      </c>
      <c r="D736" s="261" t="str">
        <f t="shared" si="113"/>
        <v>0001-0070-0002</v>
      </c>
      <c r="E736" s="407" t="s">
        <v>363</v>
      </c>
      <c r="F736" s="261" t="str">
        <f>TEXT(VLOOKUP(J736,'[3]1'!$B$2:$D$37,2,0),"0000")</f>
        <v>0001</v>
      </c>
      <c r="G736" s="261" t="str">
        <f t="shared" si="114"/>
        <v>0070</v>
      </c>
      <c r="H736" s="408">
        <f t="shared" si="115"/>
        <v>2</v>
      </c>
      <c r="I736" s="407" t="s">
        <v>363</v>
      </c>
      <c r="J736" s="258" t="s">
        <v>828</v>
      </c>
      <c r="K736" s="258" t="s">
        <v>2724</v>
      </c>
      <c r="L736" s="258" t="s">
        <v>2324</v>
      </c>
      <c r="M736" s="409">
        <v>24310000</v>
      </c>
      <c r="N736" s="258">
        <v>1995</v>
      </c>
      <c r="O736" s="258" t="s">
        <v>78</v>
      </c>
      <c r="P736" s="258" t="s">
        <v>73</v>
      </c>
      <c r="Q736" s="258" t="s">
        <v>72</v>
      </c>
      <c r="R736" s="258">
        <v>5</v>
      </c>
      <c r="S736" s="410">
        <v>4</v>
      </c>
      <c r="T736" s="261">
        <v>6</v>
      </c>
      <c r="U736" s="261">
        <v>6</v>
      </c>
      <c r="V736" s="258" t="s">
        <v>3329</v>
      </c>
      <c r="W736" s="261" t="str">
        <f t="shared" si="117"/>
        <v>기아자동차스포티지2.0 디젤 트렌디24310000</v>
      </c>
      <c r="X736" s="411">
        <f t="shared" si="118"/>
        <v>4510</v>
      </c>
      <c r="Y736" s="261">
        <v>6</v>
      </c>
      <c r="Z736" s="261">
        <v>6</v>
      </c>
      <c r="AA736" s="407" t="s">
        <v>363</v>
      </c>
      <c r="AB736" s="258" t="s">
        <v>3333</v>
      </c>
      <c r="AC736" s="258"/>
      <c r="AD736" s="258" t="s">
        <v>2135</v>
      </c>
      <c r="AE736" s="258" t="s">
        <v>2129</v>
      </c>
      <c r="AF736" s="259"/>
      <c r="AG736" s="260"/>
      <c r="AH736" s="259"/>
      <c r="AI736" s="259"/>
      <c r="AJ736" s="260"/>
      <c r="AK736" s="259">
        <v>26</v>
      </c>
      <c r="AL736" s="259"/>
      <c r="AM736" s="259" t="s">
        <v>3226</v>
      </c>
      <c r="AN736" s="449"/>
      <c r="AO736" s="449"/>
      <c r="AP736" s="449"/>
      <c r="AQ736" s="392" t="str">
        <f>IFERROR(VLOOKUP(BG736,#REF!,1,0),"")</f>
        <v/>
      </c>
      <c r="AS736" s="259" t="s">
        <v>3226</v>
      </c>
      <c r="BD736" s="202" t="str">
        <f t="shared" si="110"/>
        <v>스포티지2.0 디젤 트렌디</v>
      </c>
      <c r="BE736" s="261" t="str">
        <f t="shared" si="116"/>
        <v>0070</v>
      </c>
      <c r="BF736" s="407" t="s">
        <v>363</v>
      </c>
      <c r="BG736" s="202" t="str">
        <f t="shared" si="111"/>
        <v>0070-0735</v>
      </c>
    </row>
    <row r="737" spans="1:60">
      <c r="A737" s="405">
        <v>4511</v>
      </c>
      <c r="B737" s="406">
        <v>4511</v>
      </c>
      <c r="C737" s="261" t="str">
        <f t="shared" si="112"/>
        <v>0001-0070</v>
      </c>
      <c r="D737" s="261" t="str">
        <f t="shared" si="113"/>
        <v>0001-0070-0003</v>
      </c>
      <c r="E737" s="407" t="s">
        <v>362</v>
      </c>
      <c r="F737" s="261" t="str">
        <f>TEXT(VLOOKUP(J737,'[3]1'!$B$2:$D$37,2,0),"0000")</f>
        <v>0001</v>
      </c>
      <c r="G737" s="261" t="str">
        <f t="shared" si="114"/>
        <v>0070</v>
      </c>
      <c r="H737" s="408">
        <f t="shared" si="115"/>
        <v>3</v>
      </c>
      <c r="I737" s="407" t="s">
        <v>362</v>
      </c>
      <c r="J737" s="258" t="s">
        <v>828</v>
      </c>
      <c r="K737" s="258" t="s">
        <v>2724</v>
      </c>
      <c r="L737" s="258" t="s">
        <v>2310</v>
      </c>
      <c r="M737" s="409">
        <v>25890000</v>
      </c>
      <c r="N737" s="258">
        <v>1598</v>
      </c>
      <c r="O737" s="258" t="s">
        <v>78</v>
      </c>
      <c r="P737" s="258" t="s">
        <v>73</v>
      </c>
      <c r="Q737" s="258" t="s">
        <v>72</v>
      </c>
      <c r="R737" s="258">
        <v>5</v>
      </c>
      <c r="S737" s="410">
        <v>4</v>
      </c>
      <c r="T737" s="261">
        <v>6</v>
      </c>
      <c r="U737" s="261">
        <v>6</v>
      </c>
      <c r="V737" s="258" t="s">
        <v>3329</v>
      </c>
      <c r="W737" s="261" t="str">
        <f t="shared" si="117"/>
        <v>기아자동차스포티지1.6 디젤 프레스티지25890000</v>
      </c>
      <c r="X737" s="411">
        <f t="shared" si="118"/>
        <v>4511</v>
      </c>
      <c r="Y737" s="261">
        <v>6</v>
      </c>
      <c r="Z737" s="261">
        <v>6</v>
      </c>
      <c r="AA737" s="407" t="s">
        <v>362</v>
      </c>
      <c r="AB737" s="258" t="s">
        <v>3333</v>
      </c>
      <c r="AC737" s="258"/>
      <c r="AD737" s="258" t="s">
        <v>2130</v>
      </c>
      <c r="AE737" s="258" t="s">
        <v>2129</v>
      </c>
      <c r="AF737" s="259"/>
      <c r="AG737" s="260"/>
      <c r="AH737" s="259"/>
      <c r="AI737" s="259"/>
      <c r="AJ737" s="260"/>
      <c r="AK737" s="259">
        <v>26</v>
      </c>
      <c r="AL737" s="259"/>
      <c r="AM737" s="259" t="s">
        <v>3226</v>
      </c>
      <c r="AN737" s="449"/>
      <c r="AO737" s="449"/>
      <c r="AP737" s="449"/>
      <c r="AQ737" s="392" t="str">
        <f>IFERROR(VLOOKUP(BG737,#REF!,1,0),"")</f>
        <v/>
      </c>
      <c r="AS737" s="259" t="s">
        <v>3226</v>
      </c>
      <c r="BD737" s="202" t="str">
        <f t="shared" si="110"/>
        <v>스포티지1.6 디젤 프레스티지</v>
      </c>
      <c r="BE737" s="261" t="str">
        <f t="shared" si="116"/>
        <v>0070</v>
      </c>
      <c r="BF737" s="407" t="s">
        <v>362</v>
      </c>
      <c r="BG737" s="202" t="str">
        <f t="shared" si="111"/>
        <v>0070-0736</v>
      </c>
    </row>
    <row r="738" spans="1:60">
      <c r="A738" s="405">
        <v>4512</v>
      </c>
      <c r="B738" s="406">
        <v>4512</v>
      </c>
      <c r="C738" s="261" t="str">
        <f t="shared" si="112"/>
        <v>0001-0070</v>
      </c>
      <c r="D738" s="261" t="str">
        <f t="shared" si="113"/>
        <v>0001-0070-0004</v>
      </c>
      <c r="E738" s="407" t="s">
        <v>361</v>
      </c>
      <c r="F738" s="261" t="str">
        <f>TEXT(VLOOKUP(J738,'[3]1'!$B$2:$D$37,2,0),"0000")</f>
        <v>0001</v>
      </c>
      <c r="G738" s="261" t="str">
        <f t="shared" si="114"/>
        <v>0070</v>
      </c>
      <c r="H738" s="408">
        <f t="shared" si="115"/>
        <v>4</v>
      </c>
      <c r="I738" s="407" t="s">
        <v>361</v>
      </c>
      <c r="J738" s="258" t="s">
        <v>828</v>
      </c>
      <c r="K738" s="258" t="s">
        <v>2724</v>
      </c>
      <c r="L738" s="258" t="s">
        <v>2325</v>
      </c>
      <c r="M738" s="409">
        <v>29660000</v>
      </c>
      <c r="N738" s="258">
        <v>1995</v>
      </c>
      <c r="O738" s="258" t="s">
        <v>78</v>
      </c>
      <c r="P738" s="258" t="s">
        <v>73</v>
      </c>
      <c r="Q738" s="258" t="s">
        <v>72</v>
      </c>
      <c r="R738" s="258">
        <v>5</v>
      </c>
      <c r="S738" s="410">
        <v>4</v>
      </c>
      <c r="T738" s="261">
        <v>6</v>
      </c>
      <c r="U738" s="261">
        <v>6</v>
      </c>
      <c r="V738" s="258" t="s">
        <v>3329</v>
      </c>
      <c r="W738" s="261" t="str">
        <f t="shared" si="117"/>
        <v>기아자동차스포티지2.0 디젤 시그니처29660000</v>
      </c>
      <c r="X738" s="411">
        <f t="shared" si="118"/>
        <v>4512</v>
      </c>
      <c r="Y738" s="261">
        <v>6</v>
      </c>
      <c r="Z738" s="261">
        <v>6</v>
      </c>
      <c r="AA738" s="407" t="s">
        <v>361</v>
      </c>
      <c r="AB738" s="258" t="s">
        <v>3333</v>
      </c>
      <c r="AC738" s="258"/>
      <c r="AD738" s="258" t="s">
        <v>2130</v>
      </c>
      <c r="AE738" s="258" t="s">
        <v>2129</v>
      </c>
      <c r="AF738" s="259"/>
      <c r="AG738" s="260"/>
      <c r="AH738" s="259"/>
      <c r="AI738" s="259"/>
      <c r="AJ738" s="260"/>
      <c r="AK738" s="259">
        <v>26</v>
      </c>
      <c r="AL738" s="259"/>
      <c r="AM738" s="259" t="s">
        <v>3226</v>
      </c>
      <c r="AN738" s="449"/>
      <c r="AO738" s="449"/>
      <c r="AP738" s="449"/>
      <c r="AQ738" s="392" t="str">
        <f>IFERROR(VLOOKUP(BG738,#REF!,1,0),"")</f>
        <v/>
      </c>
      <c r="AS738" s="259" t="s">
        <v>3226</v>
      </c>
      <c r="BD738" s="202" t="str">
        <f t="shared" si="110"/>
        <v>스포티지2.0 디젤 시그니처</v>
      </c>
      <c r="BE738" s="261" t="str">
        <f t="shared" si="116"/>
        <v>0070</v>
      </c>
      <c r="BF738" s="407" t="s">
        <v>361</v>
      </c>
      <c r="BG738" s="202" t="str">
        <f t="shared" si="111"/>
        <v>0070-0737</v>
      </c>
    </row>
    <row r="739" spans="1:60">
      <c r="A739" s="405">
        <v>4513</v>
      </c>
      <c r="B739" s="406">
        <v>4513</v>
      </c>
      <c r="C739" s="261" t="str">
        <f t="shared" si="112"/>
        <v>0001-0070</v>
      </c>
      <c r="D739" s="261" t="str">
        <f t="shared" si="113"/>
        <v>0001-0070-0005</v>
      </c>
      <c r="E739" s="407" t="s">
        <v>360</v>
      </c>
      <c r="F739" s="261" t="str">
        <f>TEXT(VLOOKUP(J739,'[3]1'!$B$2:$D$37,2,0),"0000")</f>
        <v>0001</v>
      </c>
      <c r="G739" s="261" t="str">
        <f t="shared" si="114"/>
        <v>0070</v>
      </c>
      <c r="H739" s="408">
        <f t="shared" si="115"/>
        <v>5</v>
      </c>
      <c r="I739" s="407" t="s">
        <v>360</v>
      </c>
      <c r="J739" s="258" t="s">
        <v>828</v>
      </c>
      <c r="K739" s="258" t="s">
        <v>2724</v>
      </c>
      <c r="L739" s="258" t="s">
        <v>2326</v>
      </c>
      <c r="M739" s="409">
        <v>26380000</v>
      </c>
      <c r="N739" s="258">
        <v>1995</v>
      </c>
      <c r="O739" s="258" t="s">
        <v>78</v>
      </c>
      <c r="P739" s="258" t="s">
        <v>73</v>
      </c>
      <c r="Q739" s="258" t="s">
        <v>72</v>
      </c>
      <c r="R739" s="258">
        <v>5</v>
      </c>
      <c r="S739" s="410">
        <v>4</v>
      </c>
      <c r="T739" s="261">
        <v>6</v>
      </c>
      <c r="U739" s="261">
        <v>6</v>
      </c>
      <c r="V739" s="258" t="s">
        <v>71</v>
      </c>
      <c r="W739" s="261" t="str">
        <f t="shared" si="117"/>
        <v>기아자동차스포티지2.0 디젤 프레스티지26380000</v>
      </c>
      <c r="X739" s="411">
        <f t="shared" si="118"/>
        <v>4513</v>
      </c>
      <c r="Y739" s="261">
        <v>6</v>
      </c>
      <c r="Z739" s="261">
        <v>6</v>
      </c>
      <c r="AA739" s="407" t="s">
        <v>360</v>
      </c>
      <c r="AB739" s="258" t="s">
        <v>73</v>
      </c>
      <c r="AC739" s="258"/>
      <c r="AD739" s="258" t="s">
        <v>2130</v>
      </c>
      <c r="AE739" s="258" t="s">
        <v>2129</v>
      </c>
      <c r="AF739" s="259"/>
      <c r="AG739" s="260"/>
      <c r="AH739" s="259"/>
      <c r="AI739" s="259"/>
      <c r="AJ739" s="260"/>
      <c r="AK739" s="259">
        <v>26</v>
      </c>
      <c r="AL739" s="259"/>
      <c r="AM739" s="259" t="s">
        <v>3226</v>
      </c>
      <c r="AN739" s="449"/>
      <c r="AO739" s="449"/>
      <c r="AP739" s="449"/>
      <c r="AQ739" s="392" t="str">
        <f>IFERROR(VLOOKUP(BG739,#REF!,1,0),"")</f>
        <v/>
      </c>
      <c r="AS739" s="259" t="s">
        <v>3226</v>
      </c>
      <c r="BD739" s="202" t="str">
        <f t="shared" si="110"/>
        <v>스포티지2.0 디젤 프레스티지</v>
      </c>
      <c r="BE739" s="261" t="str">
        <f t="shared" si="116"/>
        <v>0070</v>
      </c>
      <c r="BF739" s="407" t="s">
        <v>360</v>
      </c>
      <c r="BG739" s="202" t="str">
        <f t="shared" si="111"/>
        <v>0070-0738</v>
      </c>
    </row>
    <row r="740" spans="1:60">
      <c r="A740" s="405">
        <v>4514</v>
      </c>
      <c r="B740" s="406">
        <v>4514</v>
      </c>
      <c r="C740" s="261" t="str">
        <f t="shared" si="112"/>
        <v>0001-0070</v>
      </c>
      <c r="D740" s="261" t="str">
        <f t="shared" si="113"/>
        <v>0001-0070-0006</v>
      </c>
      <c r="E740" s="407" t="s">
        <v>359</v>
      </c>
      <c r="F740" s="261" t="str">
        <f>TEXT(VLOOKUP(J740,'[3]1'!$B$2:$D$37,2,0),"0000")</f>
        <v>0001</v>
      </c>
      <c r="G740" s="261" t="str">
        <f t="shared" si="114"/>
        <v>0070</v>
      </c>
      <c r="H740" s="408">
        <f t="shared" si="115"/>
        <v>6</v>
      </c>
      <c r="I740" s="407" t="s">
        <v>359</v>
      </c>
      <c r="J740" s="258" t="s">
        <v>828</v>
      </c>
      <c r="K740" s="258" t="s">
        <v>2724</v>
      </c>
      <c r="L740" s="258" t="s">
        <v>2312</v>
      </c>
      <c r="M740" s="409">
        <v>23810000</v>
      </c>
      <c r="N740" s="258">
        <v>1598</v>
      </c>
      <c r="O740" s="258" t="s">
        <v>78</v>
      </c>
      <c r="P740" s="258" t="s">
        <v>73</v>
      </c>
      <c r="Q740" s="258" t="s">
        <v>72</v>
      </c>
      <c r="R740" s="258">
        <v>5</v>
      </c>
      <c r="S740" s="410">
        <v>4</v>
      </c>
      <c r="T740" s="261">
        <v>6</v>
      </c>
      <c r="U740" s="261">
        <v>6</v>
      </c>
      <c r="V740" s="258" t="s">
        <v>3329</v>
      </c>
      <c r="W740" s="261" t="str">
        <f t="shared" si="117"/>
        <v>기아자동차스포티지1.6 디젤 트렌디23810000</v>
      </c>
      <c r="X740" s="411">
        <f t="shared" si="118"/>
        <v>4514</v>
      </c>
      <c r="Y740" s="261">
        <v>6</v>
      </c>
      <c r="Z740" s="261">
        <v>6</v>
      </c>
      <c r="AA740" s="407" t="s">
        <v>359</v>
      </c>
      <c r="AB740" s="258" t="s">
        <v>3333</v>
      </c>
      <c r="AC740" s="258"/>
      <c r="AD740" s="258" t="s">
        <v>2130</v>
      </c>
      <c r="AE740" s="258" t="s">
        <v>2129</v>
      </c>
      <c r="AF740" s="259"/>
      <c r="AG740" s="260"/>
      <c r="AH740" s="259"/>
      <c r="AI740" s="259"/>
      <c r="AJ740" s="260"/>
      <c r="AK740" s="259">
        <v>26</v>
      </c>
      <c r="AL740" s="259"/>
      <c r="AM740" s="259" t="s">
        <v>3226</v>
      </c>
      <c r="AN740" s="449"/>
      <c r="AO740" s="449"/>
      <c r="AP740" s="449"/>
      <c r="AQ740" s="392" t="str">
        <f>IFERROR(VLOOKUP(BG740,#REF!,1,0),"")</f>
        <v/>
      </c>
      <c r="AS740" s="259" t="s">
        <v>3226</v>
      </c>
      <c r="BD740" s="202" t="str">
        <f t="shared" si="110"/>
        <v>스포티지1.6 디젤 트렌디</v>
      </c>
      <c r="BE740" s="261" t="str">
        <f t="shared" si="116"/>
        <v>0070</v>
      </c>
      <c r="BF740" s="407" t="s">
        <v>359</v>
      </c>
      <c r="BG740" s="202" t="str">
        <f t="shared" si="111"/>
        <v>0070-0739</v>
      </c>
    </row>
    <row r="741" spans="1:60">
      <c r="A741" s="405">
        <v>4515</v>
      </c>
      <c r="B741" s="406">
        <v>4515</v>
      </c>
      <c r="C741" s="261" t="str">
        <f t="shared" si="112"/>
        <v>0001-0070</v>
      </c>
      <c r="D741" s="261" t="str">
        <f t="shared" si="113"/>
        <v>0001-0070-0007</v>
      </c>
      <c r="E741" s="407" t="s">
        <v>358</v>
      </c>
      <c r="F741" s="261" t="str">
        <f>TEXT(VLOOKUP(J741,'[3]1'!$B$2:$D$37,2,0),"0000")</f>
        <v>0001</v>
      </c>
      <c r="G741" s="261" t="str">
        <f t="shared" si="114"/>
        <v>0070</v>
      </c>
      <c r="H741" s="408">
        <f t="shared" si="115"/>
        <v>7</v>
      </c>
      <c r="I741" s="407" t="s">
        <v>358</v>
      </c>
      <c r="J741" s="258" t="s">
        <v>828</v>
      </c>
      <c r="K741" s="258" t="s">
        <v>2724</v>
      </c>
      <c r="L741" s="258" t="s">
        <v>3194</v>
      </c>
      <c r="M741" s="409">
        <v>32530000</v>
      </c>
      <c r="N741" s="258">
        <v>1999</v>
      </c>
      <c r="O741" s="258" t="s">
        <v>77</v>
      </c>
      <c r="P741" s="258" t="s">
        <v>73</v>
      </c>
      <c r="Q741" s="258" t="s">
        <v>72</v>
      </c>
      <c r="R741" s="258">
        <v>5</v>
      </c>
      <c r="S741" s="410">
        <v>15</v>
      </c>
      <c r="T741" s="261">
        <v>6</v>
      </c>
      <c r="U741" s="261">
        <v>6</v>
      </c>
      <c r="V741" s="258" t="s">
        <v>3329</v>
      </c>
      <c r="W741" s="261" t="str">
        <f t="shared" si="117"/>
        <v>기아자동차스포티지1.6 가솔린 시그니처32530000</v>
      </c>
      <c r="X741" s="411">
        <f t="shared" si="118"/>
        <v>4515</v>
      </c>
      <c r="Y741" s="261">
        <v>6</v>
      </c>
      <c r="Z741" s="261">
        <v>6</v>
      </c>
      <c r="AA741" s="407" t="s">
        <v>358</v>
      </c>
      <c r="AB741" s="258" t="s">
        <v>3333</v>
      </c>
      <c r="AC741" s="258"/>
      <c r="AD741" s="258" t="s">
        <v>2135</v>
      </c>
      <c r="AE741" s="258" t="s">
        <v>2129</v>
      </c>
      <c r="AF741" s="259"/>
      <c r="AG741" s="260"/>
      <c r="AH741" s="259"/>
      <c r="AI741" s="259"/>
      <c r="AJ741" s="260"/>
      <c r="AK741" s="259">
        <v>26</v>
      </c>
      <c r="AL741" s="259"/>
      <c r="AM741" s="259" t="s">
        <v>3233</v>
      </c>
      <c r="AN741" s="449"/>
      <c r="AO741" s="449"/>
      <c r="AP741" s="449"/>
      <c r="AQ741" s="392" t="str">
        <f>IFERROR(VLOOKUP(BG741,#REF!,1,0),"")</f>
        <v/>
      </c>
      <c r="AS741" s="259" t="s">
        <v>3233</v>
      </c>
      <c r="BD741" s="202" t="str">
        <f t="shared" si="110"/>
        <v>스포티지1.6 가솔린 시그니처</v>
      </c>
      <c r="BE741" s="261" t="str">
        <f t="shared" si="116"/>
        <v>0070</v>
      </c>
      <c r="BF741" s="407" t="s">
        <v>358</v>
      </c>
      <c r="BG741" s="202" t="str">
        <f t="shared" si="111"/>
        <v>0070-0740</v>
      </c>
    </row>
    <row r="742" spans="1:60">
      <c r="A742" s="405">
        <v>4516</v>
      </c>
      <c r="B742" s="406">
        <v>4516</v>
      </c>
      <c r="C742" s="261" t="str">
        <f t="shared" si="112"/>
        <v>0001-0070</v>
      </c>
      <c r="D742" s="261" t="str">
        <f t="shared" si="113"/>
        <v>0001-0070-0008</v>
      </c>
      <c r="E742" s="407" t="s">
        <v>357</v>
      </c>
      <c r="F742" s="261" t="str">
        <f>TEXT(VLOOKUP(J742,'[3]1'!$B$2:$D$37,2,0),"0000")</f>
        <v>0001</v>
      </c>
      <c r="G742" s="261" t="str">
        <f t="shared" si="114"/>
        <v>0070</v>
      </c>
      <c r="H742" s="408">
        <f t="shared" si="115"/>
        <v>8</v>
      </c>
      <c r="I742" s="407" t="s">
        <v>357</v>
      </c>
      <c r="J742" s="258" t="s">
        <v>828</v>
      </c>
      <c r="K742" s="258" t="s">
        <v>2724</v>
      </c>
      <c r="L742" s="258" t="s">
        <v>3195</v>
      </c>
      <c r="M742" s="409">
        <v>26730000</v>
      </c>
      <c r="N742" s="258">
        <v>1999</v>
      </c>
      <c r="O742" s="258" t="s">
        <v>77</v>
      </c>
      <c r="P742" s="258" t="s">
        <v>73</v>
      </c>
      <c r="Q742" s="258" t="s">
        <v>72</v>
      </c>
      <c r="R742" s="258">
        <v>5</v>
      </c>
      <c r="S742" s="410">
        <v>15</v>
      </c>
      <c r="T742" s="261">
        <v>6</v>
      </c>
      <c r="U742" s="261">
        <v>6</v>
      </c>
      <c r="V742" s="258" t="s">
        <v>3329</v>
      </c>
      <c r="W742" s="261" t="str">
        <f t="shared" si="117"/>
        <v>기아자동차스포티지1.6 가솔린 프레스티지26730000</v>
      </c>
      <c r="X742" s="411">
        <f t="shared" si="118"/>
        <v>4516</v>
      </c>
      <c r="Y742" s="261">
        <v>6</v>
      </c>
      <c r="Z742" s="261">
        <v>6</v>
      </c>
      <c r="AA742" s="407" t="s">
        <v>357</v>
      </c>
      <c r="AB742" s="258" t="s">
        <v>3333</v>
      </c>
      <c r="AC742" s="258"/>
      <c r="AD742" s="258" t="s">
        <v>2135</v>
      </c>
      <c r="AE742" s="258" t="s">
        <v>2129</v>
      </c>
      <c r="AF742" s="259"/>
      <c r="AG742" s="260"/>
      <c r="AH742" s="259"/>
      <c r="AI742" s="259"/>
      <c r="AJ742" s="260"/>
      <c r="AK742" s="259">
        <v>26</v>
      </c>
      <c r="AL742" s="259"/>
      <c r="AM742" s="259" t="s">
        <v>3233</v>
      </c>
      <c r="AN742" s="449"/>
      <c r="AO742" s="449"/>
      <c r="AP742" s="449"/>
      <c r="AQ742" s="392" t="str">
        <f>IFERROR(VLOOKUP(BG742,#REF!,1,0),"")</f>
        <v/>
      </c>
      <c r="AS742" s="259" t="s">
        <v>3233</v>
      </c>
      <c r="BD742" s="202" t="str">
        <f t="shared" si="110"/>
        <v>스포티지1.6 가솔린 프레스티지</v>
      </c>
      <c r="BE742" s="261" t="str">
        <f t="shared" si="116"/>
        <v>0070</v>
      </c>
      <c r="BF742" s="407" t="s">
        <v>357</v>
      </c>
      <c r="BG742" s="202" t="str">
        <f t="shared" si="111"/>
        <v>0070-0741</v>
      </c>
    </row>
    <row r="743" spans="1:60" s="479" customFormat="1">
      <c r="A743" s="405">
        <v>4517</v>
      </c>
      <c r="B743" s="406">
        <v>4517</v>
      </c>
      <c r="C743" s="261" t="str">
        <f t="shared" si="112"/>
        <v>0001-0071</v>
      </c>
      <c r="D743" s="261" t="str">
        <f t="shared" si="113"/>
        <v>0001-0071-0001</v>
      </c>
      <c r="E743" s="407" t="s">
        <v>356</v>
      </c>
      <c r="F743" s="261" t="str">
        <f>TEXT(VLOOKUP(J743,'[3]1'!$B$2:$D$37,2,0),"0000")</f>
        <v>0001</v>
      </c>
      <c r="G743" s="261" t="str">
        <f t="shared" si="114"/>
        <v>0071</v>
      </c>
      <c r="H743" s="408">
        <f t="shared" si="115"/>
        <v>1</v>
      </c>
      <c r="I743" s="407" t="s">
        <v>356</v>
      </c>
      <c r="J743" s="258" t="s">
        <v>828</v>
      </c>
      <c r="K743" s="258" t="s">
        <v>3148</v>
      </c>
      <c r="L743" s="473" t="s">
        <v>3149</v>
      </c>
      <c r="M743" s="474">
        <v>35930000</v>
      </c>
      <c r="N743" s="473">
        <v>1598</v>
      </c>
      <c r="O743" s="473" t="s">
        <v>1173</v>
      </c>
      <c r="P743" s="258" t="s">
        <v>73</v>
      </c>
      <c r="Q743" s="258" t="s">
        <v>72</v>
      </c>
      <c r="R743" s="258">
        <v>5</v>
      </c>
      <c r="S743" s="475">
        <v>4</v>
      </c>
      <c r="T743" s="261">
        <v>6</v>
      </c>
      <c r="U743" s="261">
        <v>6</v>
      </c>
      <c r="V743" s="258" t="s">
        <v>1914</v>
      </c>
      <c r="W743" s="261" t="str">
        <f t="shared" si="117"/>
        <v>기아자동차스포티지 하이브리드1.6 하이브리드 시그니처35930000</v>
      </c>
      <c r="X743" s="411">
        <f t="shared" si="118"/>
        <v>4517</v>
      </c>
      <c r="Y743" s="261">
        <v>6</v>
      </c>
      <c r="Z743" s="261">
        <v>6</v>
      </c>
      <c r="AA743" s="407" t="s">
        <v>356</v>
      </c>
      <c r="AB743" s="258" t="s">
        <v>73</v>
      </c>
      <c r="AC743" s="258"/>
      <c r="AD743" s="258" t="s">
        <v>2135</v>
      </c>
      <c r="AE743" s="258" t="s">
        <v>2129</v>
      </c>
      <c r="AF743" s="476"/>
      <c r="AG743" s="476"/>
      <c r="AH743" s="476"/>
      <c r="AI743" s="476"/>
      <c r="AJ743" s="476"/>
      <c r="AK743" s="259">
        <v>26</v>
      </c>
      <c r="AL743" s="259"/>
      <c r="AM743" s="259" t="s">
        <v>3226</v>
      </c>
      <c r="AN743" s="477"/>
      <c r="AO743" s="477"/>
      <c r="AP743" s="477"/>
      <c r="AQ743" s="392" t="str">
        <f>IFERROR(VLOOKUP(BG743,#REF!,1,0),"")</f>
        <v/>
      </c>
      <c r="AR743" s="478"/>
      <c r="AS743" s="259" t="s">
        <v>3226</v>
      </c>
      <c r="AT743" s="478" t="s">
        <v>3150</v>
      </c>
      <c r="AU743" s="478"/>
      <c r="AV743" s="478"/>
      <c r="AW743" s="478"/>
      <c r="AX743" s="478"/>
      <c r="AY743" s="478"/>
      <c r="BD743" s="202" t="str">
        <f t="shared" si="110"/>
        <v>스포티지 하이브리드1.6 하이브리드 시그니처</v>
      </c>
      <c r="BE743" s="261" t="str">
        <f t="shared" si="116"/>
        <v>0071</v>
      </c>
      <c r="BF743" s="407" t="s">
        <v>356</v>
      </c>
      <c r="BG743" s="202" t="str">
        <f t="shared" si="111"/>
        <v>0071-0742</v>
      </c>
      <c r="BH743" s="202"/>
    </row>
    <row r="744" spans="1:60" s="479" customFormat="1">
      <c r="A744" s="405">
        <v>4518</v>
      </c>
      <c r="B744" s="406">
        <v>4518</v>
      </c>
      <c r="C744" s="261" t="str">
        <f t="shared" si="112"/>
        <v>0001-0071</v>
      </c>
      <c r="D744" s="261" t="str">
        <f t="shared" si="113"/>
        <v>0001-0071-0002</v>
      </c>
      <c r="E744" s="407" t="s">
        <v>355</v>
      </c>
      <c r="F744" s="261" t="str">
        <f>TEXT(VLOOKUP(J744,'[3]1'!$B$2:$D$37,2,0),"0000")</f>
        <v>0001</v>
      </c>
      <c r="G744" s="261" t="str">
        <f t="shared" si="114"/>
        <v>0071</v>
      </c>
      <c r="H744" s="408">
        <f t="shared" si="115"/>
        <v>2</v>
      </c>
      <c r="I744" s="407" t="s">
        <v>355</v>
      </c>
      <c r="J744" s="258" t="s">
        <v>828</v>
      </c>
      <c r="K744" s="258" t="s">
        <v>3148</v>
      </c>
      <c r="L744" s="473" t="s">
        <v>3151</v>
      </c>
      <c r="M744" s="474">
        <v>31090000</v>
      </c>
      <c r="N744" s="473">
        <v>1598</v>
      </c>
      <c r="O744" s="473" t="s">
        <v>1173</v>
      </c>
      <c r="P744" s="258" t="s">
        <v>73</v>
      </c>
      <c r="Q744" s="258" t="s">
        <v>72</v>
      </c>
      <c r="R744" s="258">
        <v>5</v>
      </c>
      <c r="S744" s="475">
        <v>4</v>
      </c>
      <c r="T744" s="261">
        <v>6</v>
      </c>
      <c r="U744" s="261">
        <v>6</v>
      </c>
      <c r="V744" s="258" t="s">
        <v>1914</v>
      </c>
      <c r="W744" s="261" t="str">
        <f t="shared" si="117"/>
        <v>기아자동차스포티지 하이브리드1.6 하이브리드 프레스티지31090000</v>
      </c>
      <c r="X744" s="411">
        <f t="shared" si="118"/>
        <v>4518</v>
      </c>
      <c r="Y744" s="261">
        <v>6</v>
      </c>
      <c r="Z744" s="261">
        <v>6</v>
      </c>
      <c r="AA744" s="407" t="s">
        <v>355</v>
      </c>
      <c r="AB744" s="258" t="s">
        <v>73</v>
      </c>
      <c r="AC744" s="258"/>
      <c r="AD744" s="258" t="s">
        <v>2135</v>
      </c>
      <c r="AE744" s="258" t="s">
        <v>2129</v>
      </c>
      <c r="AF744" s="476"/>
      <c r="AG744" s="476"/>
      <c r="AH744" s="476"/>
      <c r="AI744" s="476"/>
      <c r="AJ744" s="476"/>
      <c r="AK744" s="259">
        <v>26</v>
      </c>
      <c r="AL744" s="259"/>
      <c r="AM744" s="259" t="s">
        <v>3226</v>
      </c>
      <c r="AN744" s="477"/>
      <c r="AO744" s="477"/>
      <c r="AP744" s="477"/>
      <c r="AQ744" s="392" t="str">
        <f>IFERROR(VLOOKUP(BG744,#REF!,1,0),"")</f>
        <v/>
      </c>
      <c r="AR744" s="478"/>
      <c r="AS744" s="259" t="s">
        <v>3226</v>
      </c>
      <c r="AT744" s="478" t="s">
        <v>3150</v>
      </c>
      <c r="AU744" s="478"/>
      <c r="AV744" s="478"/>
      <c r="AW744" s="478"/>
      <c r="AX744" s="478"/>
      <c r="AY744" s="478"/>
      <c r="BD744" s="202" t="str">
        <f t="shared" si="110"/>
        <v>스포티지 하이브리드1.6 하이브리드 프레스티지</v>
      </c>
      <c r="BE744" s="261" t="str">
        <f t="shared" si="116"/>
        <v>0071</v>
      </c>
      <c r="BF744" s="407" t="s">
        <v>355</v>
      </c>
      <c r="BG744" s="202" t="str">
        <f t="shared" si="111"/>
        <v>0071-0743</v>
      </c>
      <c r="BH744" s="202"/>
    </row>
    <row r="745" spans="1:60">
      <c r="A745" s="405">
        <v>4519</v>
      </c>
      <c r="B745" s="406">
        <v>4519</v>
      </c>
      <c r="C745" s="261" t="str">
        <f t="shared" si="112"/>
        <v>0001-0072</v>
      </c>
      <c r="D745" s="261" t="str">
        <f t="shared" si="113"/>
        <v>0001-0072-0001</v>
      </c>
      <c r="E745" s="407" t="s">
        <v>354</v>
      </c>
      <c r="F745" s="261" t="str">
        <f>TEXT(VLOOKUP(J745,'[3]1'!$B$2:$D$37,2,0),"0000")</f>
        <v>0001</v>
      </c>
      <c r="G745" s="261" t="str">
        <f t="shared" si="114"/>
        <v>0072</v>
      </c>
      <c r="H745" s="408">
        <f t="shared" si="115"/>
        <v>1</v>
      </c>
      <c r="I745" s="407" t="s">
        <v>354</v>
      </c>
      <c r="J745" s="258" t="s">
        <v>828</v>
      </c>
      <c r="K745" s="258" t="s">
        <v>2725</v>
      </c>
      <c r="L745" s="258" t="s">
        <v>2327</v>
      </c>
      <c r="M745" s="409">
        <v>33870000</v>
      </c>
      <c r="N745" s="258">
        <v>2151</v>
      </c>
      <c r="O745" s="258" t="s">
        <v>78</v>
      </c>
      <c r="P745" s="258" t="s">
        <v>1965</v>
      </c>
      <c r="Q745" s="258" t="s">
        <v>72</v>
      </c>
      <c r="R745" s="258">
        <v>6</v>
      </c>
      <c r="S745" s="410">
        <v>1</v>
      </c>
      <c r="T745" s="261">
        <v>6</v>
      </c>
      <c r="U745" s="261">
        <v>6</v>
      </c>
      <c r="V745" s="258" t="s">
        <v>3329</v>
      </c>
      <c r="W745" s="261" t="str">
        <f t="shared" si="117"/>
        <v>기아자동차쏘렌토MQ4 디젤 2.2 프레스티지 (6인승)33870000</v>
      </c>
      <c r="X745" s="411">
        <f t="shared" si="118"/>
        <v>4519</v>
      </c>
      <c r="Y745" s="261">
        <v>6</v>
      </c>
      <c r="Z745" s="261">
        <v>6</v>
      </c>
      <c r="AA745" s="407" t="s">
        <v>354</v>
      </c>
      <c r="AB745" s="258" t="s">
        <v>1965</v>
      </c>
      <c r="AC745" s="258"/>
      <c r="AD745" s="258" t="s">
        <v>2136</v>
      </c>
      <c r="AE745" s="258" t="s">
        <v>2129</v>
      </c>
      <c r="AF745" s="259"/>
      <c r="AG745" s="260"/>
      <c r="AH745" s="259"/>
      <c r="AI745" s="259"/>
      <c r="AJ745" s="260"/>
      <c r="AK745" s="259">
        <v>26</v>
      </c>
      <c r="AL745" s="259"/>
      <c r="AM745" s="259" t="s">
        <v>3189</v>
      </c>
      <c r="AN745" s="449"/>
      <c r="AO745" s="449"/>
      <c r="AP745" s="449"/>
      <c r="AQ745" s="392" t="str">
        <f>IFERROR(VLOOKUP(BG745,#REF!,1,0),"")</f>
        <v/>
      </c>
      <c r="AS745" s="259" t="s">
        <v>3189</v>
      </c>
      <c r="BD745" s="202" t="str">
        <f t="shared" si="110"/>
        <v>쏘렌토MQ4 디젤 2.2 프레스티지 (6인승)</v>
      </c>
      <c r="BE745" s="261" t="str">
        <f t="shared" si="116"/>
        <v>0072</v>
      </c>
      <c r="BF745" s="407" t="s">
        <v>354</v>
      </c>
      <c r="BG745" s="202" t="str">
        <f t="shared" si="111"/>
        <v>0072-0744</v>
      </c>
    </row>
    <row r="746" spans="1:60">
      <c r="A746" s="405">
        <v>4520</v>
      </c>
      <c r="B746" s="406">
        <v>4520</v>
      </c>
      <c r="C746" s="261" t="str">
        <f t="shared" si="112"/>
        <v>0001-0072</v>
      </c>
      <c r="D746" s="261" t="str">
        <f t="shared" si="113"/>
        <v>0001-0072-0002</v>
      </c>
      <c r="E746" s="407" t="s">
        <v>353</v>
      </c>
      <c r="F746" s="261" t="str">
        <f>TEXT(VLOOKUP(J746,'[3]1'!$B$2:$D$37,2,0),"0000")</f>
        <v>0001</v>
      </c>
      <c r="G746" s="261" t="str">
        <f t="shared" si="114"/>
        <v>0072</v>
      </c>
      <c r="H746" s="408">
        <f t="shared" si="115"/>
        <v>2</v>
      </c>
      <c r="I746" s="407" t="s">
        <v>353</v>
      </c>
      <c r="J746" s="413" t="s">
        <v>828</v>
      </c>
      <c r="K746" s="258" t="s">
        <v>2725</v>
      </c>
      <c r="L746" s="258" t="s">
        <v>2331</v>
      </c>
      <c r="M746" s="409">
        <v>33080000</v>
      </c>
      <c r="N746" s="258">
        <v>2151</v>
      </c>
      <c r="O746" s="258" t="s">
        <v>78</v>
      </c>
      <c r="P746" s="258" t="s">
        <v>1965</v>
      </c>
      <c r="Q746" s="258" t="s">
        <v>72</v>
      </c>
      <c r="R746" s="258">
        <v>5</v>
      </c>
      <c r="S746" s="410">
        <v>1</v>
      </c>
      <c r="T746" s="261">
        <v>6</v>
      </c>
      <c r="U746" s="261">
        <v>6</v>
      </c>
      <c r="V746" s="258" t="s">
        <v>1969</v>
      </c>
      <c r="W746" s="261" t="str">
        <f t="shared" si="117"/>
        <v>기아자동차쏘렌토MQ4 디젤 2.2 프레스티지 (5인승)33080000</v>
      </c>
      <c r="X746" s="411">
        <f t="shared" si="118"/>
        <v>4520</v>
      </c>
      <c r="Y746" s="261">
        <v>6</v>
      </c>
      <c r="Z746" s="261">
        <v>6</v>
      </c>
      <c r="AA746" s="407" t="s">
        <v>353</v>
      </c>
      <c r="AB746" s="258" t="s">
        <v>1965</v>
      </c>
      <c r="AC746" s="258"/>
      <c r="AD746" s="258" t="s">
        <v>2136</v>
      </c>
      <c r="AE746" s="258" t="s">
        <v>2129</v>
      </c>
      <c r="AF746" s="259"/>
      <c r="AG746" s="260"/>
      <c r="AH746" s="259"/>
      <c r="AI746" s="259"/>
      <c r="AJ746" s="260"/>
      <c r="AK746" s="259">
        <v>26</v>
      </c>
      <c r="AL746" s="259"/>
      <c r="AM746" s="259" t="s">
        <v>3189</v>
      </c>
      <c r="AN746" s="449"/>
      <c r="AO746" s="449"/>
      <c r="AP746" s="449"/>
      <c r="AQ746" s="392" t="str">
        <f>IFERROR(VLOOKUP(BG746,#REF!,1,0),"")</f>
        <v/>
      </c>
      <c r="AS746" s="259" t="s">
        <v>3189</v>
      </c>
      <c r="BD746" s="202" t="str">
        <f t="shared" si="110"/>
        <v>쏘렌토MQ4 디젤 2.2 프레스티지 (5인승)</v>
      </c>
      <c r="BE746" s="261" t="str">
        <f t="shared" si="116"/>
        <v>0072</v>
      </c>
      <c r="BF746" s="407" t="s">
        <v>353</v>
      </c>
      <c r="BG746" s="202" t="str">
        <f t="shared" si="111"/>
        <v>0072-0745</v>
      </c>
    </row>
    <row r="747" spans="1:60">
      <c r="A747" s="405">
        <v>4521</v>
      </c>
      <c r="B747" s="406">
        <v>4521</v>
      </c>
      <c r="C747" s="261" t="str">
        <f t="shared" si="112"/>
        <v>0001-0072</v>
      </c>
      <c r="D747" s="261" t="str">
        <f t="shared" si="113"/>
        <v>0001-0072-0003</v>
      </c>
      <c r="E747" s="407" t="s">
        <v>352</v>
      </c>
      <c r="F747" s="261" t="str">
        <f>TEXT(VLOOKUP(J747,'[3]1'!$B$2:$D$37,2,0),"0000")</f>
        <v>0001</v>
      </c>
      <c r="G747" s="261" t="str">
        <f t="shared" si="114"/>
        <v>0072</v>
      </c>
      <c r="H747" s="408">
        <f t="shared" si="115"/>
        <v>3</v>
      </c>
      <c r="I747" s="407" t="s">
        <v>352</v>
      </c>
      <c r="J747" s="413" t="s">
        <v>828</v>
      </c>
      <c r="K747" s="258" t="s">
        <v>2725</v>
      </c>
      <c r="L747" s="258" t="s">
        <v>2337</v>
      </c>
      <c r="M747" s="409">
        <v>33700000</v>
      </c>
      <c r="N747" s="258">
        <v>2151</v>
      </c>
      <c r="O747" s="258" t="s">
        <v>78</v>
      </c>
      <c r="P747" s="258" t="s">
        <v>1965</v>
      </c>
      <c r="Q747" s="258" t="s">
        <v>72</v>
      </c>
      <c r="R747" s="258">
        <v>7</v>
      </c>
      <c r="S747" s="410">
        <v>1</v>
      </c>
      <c r="T747" s="261">
        <v>6</v>
      </c>
      <c r="U747" s="261">
        <v>6</v>
      </c>
      <c r="V747" s="258" t="s">
        <v>1969</v>
      </c>
      <c r="W747" s="261" t="str">
        <f t="shared" si="117"/>
        <v>기아자동차쏘렌토MQ4 디젤 2.2 프레스티지 (7인승)33700000</v>
      </c>
      <c r="X747" s="411">
        <f t="shared" si="118"/>
        <v>4521</v>
      </c>
      <c r="Y747" s="261">
        <v>6</v>
      </c>
      <c r="Z747" s="261">
        <v>6</v>
      </c>
      <c r="AA747" s="407" t="s">
        <v>352</v>
      </c>
      <c r="AB747" s="258" t="s">
        <v>1965</v>
      </c>
      <c r="AC747" s="258"/>
      <c r="AD747" s="258" t="s">
        <v>2136</v>
      </c>
      <c r="AE747" s="258" t="s">
        <v>2129</v>
      </c>
      <c r="AF747" s="259"/>
      <c r="AG747" s="260"/>
      <c r="AH747" s="259"/>
      <c r="AI747" s="259"/>
      <c r="AJ747" s="260"/>
      <c r="AK747" s="259">
        <v>26</v>
      </c>
      <c r="AL747" s="259"/>
      <c r="AM747" s="259" t="s">
        <v>3189</v>
      </c>
      <c r="AN747" s="449"/>
      <c r="AO747" s="449"/>
      <c r="AP747" s="449"/>
      <c r="AQ747" s="392" t="str">
        <f>IFERROR(VLOOKUP(BG747,#REF!,1,0),"")</f>
        <v/>
      </c>
      <c r="AS747" s="259" t="s">
        <v>3189</v>
      </c>
      <c r="BD747" s="202" t="str">
        <f t="shared" si="110"/>
        <v>쏘렌토MQ4 디젤 2.2 프레스티지 (7인승)</v>
      </c>
      <c r="BE747" s="261" t="str">
        <f t="shared" si="116"/>
        <v>0072</v>
      </c>
      <c r="BF747" s="407" t="s">
        <v>352</v>
      </c>
      <c r="BG747" s="202" t="str">
        <f t="shared" si="111"/>
        <v>0072-0746</v>
      </c>
    </row>
    <row r="748" spans="1:60">
      <c r="A748" s="405">
        <v>4522</v>
      </c>
      <c r="B748" s="406">
        <v>4522</v>
      </c>
      <c r="C748" s="261" t="str">
        <f t="shared" si="112"/>
        <v>0001-0072</v>
      </c>
      <c r="D748" s="261" t="str">
        <f t="shared" si="113"/>
        <v>0001-0072-0004</v>
      </c>
      <c r="E748" s="407" t="s">
        <v>351</v>
      </c>
      <c r="F748" s="261" t="str">
        <f>TEXT(VLOOKUP(J748,'[3]1'!$B$2:$D$37,2,0),"0000")</f>
        <v>0001</v>
      </c>
      <c r="G748" s="261" t="str">
        <f t="shared" si="114"/>
        <v>0072</v>
      </c>
      <c r="H748" s="408">
        <f t="shared" si="115"/>
        <v>4</v>
      </c>
      <c r="I748" s="407" t="s">
        <v>351</v>
      </c>
      <c r="J748" s="413" t="s">
        <v>828</v>
      </c>
      <c r="K748" s="258" t="s">
        <v>2725</v>
      </c>
      <c r="L748" s="258" t="s">
        <v>2328</v>
      </c>
      <c r="M748" s="409">
        <v>30930000</v>
      </c>
      <c r="N748" s="258">
        <v>2151</v>
      </c>
      <c r="O748" s="258" t="s">
        <v>78</v>
      </c>
      <c r="P748" s="258" t="s">
        <v>1965</v>
      </c>
      <c r="Q748" s="258" t="s">
        <v>72</v>
      </c>
      <c r="R748" s="258">
        <v>7</v>
      </c>
      <c r="S748" s="410">
        <v>1</v>
      </c>
      <c r="T748" s="261">
        <v>6</v>
      </c>
      <c r="U748" s="261">
        <v>6</v>
      </c>
      <c r="V748" s="258" t="s">
        <v>3329</v>
      </c>
      <c r="W748" s="261" t="str">
        <f t="shared" si="117"/>
        <v>기아자동차쏘렌토MQ4 디젤 2.2 트렌디 (7인승)30930000</v>
      </c>
      <c r="X748" s="411">
        <f t="shared" si="118"/>
        <v>4522</v>
      </c>
      <c r="Y748" s="261">
        <v>6</v>
      </c>
      <c r="Z748" s="261">
        <v>6</v>
      </c>
      <c r="AA748" s="407" t="s">
        <v>351</v>
      </c>
      <c r="AB748" s="258" t="s">
        <v>1965</v>
      </c>
      <c r="AC748" s="258"/>
      <c r="AD748" s="258" t="s">
        <v>2136</v>
      </c>
      <c r="AE748" s="258" t="s">
        <v>2129</v>
      </c>
      <c r="AF748" s="259"/>
      <c r="AG748" s="260"/>
      <c r="AH748" s="259"/>
      <c r="AI748" s="259"/>
      <c r="AJ748" s="260"/>
      <c r="AK748" s="259">
        <v>26</v>
      </c>
      <c r="AL748" s="259"/>
      <c r="AM748" s="259" t="s">
        <v>3189</v>
      </c>
      <c r="AN748" s="449"/>
      <c r="AO748" s="449"/>
      <c r="AP748" s="449"/>
      <c r="AQ748" s="392" t="str">
        <f>IFERROR(VLOOKUP(BG748,#REF!,1,0),"")</f>
        <v/>
      </c>
      <c r="AS748" s="259" t="s">
        <v>3189</v>
      </c>
      <c r="BD748" s="202" t="str">
        <f t="shared" si="110"/>
        <v>쏘렌토MQ4 디젤 2.2 트렌디 (7인승)</v>
      </c>
      <c r="BE748" s="261" t="str">
        <f t="shared" si="116"/>
        <v>0072</v>
      </c>
      <c r="BF748" s="407" t="s">
        <v>351</v>
      </c>
      <c r="BG748" s="202" t="str">
        <f t="shared" si="111"/>
        <v>0072-0747</v>
      </c>
    </row>
    <row r="749" spans="1:60">
      <c r="A749" s="405">
        <v>4523</v>
      </c>
      <c r="B749" s="406">
        <v>4523</v>
      </c>
      <c r="C749" s="261" t="str">
        <f t="shared" si="112"/>
        <v>0001-0072</v>
      </c>
      <c r="D749" s="261" t="str">
        <f t="shared" si="113"/>
        <v>0001-0072-0005</v>
      </c>
      <c r="E749" s="407" t="s">
        <v>350</v>
      </c>
      <c r="F749" s="261" t="str">
        <f>TEXT(VLOOKUP(J749,'[3]1'!$B$2:$D$37,2,0),"0000")</f>
        <v>0001</v>
      </c>
      <c r="G749" s="261" t="str">
        <f t="shared" si="114"/>
        <v>0072</v>
      </c>
      <c r="H749" s="408">
        <f t="shared" si="115"/>
        <v>5</v>
      </c>
      <c r="I749" s="407" t="s">
        <v>350</v>
      </c>
      <c r="J749" s="413" t="s">
        <v>828</v>
      </c>
      <c r="K749" s="258" t="s">
        <v>2725</v>
      </c>
      <c r="L749" s="258" t="s">
        <v>2329</v>
      </c>
      <c r="M749" s="409">
        <v>31030000</v>
      </c>
      <c r="N749" s="258">
        <v>2151</v>
      </c>
      <c r="O749" s="258" t="s">
        <v>78</v>
      </c>
      <c r="P749" s="258" t="s">
        <v>1965</v>
      </c>
      <c r="Q749" s="258" t="s">
        <v>72</v>
      </c>
      <c r="R749" s="258">
        <v>6</v>
      </c>
      <c r="S749" s="410">
        <v>1</v>
      </c>
      <c r="T749" s="261">
        <v>6</v>
      </c>
      <c r="U749" s="261">
        <v>6</v>
      </c>
      <c r="V749" s="258" t="s">
        <v>3329</v>
      </c>
      <c r="W749" s="261" t="str">
        <f t="shared" si="117"/>
        <v>기아자동차쏘렌토MQ4 디젤 2.2 트렌디 (6인승)31030000</v>
      </c>
      <c r="X749" s="411">
        <f t="shared" si="118"/>
        <v>4523</v>
      </c>
      <c r="Y749" s="261">
        <v>6</v>
      </c>
      <c r="Z749" s="261">
        <v>6</v>
      </c>
      <c r="AA749" s="407" t="s">
        <v>350</v>
      </c>
      <c r="AB749" s="258" t="s">
        <v>1965</v>
      </c>
      <c r="AC749" s="258"/>
      <c r="AD749" s="258" t="s">
        <v>2136</v>
      </c>
      <c r="AE749" s="258" t="s">
        <v>2129</v>
      </c>
      <c r="AF749" s="259"/>
      <c r="AG749" s="260"/>
      <c r="AH749" s="259"/>
      <c r="AI749" s="259"/>
      <c r="AJ749" s="260"/>
      <c r="AK749" s="259">
        <v>26</v>
      </c>
      <c r="AL749" s="259"/>
      <c r="AM749" s="259" t="s">
        <v>3189</v>
      </c>
      <c r="AN749" s="449"/>
      <c r="AO749" s="449"/>
      <c r="AP749" s="449"/>
      <c r="AQ749" s="392" t="str">
        <f>IFERROR(VLOOKUP(BG749,#REF!,1,0),"")</f>
        <v/>
      </c>
      <c r="AS749" s="259" t="s">
        <v>3189</v>
      </c>
      <c r="BD749" s="202" t="str">
        <f t="shared" si="110"/>
        <v>쏘렌토MQ4 디젤 2.2 트렌디 (6인승)</v>
      </c>
      <c r="BE749" s="261" t="str">
        <f t="shared" si="116"/>
        <v>0072</v>
      </c>
      <c r="BF749" s="407" t="s">
        <v>350</v>
      </c>
      <c r="BG749" s="202" t="str">
        <f t="shared" si="111"/>
        <v>0072-0748</v>
      </c>
    </row>
    <row r="750" spans="1:60">
      <c r="A750" s="405">
        <v>4524</v>
      </c>
      <c r="B750" s="406">
        <v>4524</v>
      </c>
      <c r="C750" s="261" t="str">
        <f t="shared" si="112"/>
        <v>0001-0072</v>
      </c>
      <c r="D750" s="261" t="str">
        <f t="shared" si="113"/>
        <v>0001-0072-0006</v>
      </c>
      <c r="E750" s="407" t="s">
        <v>349</v>
      </c>
      <c r="F750" s="261" t="str">
        <f>TEXT(VLOOKUP(J750,'[3]1'!$B$2:$D$37,2,0),"0000")</f>
        <v>0001</v>
      </c>
      <c r="G750" s="261" t="str">
        <f t="shared" si="114"/>
        <v>0072</v>
      </c>
      <c r="H750" s="408">
        <f t="shared" si="115"/>
        <v>6</v>
      </c>
      <c r="I750" s="407" t="s">
        <v>349</v>
      </c>
      <c r="J750" s="413" t="s">
        <v>828</v>
      </c>
      <c r="K750" s="258" t="s">
        <v>2725</v>
      </c>
      <c r="L750" s="258" t="s">
        <v>2338</v>
      </c>
      <c r="M750" s="409">
        <v>30240000</v>
      </c>
      <c r="N750" s="258">
        <v>2151</v>
      </c>
      <c r="O750" s="258" t="s">
        <v>78</v>
      </c>
      <c r="P750" s="258" t="s">
        <v>1965</v>
      </c>
      <c r="Q750" s="258" t="s">
        <v>72</v>
      </c>
      <c r="R750" s="258">
        <v>5</v>
      </c>
      <c r="S750" s="410">
        <v>1</v>
      </c>
      <c r="T750" s="261">
        <v>6</v>
      </c>
      <c r="U750" s="261">
        <v>6</v>
      </c>
      <c r="V750" s="258" t="s">
        <v>1969</v>
      </c>
      <c r="W750" s="261" t="str">
        <f t="shared" si="117"/>
        <v>기아자동차쏘렌토MQ4 디젤 2.2 트렌디 (5인승)30240000</v>
      </c>
      <c r="X750" s="411">
        <f t="shared" si="118"/>
        <v>4524</v>
      </c>
      <c r="Y750" s="261">
        <v>6</v>
      </c>
      <c r="Z750" s="261">
        <v>6</v>
      </c>
      <c r="AA750" s="407" t="s">
        <v>349</v>
      </c>
      <c r="AB750" s="258" t="s">
        <v>1965</v>
      </c>
      <c r="AC750" s="258"/>
      <c r="AD750" s="258" t="s">
        <v>2136</v>
      </c>
      <c r="AE750" s="258" t="s">
        <v>2129</v>
      </c>
      <c r="AF750" s="259"/>
      <c r="AG750" s="260"/>
      <c r="AH750" s="259"/>
      <c r="AI750" s="259"/>
      <c r="AJ750" s="260"/>
      <c r="AK750" s="259">
        <v>26</v>
      </c>
      <c r="AL750" s="259"/>
      <c r="AM750" s="259" t="s">
        <v>3189</v>
      </c>
      <c r="AN750" s="449"/>
      <c r="AO750" s="449"/>
      <c r="AP750" s="449"/>
      <c r="AQ750" s="392" t="str">
        <f>IFERROR(VLOOKUP(BG750,#REF!,1,0),"")</f>
        <v/>
      </c>
      <c r="AS750" s="259" t="s">
        <v>3189</v>
      </c>
      <c r="BD750" s="202" t="str">
        <f t="shared" si="110"/>
        <v>쏘렌토MQ4 디젤 2.2 트렌디 (5인승)</v>
      </c>
      <c r="BE750" s="261" t="str">
        <f t="shared" si="116"/>
        <v>0072</v>
      </c>
      <c r="BF750" s="407" t="s">
        <v>349</v>
      </c>
      <c r="BG750" s="202" t="str">
        <f t="shared" si="111"/>
        <v>0072-0749</v>
      </c>
    </row>
    <row r="751" spans="1:60">
      <c r="A751" s="405">
        <v>4525</v>
      </c>
      <c r="B751" s="406">
        <v>4525</v>
      </c>
      <c r="C751" s="261" t="str">
        <f t="shared" si="112"/>
        <v>0001-0072</v>
      </c>
      <c r="D751" s="261" t="str">
        <f t="shared" si="113"/>
        <v>0001-0072-0007</v>
      </c>
      <c r="E751" s="407" t="s">
        <v>348</v>
      </c>
      <c r="F751" s="261" t="str">
        <f>TEXT(VLOOKUP(J751,'[3]1'!$B$2:$D$37,2,0),"0000")</f>
        <v>0001</v>
      </c>
      <c r="G751" s="261" t="str">
        <f t="shared" si="114"/>
        <v>0072</v>
      </c>
      <c r="H751" s="408">
        <f t="shared" si="115"/>
        <v>7</v>
      </c>
      <c r="I751" s="407" t="s">
        <v>348</v>
      </c>
      <c r="J751" s="413" t="s">
        <v>828</v>
      </c>
      <c r="K751" s="258" t="s">
        <v>2725</v>
      </c>
      <c r="L751" s="258" t="s">
        <v>2330</v>
      </c>
      <c r="M751" s="409">
        <v>38870000</v>
      </c>
      <c r="N751" s="258">
        <v>2151</v>
      </c>
      <c r="O751" s="258" t="s">
        <v>78</v>
      </c>
      <c r="P751" s="258" t="s">
        <v>1965</v>
      </c>
      <c r="Q751" s="258" t="s">
        <v>72</v>
      </c>
      <c r="R751" s="258">
        <v>5</v>
      </c>
      <c r="S751" s="410">
        <v>1</v>
      </c>
      <c r="T751" s="261">
        <v>6</v>
      </c>
      <c r="U751" s="261">
        <v>6</v>
      </c>
      <c r="V751" s="258" t="s">
        <v>3329</v>
      </c>
      <c r="W751" s="261" t="str">
        <f t="shared" si="117"/>
        <v>기아자동차쏘렌토MQ4 디젤 2.2 시그니쳐 (5인승)38870000</v>
      </c>
      <c r="X751" s="411">
        <f t="shared" si="118"/>
        <v>4525</v>
      </c>
      <c r="Y751" s="261">
        <v>6</v>
      </c>
      <c r="Z751" s="261">
        <v>6</v>
      </c>
      <c r="AA751" s="407" t="s">
        <v>348</v>
      </c>
      <c r="AB751" s="258" t="s">
        <v>1965</v>
      </c>
      <c r="AC751" s="258"/>
      <c r="AD751" s="258" t="s">
        <v>2136</v>
      </c>
      <c r="AE751" s="258" t="s">
        <v>2129</v>
      </c>
      <c r="AF751" s="259"/>
      <c r="AG751" s="260"/>
      <c r="AH751" s="259"/>
      <c r="AI751" s="259"/>
      <c r="AJ751" s="260"/>
      <c r="AK751" s="259">
        <v>26</v>
      </c>
      <c r="AL751" s="259"/>
      <c r="AM751" s="259" t="s">
        <v>3189</v>
      </c>
      <c r="AN751" s="449"/>
      <c r="AO751" s="449"/>
      <c r="AP751" s="449"/>
      <c r="AQ751" s="392" t="str">
        <f>IFERROR(VLOOKUP(BG751,#REF!,1,0),"")</f>
        <v/>
      </c>
      <c r="AS751" s="259" t="s">
        <v>3189</v>
      </c>
      <c r="BD751" s="202" t="str">
        <f t="shared" si="110"/>
        <v>쏘렌토MQ4 디젤 2.2 시그니쳐 (5인승)</v>
      </c>
      <c r="BE751" s="261" t="str">
        <f t="shared" si="116"/>
        <v>0072</v>
      </c>
      <c r="BF751" s="407" t="s">
        <v>348</v>
      </c>
      <c r="BG751" s="202" t="str">
        <f t="shared" si="111"/>
        <v>0072-0750</v>
      </c>
    </row>
    <row r="752" spans="1:60">
      <c r="A752" s="405">
        <v>4526</v>
      </c>
      <c r="B752" s="406">
        <v>4526</v>
      </c>
      <c r="C752" s="261" t="str">
        <f t="shared" si="112"/>
        <v>0001-0072</v>
      </c>
      <c r="D752" s="261" t="str">
        <f t="shared" si="113"/>
        <v>0001-0072-0008</v>
      </c>
      <c r="E752" s="407" t="s">
        <v>347</v>
      </c>
      <c r="F752" s="261" t="str">
        <f>TEXT(VLOOKUP(J752,'[3]1'!$B$2:$D$37,2,0),"0000")</f>
        <v>0001</v>
      </c>
      <c r="G752" s="261" t="str">
        <f t="shared" si="114"/>
        <v>0072</v>
      </c>
      <c r="H752" s="408">
        <f t="shared" si="115"/>
        <v>8</v>
      </c>
      <c r="I752" s="407" t="s">
        <v>347</v>
      </c>
      <c r="J752" s="413" t="s">
        <v>828</v>
      </c>
      <c r="K752" s="258" t="s">
        <v>2725</v>
      </c>
      <c r="L752" s="258" t="s">
        <v>2333</v>
      </c>
      <c r="M752" s="409">
        <v>39560000</v>
      </c>
      <c r="N752" s="258">
        <v>2151</v>
      </c>
      <c r="O752" s="258" t="s">
        <v>78</v>
      </c>
      <c r="P752" s="258" t="s">
        <v>1965</v>
      </c>
      <c r="Q752" s="258" t="s">
        <v>72</v>
      </c>
      <c r="R752" s="258">
        <v>7</v>
      </c>
      <c r="S752" s="410">
        <v>1</v>
      </c>
      <c r="T752" s="261">
        <v>6</v>
      </c>
      <c r="U752" s="261">
        <v>6</v>
      </c>
      <c r="V752" s="258" t="s">
        <v>3329</v>
      </c>
      <c r="W752" s="261" t="str">
        <f t="shared" si="117"/>
        <v>기아자동차쏘렌토MQ4 디젤 2.2 시그니처 (7인승)39560000</v>
      </c>
      <c r="X752" s="411">
        <f t="shared" si="118"/>
        <v>4526</v>
      </c>
      <c r="Y752" s="261">
        <v>6</v>
      </c>
      <c r="Z752" s="261">
        <v>6</v>
      </c>
      <c r="AA752" s="407" t="s">
        <v>347</v>
      </c>
      <c r="AB752" s="258" t="s">
        <v>1965</v>
      </c>
      <c r="AC752" s="258"/>
      <c r="AD752" s="258" t="s">
        <v>2136</v>
      </c>
      <c r="AE752" s="258" t="s">
        <v>2129</v>
      </c>
      <c r="AF752" s="259"/>
      <c r="AG752" s="260"/>
      <c r="AH752" s="259"/>
      <c r="AI752" s="259"/>
      <c r="AJ752" s="260"/>
      <c r="AK752" s="259">
        <v>26</v>
      </c>
      <c r="AL752" s="259"/>
      <c r="AM752" s="259" t="s">
        <v>3189</v>
      </c>
      <c r="AN752" s="449"/>
      <c r="AO752" s="449"/>
      <c r="AP752" s="449"/>
      <c r="AQ752" s="392" t="str">
        <f>IFERROR(VLOOKUP(BG752,#REF!,1,0),"")</f>
        <v/>
      </c>
      <c r="AS752" s="259" t="s">
        <v>3189</v>
      </c>
      <c r="BD752" s="202" t="str">
        <f t="shared" si="110"/>
        <v>쏘렌토MQ4 디젤 2.2 시그니처 (7인승)</v>
      </c>
      <c r="BE752" s="261" t="str">
        <f t="shared" si="116"/>
        <v>0072</v>
      </c>
      <c r="BF752" s="407" t="s">
        <v>347</v>
      </c>
      <c r="BG752" s="202" t="str">
        <f t="shared" si="111"/>
        <v>0072-0751</v>
      </c>
    </row>
    <row r="753" spans="1:59">
      <c r="A753" s="405">
        <v>4527</v>
      </c>
      <c r="B753" s="406">
        <v>4527</v>
      </c>
      <c r="C753" s="261" t="str">
        <f t="shared" si="112"/>
        <v>0001-0072</v>
      </c>
      <c r="D753" s="261" t="str">
        <f t="shared" si="113"/>
        <v>0001-0072-0009</v>
      </c>
      <c r="E753" s="407" t="s">
        <v>346</v>
      </c>
      <c r="F753" s="261" t="str">
        <f>TEXT(VLOOKUP(J753,'[3]1'!$B$2:$D$37,2,0),"0000")</f>
        <v>0001</v>
      </c>
      <c r="G753" s="261" t="str">
        <f t="shared" si="114"/>
        <v>0072</v>
      </c>
      <c r="H753" s="408">
        <f t="shared" si="115"/>
        <v>9</v>
      </c>
      <c r="I753" s="407" t="s">
        <v>346</v>
      </c>
      <c r="J753" s="413" t="s">
        <v>828</v>
      </c>
      <c r="K753" s="258" t="s">
        <v>2725</v>
      </c>
      <c r="L753" s="258" t="s">
        <v>2334</v>
      </c>
      <c r="M753" s="409">
        <v>39660000</v>
      </c>
      <c r="N753" s="258">
        <v>2151</v>
      </c>
      <c r="O753" s="258" t="s">
        <v>78</v>
      </c>
      <c r="P753" s="258" t="s">
        <v>1965</v>
      </c>
      <c r="Q753" s="258" t="s">
        <v>72</v>
      </c>
      <c r="R753" s="258">
        <v>6</v>
      </c>
      <c r="S753" s="410">
        <v>1</v>
      </c>
      <c r="T753" s="261">
        <v>6</v>
      </c>
      <c r="U753" s="261">
        <v>6</v>
      </c>
      <c r="V753" s="258" t="s">
        <v>3329</v>
      </c>
      <c r="W753" s="261" t="str">
        <f t="shared" si="117"/>
        <v>기아자동차쏘렌토MQ4 디젤 2.2 시그니처 (6인승)39660000</v>
      </c>
      <c r="X753" s="411">
        <f t="shared" si="118"/>
        <v>4527</v>
      </c>
      <c r="Y753" s="261">
        <v>6</v>
      </c>
      <c r="Z753" s="261">
        <v>6</v>
      </c>
      <c r="AA753" s="407" t="s">
        <v>346</v>
      </c>
      <c r="AB753" s="258" t="s">
        <v>1965</v>
      </c>
      <c r="AC753" s="258"/>
      <c r="AD753" s="258" t="s">
        <v>2136</v>
      </c>
      <c r="AE753" s="258" t="s">
        <v>2129</v>
      </c>
      <c r="AF753" s="259"/>
      <c r="AG753" s="260"/>
      <c r="AH753" s="259"/>
      <c r="AI753" s="259"/>
      <c r="AJ753" s="260"/>
      <c r="AK753" s="259">
        <v>26</v>
      </c>
      <c r="AL753" s="259"/>
      <c r="AM753" s="259" t="s">
        <v>3189</v>
      </c>
      <c r="AN753" s="449"/>
      <c r="AO753" s="449"/>
      <c r="AP753" s="449"/>
      <c r="AQ753" s="392" t="str">
        <f>IFERROR(VLOOKUP(BG753,#REF!,1,0),"")</f>
        <v/>
      </c>
      <c r="AS753" s="259" t="s">
        <v>3189</v>
      </c>
      <c r="BD753" s="202" t="str">
        <f t="shared" si="110"/>
        <v>쏘렌토MQ4 디젤 2.2 시그니처 (6인승)</v>
      </c>
      <c r="BE753" s="261" t="str">
        <f t="shared" si="116"/>
        <v>0072</v>
      </c>
      <c r="BF753" s="407" t="s">
        <v>346</v>
      </c>
      <c r="BG753" s="202" t="str">
        <f t="shared" si="111"/>
        <v>0072-0752</v>
      </c>
    </row>
    <row r="754" spans="1:59">
      <c r="A754" s="405">
        <v>4528</v>
      </c>
      <c r="B754" s="406">
        <v>4528</v>
      </c>
      <c r="C754" s="261" t="str">
        <f t="shared" si="112"/>
        <v>0001-0072</v>
      </c>
      <c r="D754" s="261" t="str">
        <f t="shared" si="113"/>
        <v>0001-0072-0010</v>
      </c>
      <c r="E754" s="407" t="s">
        <v>345</v>
      </c>
      <c r="F754" s="261" t="str">
        <f>TEXT(VLOOKUP(J754,'[3]1'!$B$2:$D$37,2,0),"0000")</f>
        <v>0001</v>
      </c>
      <c r="G754" s="261" t="str">
        <f t="shared" si="114"/>
        <v>0072</v>
      </c>
      <c r="H754" s="408">
        <f t="shared" si="115"/>
        <v>10</v>
      </c>
      <c r="I754" s="407" t="s">
        <v>345</v>
      </c>
      <c r="J754" s="413" t="s">
        <v>828</v>
      </c>
      <c r="K754" s="258" t="s">
        <v>2725</v>
      </c>
      <c r="L754" s="258" t="s">
        <v>2332</v>
      </c>
      <c r="M754" s="409">
        <v>36720000</v>
      </c>
      <c r="N754" s="258">
        <v>2151</v>
      </c>
      <c r="O754" s="258" t="s">
        <v>78</v>
      </c>
      <c r="P754" s="258" t="s">
        <v>1965</v>
      </c>
      <c r="Q754" s="258" t="s">
        <v>72</v>
      </c>
      <c r="R754" s="258">
        <v>7</v>
      </c>
      <c r="S754" s="410">
        <v>1</v>
      </c>
      <c r="T754" s="261">
        <v>6</v>
      </c>
      <c r="U754" s="261">
        <v>6</v>
      </c>
      <c r="V754" s="258" t="s">
        <v>1969</v>
      </c>
      <c r="W754" s="261" t="str">
        <f t="shared" si="117"/>
        <v>기아자동차쏘렌토MQ4 디젤 2.2 노블레스 (7인승)36720000</v>
      </c>
      <c r="X754" s="411">
        <f t="shared" si="118"/>
        <v>4528</v>
      </c>
      <c r="Y754" s="261">
        <v>6</v>
      </c>
      <c r="Z754" s="261">
        <v>6</v>
      </c>
      <c r="AA754" s="407" t="s">
        <v>345</v>
      </c>
      <c r="AB754" s="258" t="s">
        <v>1965</v>
      </c>
      <c r="AC754" s="258"/>
      <c r="AD754" s="258" t="s">
        <v>2136</v>
      </c>
      <c r="AE754" s="258" t="s">
        <v>2129</v>
      </c>
      <c r="AF754" s="259"/>
      <c r="AG754" s="260"/>
      <c r="AH754" s="259"/>
      <c r="AI754" s="259"/>
      <c r="AJ754" s="260"/>
      <c r="AK754" s="259">
        <v>26</v>
      </c>
      <c r="AL754" s="259"/>
      <c r="AM754" s="259" t="s">
        <v>3189</v>
      </c>
      <c r="AN754" s="449"/>
      <c r="AO754" s="449"/>
      <c r="AP754" s="449"/>
      <c r="AQ754" s="392" t="str">
        <f>IFERROR(VLOOKUP(BG754,#REF!,1,0),"")</f>
        <v/>
      </c>
      <c r="AS754" s="259" t="s">
        <v>3189</v>
      </c>
      <c r="BD754" s="202" t="str">
        <f t="shared" si="110"/>
        <v>쏘렌토MQ4 디젤 2.2 노블레스 (7인승)</v>
      </c>
      <c r="BE754" s="261" t="str">
        <f t="shared" si="116"/>
        <v>0072</v>
      </c>
      <c r="BF754" s="407" t="s">
        <v>345</v>
      </c>
      <c r="BG754" s="202" t="str">
        <f t="shared" si="111"/>
        <v>0072-0753</v>
      </c>
    </row>
    <row r="755" spans="1:59">
      <c r="A755" s="405">
        <v>4529</v>
      </c>
      <c r="B755" s="406">
        <v>4529</v>
      </c>
      <c r="C755" s="261" t="str">
        <f t="shared" si="112"/>
        <v>0001-0072</v>
      </c>
      <c r="D755" s="261" t="str">
        <f t="shared" si="113"/>
        <v>0001-0072-0011</v>
      </c>
      <c r="E755" s="407" t="s">
        <v>344</v>
      </c>
      <c r="F755" s="261" t="str">
        <f>TEXT(VLOOKUP(J755,'[3]1'!$B$2:$D$37,2,0),"0000")</f>
        <v>0001</v>
      </c>
      <c r="G755" s="261" t="str">
        <f t="shared" si="114"/>
        <v>0072</v>
      </c>
      <c r="H755" s="408">
        <f t="shared" si="115"/>
        <v>11</v>
      </c>
      <c r="I755" s="407" t="s">
        <v>344</v>
      </c>
      <c r="J755" s="413" t="s">
        <v>828</v>
      </c>
      <c r="K755" s="258" t="s">
        <v>2725</v>
      </c>
      <c r="L755" s="258" t="s">
        <v>2335</v>
      </c>
      <c r="M755" s="409">
        <v>37210000</v>
      </c>
      <c r="N755" s="258">
        <v>2151</v>
      </c>
      <c r="O755" s="258" t="s">
        <v>78</v>
      </c>
      <c r="P755" s="258" t="s">
        <v>1965</v>
      </c>
      <c r="Q755" s="258" t="s">
        <v>72</v>
      </c>
      <c r="R755" s="258">
        <v>6</v>
      </c>
      <c r="S755" s="410">
        <v>1</v>
      </c>
      <c r="T755" s="261">
        <v>6</v>
      </c>
      <c r="U755" s="261">
        <v>6</v>
      </c>
      <c r="V755" s="258" t="s">
        <v>3329</v>
      </c>
      <c r="W755" s="261" t="str">
        <f t="shared" si="117"/>
        <v>기아자동차쏘렌토MQ4 디젤 2.2 노블레스 (6인승)37210000</v>
      </c>
      <c r="X755" s="411">
        <f t="shared" si="118"/>
        <v>4529</v>
      </c>
      <c r="Y755" s="261">
        <v>6</v>
      </c>
      <c r="Z755" s="261">
        <v>6</v>
      </c>
      <c r="AA755" s="407" t="s">
        <v>344</v>
      </c>
      <c r="AB755" s="258" t="s">
        <v>1965</v>
      </c>
      <c r="AC755" s="258"/>
      <c r="AD755" s="258" t="s">
        <v>2136</v>
      </c>
      <c r="AE755" s="258" t="s">
        <v>2129</v>
      </c>
      <c r="AF755" s="259"/>
      <c r="AG755" s="260"/>
      <c r="AH755" s="259"/>
      <c r="AI755" s="259"/>
      <c r="AJ755" s="260"/>
      <c r="AK755" s="259">
        <v>26</v>
      </c>
      <c r="AL755" s="259"/>
      <c r="AM755" s="259" t="s">
        <v>3189</v>
      </c>
      <c r="AN755" s="449"/>
      <c r="AO755" s="449"/>
      <c r="AP755" s="449"/>
      <c r="AQ755" s="392" t="str">
        <f>IFERROR(VLOOKUP(BG755,#REF!,1,0),"")</f>
        <v/>
      </c>
      <c r="AS755" s="259" t="s">
        <v>3189</v>
      </c>
      <c r="BD755" s="202" t="str">
        <f t="shared" si="110"/>
        <v>쏘렌토MQ4 디젤 2.2 노블레스 (6인승)</v>
      </c>
      <c r="BE755" s="261" t="str">
        <f t="shared" si="116"/>
        <v>0072</v>
      </c>
      <c r="BF755" s="407" t="s">
        <v>344</v>
      </c>
      <c r="BG755" s="202" t="str">
        <f t="shared" si="111"/>
        <v>0072-0754</v>
      </c>
    </row>
    <row r="756" spans="1:59">
      <c r="A756" s="405">
        <v>4530</v>
      </c>
      <c r="B756" s="406">
        <v>4530</v>
      </c>
      <c r="C756" s="261" t="str">
        <f t="shared" si="112"/>
        <v>0001-0072</v>
      </c>
      <c r="D756" s="261" t="str">
        <f t="shared" si="113"/>
        <v>0001-0072-0012</v>
      </c>
      <c r="E756" s="407" t="s">
        <v>343</v>
      </c>
      <c r="F756" s="261" t="str">
        <f>TEXT(VLOOKUP(J756,'[3]1'!$B$2:$D$37,2,0),"0000")</f>
        <v>0001</v>
      </c>
      <c r="G756" s="261" t="str">
        <f t="shared" si="114"/>
        <v>0072</v>
      </c>
      <c r="H756" s="408">
        <f t="shared" si="115"/>
        <v>12</v>
      </c>
      <c r="I756" s="407" t="s">
        <v>343</v>
      </c>
      <c r="J756" s="413" t="s">
        <v>828</v>
      </c>
      <c r="K756" s="258" t="s">
        <v>2725</v>
      </c>
      <c r="L756" s="258" t="s">
        <v>2336</v>
      </c>
      <c r="M756" s="409">
        <v>36030000</v>
      </c>
      <c r="N756" s="258">
        <v>2151</v>
      </c>
      <c r="O756" s="258" t="s">
        <v>78</v>
      </c>
      <c r="P756" s="258" t="s">
        <v>1965</v>
      </c>
      <c r="Q756" s="258" t="s">
        <v>72</v>
      </c>
      <c r="R756" s="258">
        <v>5</v>
      </c>
      <c r="S756" s="410">
        <v>1</v>
      </c>
      <c r="T756" s="261">
        <v>6</v>
      </c>
      <c r="U756" s="261">
        <v>6</v>
      </c>
      <c r="V756" s="258" t="s">
        <v>3329</v>
      </c>
      <c r="W756" s="261" t="str">
        <f t="shared" si="117"/>
        <v>기아자동차쏘렌토MQ4 디젤 2.2 노블레스 (5인승)36030000</v>
      </c>
      <c r="X756" s="411">
        <f t="shared" si="118"/>
        <v>4530</v>
      </c>
      <c r="Y756" s="261">
        <v>6</v>
      </c>
      <c r="Z756" s="261">
        <v>6</v>
      </c>
      <c r="AA756" s="407" t="s">
        <v>343</v>
      </c>
      <c r="AB756" s="258" t="s">
        <v>1965</v>
      </c>
      <c r="AC756" s="258"/>
      <c r="AD756" s="258" t="s">
        <v>2136</v>
      </c>
      <c r="AE756" s="258" t="s">
        <v>2129</v>
      </c>
      <c r="AF756" s="259"/>
      <c r="AG756" s="260"/>
      <c r="AH756" s="259"/>
      <c r="AI756" s="259"/>
      <c r="AJ756" s="260"/>
      <c r="AK756" s="259">
        <v>26</v>
      </c>
      <c r="AL756" s="259"/>
      <c r="AM756" s="259" t="s">
        <v>3189</v>
      </c>
      <c r="AN756" s="449"/>
      <c r="AO756" s="449"/>
      <c r="AP756" s="449"/>
      <c r="AQ756" s="392" t="str">
        <f>IFERROR(VLOOKUP(BG756,#REF!,1,0),"")</f>
        <v/>
      </c>
      <c r="AS756" s="259" t="s">
        <v>3189</v>
      </c>
      <c r="BD756" s="202" t="str">
        <f t="shared" si="110"/>
        <v>쏘렌토MQ4 디젤 2.2 노블레스 (5인승)</v>
      </c>
      <c r="BE756" s="261" t="str">
        <f t="shared" si="116"/>
        <v>0072</v>
      </c>
      <c r="BF756" s="407" t="s">
        <v>343</v>
      </c>
      <c r="BG756" s="202" t="str">
        <f t="shared" si="111"/>
        <v>0072-0755</v>
      </c>
    </row>
    <row r="757" spans="1:59">
      <c r="A757" s="405">
        <v>4531</v>
      </c>
      <c r="B757" s="406">
        <v>4531</v>
      </c>
      <c r="C757" s="261" t="str">
        <f t="shared" si="112"/>
        <v>0001-0072</v>
      </c>
      <c r="D757" s="261" t="str">
        <f t="shared" si="113"/>
        <v>0001-0072-0013</v>
      </c>
      <c r="E757" s="407" t="s">
        <v>342</v>
      </c>
      <c r="F757" s="261" t="str">
        <f>TEXT(VLOOKUP(J757,'[3]1'!$B$2:$D$37,2,0),"0000")</f>
        <v>0001</v>
      </c>
      <c r="G757" s="261" t="str">
        <f t="shared" si="114"/>
        <v>0072</v>
      </c>
      <c r="H757" s="408">
        <f t="shared" si="115"/>
        <v>13</v>
      </c>
      <c r="I757" s="407" t="s">
        <v>342</v>
      </c>
      <c r="J757" s="413" t="s">
        <v>828</v>
      </c>
      <c r="K757" s="258" t="s">
        <v>2725</v>
      </c>
      <c r="L757" s="266" t="s">
        <v>2909</v>
      </c>
      <c r="M757" s="317">
        <v>29250000</v>
      </c>
      <c r="N757" s="266">
        <v>2497</v>
      </c>
      <c r="O757" s="258" t="s">
        <v>77</v>
      </c>
      <c r="P757" s="258" t="s">
        <v>1965</v>
      </c>
      <c r="Q757" s="258" t="s">
        <v>72</v>
      </c>
      <c r="R757" s="266">
        <v>5</v>
      </c>
      <c r="S757" s="410">
        <v>15</v>
      </c>
      <c r="T757" s="261">
        <v>6</v>
      </c>
      <c r="U757" s="261">
        <v>6</v>
      </c>
      <c r="V757" s="258" t="s">
        <v>71</v>
      </c>
      <c r="W757" s="261" t="str">
        <f t="shared" si="117"/>
        <v>기아자동차쏘렌토가솔린 터보 2.5 2WD 트렌디 (5인승) (A/T)29250000</v>
      </c>
      <c r="X757" s="411">
        <f t="shared" si="118"/>
        <v>4531</v>
      </c>
      <c r="Y757" s="261">
        <v>6</v>
      </c>
      <c r="Z757" s="261">
        <v>6</v>
      </c>
      <c r="AA757" s="407" t="s">
        <v>342</v>
      </c>
      <c r="AB757" s="258" t="s">
        <v>1965</v>
      </c>
      <c r="AC757" s="258"/>
      <c r="AD757" s="258">
        <v>5</v>
      </c>
      <c r="AE757" s="258">
        <v>0</v>
      </c>
      <c r="AF757" s="259"/>
      <c r="AG757" s="260"/>
      <c r="AH757" s="259"/>
      <c r="AI757" s="259"/>
      <c r="AJ757" s="260"/>
      <c r="AK757" s="259">
        <v>26</v>
      </c>
      <c r="AL757" s="259"/>
      <c r="AM757" s="259" t="s">
        <v>3233</v>
      </c>
      <c r="AN757" s="449"/>
      <c r="AO757" s="449"/>
      <c r="AP757" s="449"/>
      <c r="AQ757" s="392" t="str">
        <f>IFERROR(VLOOKUP(BG757,#REF!,1,0),"")</f>
        <v/>
      </c>
      <c r="AS757" s="259" t="s">
        <v>3233</v>
      </c>
      <c r="BD757" s="202" t="str">
        <f t="shared" si="110"/>
        <v>쏘렌토가솔린 터보 2.5 2WD 트렌디 (5인승) (A/T)</v>
      </c>
      <c r="BE757" s="261" t="str">
        <f t="shared" si="116"/>
        <v>0072</v>
      </c>
      <c r="BF757" s="407" t="s">
        <v>342</v>
      </c>
      <c r="BG757" s="202" t="str">
        <f t="shared" si="111"/>
        <v>0072-0756</v>
      </c>
    </row>
    <row r="758" spans="1:59">
      <c r="A758" s="405">
        <v>4532</v>
      </c>
      <c r="B758" s="406">
        <v>4532</v>
      </c>
      <c r="C758" s="261" t="str">
        <f t="shared" si="112"/>
        <v>0001-0072</v>
      </c>
      <c r="D758" s="261" t="str">
        <f t="shared" si="113"/>
        <v>0001-0072-0014</v>
      </c>
      <c r="E758" s="407" t="s">
        <v>341</v>
      </c>
      <c r="F758" s="261" t="str">
        <f>TEXT(VLOOKUP(J758,'[3]1'!$B$2:$D$37,2,0),"0000")</f>
        <v>0001</v>
      </c>
      <c r="G758" s="261" t="str">
        <f t="shared" si="114"/>
        <v>0072</v>
      </c>
      <c r="H758" s="408">
        <f t="shared" si="115"/>
        <v>14</v>
      </c>
      <c r="I758" s="407" t="s">
        <v>341</v>
      </c>
      <c r="J758" s="413" t="s">
        <v>828</v>
      </c>
      <c r="K758" s="258" t="s">
        <v>2725</v>
      </c>
      <c r="L758" s="266" t="s">
        <v>2911</v>
      </c>
      <c r="M758" s="317">
        <v>30040000</v>
      </c>
      <c r="N758" s="266">
        <v>2497</v>
      </c>
      <c r="O758" s="258" t="s">
        <v>77</v>
      </c>
      <c r="P758" s="258" t="s">
        <v>1965</v>
      </c>
      <c r="Q758" s="258" t="s">
        <v>72</v>
      </c>
      <c r="R758" s="266">
        <v>6</v>
      </c>
      <c r="S758" s="410">
        <v>15</v>
      </c>
      <c r="T758" s="261">
        <v>6</v>
      </c>
      <c r="U758" s="261">
        <v>6</v>
      </c>
      <c r="V758" s="258" t="s">
        <v>71</v>
      </c>
      <c r="W758" s="261" t="str">
        <f t="shared" si="117"/>
        <v>기아자동차쏘렌토가솔린 터보 2.5 2WD트렌디 (6인승) (A/T)30040000</v>
      </c>
      <c r="X758" s="411">
        <f t="shared" si="118"/>
        <v>4532</v>
      </c>
      <c r="Y758" s="261">
        <v>6</v>
      </c>
      <c r="Z758" s="261">
        <v>6</v>
      </c>
      <c r="AA758" s="407" t="s">
        <v>341</v>
      </c>
      <c r="AB758" s="258" t="s">
        <v>1965</v>
      </c>
      <c r="AC758" s="258"/>
      <c r="AD758" s="258">
        <v>5</v>
      </c>
      <c r="AE758" s="258">
        <v>0</v>
      </c>
      <c r="AF758" s="259"/>
      <c r="AG758" s="260"/>
      <c r="AH758" s="259"/>
      <c r="AI758" s="259"/>
      <c r="AJ758" s="260"/>
      <c r="AK758" s="259">
        <v>26</v>
      </c>
      <c r="AL758" s="259"/>
      <c r="AM758" s="259" t="s">
        <v>3233</v>
      </c>
      <c r="AN758" s="449"/>
      <c r="AO758" s="449"/>
      <c r="AP758" s="449"/>
      <c r="AQ758" s="392" t="str">
        <f>IFERROR(VLOOKUP(BG758,#REF!,1,0),"")</f>
        <v/>
      </c>
      <c r="AS758" s="259" t="s">
        <v>3233</v>
      </c>
      <c r="BD758" s="202" t="str">
        <f t="shared" si="110"/>
        <v>쏘렌토가솔린 터보 2.5 2WD트렌디 (6인승) (A/T)</v>
      </c>
      <c r="BE758" s="261" t="str">
        <f t="shared" si="116"/>
        <v>0072</v>
      </c>
      <c r="BF758" s="407" t="s">
        <v>341</v>
      </c>
      <c r="BG758" s="202" t="str">
        <f t="shared" si="111"/>
        <v>0072-0757</v>
      </c>
    </row>
    <row r="759" spans="1:59">
      <c r="A759" s="405">
        <v>4533</v>
      </c>
      <c r="B759" s="406">
        <v>4533</v>
      </c>
      <c r="C759" s="261" t="str">
        <f t="shared" si="112"/>
        <v>0001-0072</v>
      </c>
      <c r="D759" s="261" t="str">
        <f t="shared" si="113"/>
        <v>0001-0072-0015</v>
      </c>
      <c r="E759" s="407" t="s">
        <v>340</v>
      </c>
      <c r="F759" s="261" t="str">
        <f>TEXT(VLOOKUP(J759,'[3]1'!$B$2:$D$37,2,0),"0000")</f>
        <v>0001</v>
      </c>
      <c r="G759" s="261" t="str">
        <f t="shared" si="114"/>
        <v>0072</v>
      </c>
      <c r="H759" s="408">
        <f t="shared" si="115"/>
        <v>15</v>
      </c>
      <c r="I759" s="407" t="s">
        <v>340</v>
      </c>
      <c r="J759" s="413" t="s">
        <v>828</v>
      </c>
      <c r="K759" s="258" t="s">
        <v>2725</v>
      </c>
      <c r="L759" s="266" t="s">
        <v>2912</v>
      </c>
      <c r="M759" s="317">
        <v>29940000</v>
      </c>
      <c r="N759" s="266">
        <v>2497</v>
      </c>
      <c r="O759" s="258" t="s">
        <v>77</v>
      </c>
      <c r="P759" s="258" t="s">
        <v>1965</v>
      </c>
      <c r="Q759" s="258" t="s">
        <v>72</v>
      </c>
      <c r="R759" s="266">
        <v>7</v>
      </c>
      <c r="S759" s="410">
        <v>15</v>
      </c>
      <c r="T759" s="261">
        <v>6</v>
      </c>
      <c r="U759" s="261">
        <v>6</v>
      </c>
      <c r="V759" s="258" t="s">
        <v>71</v>
      </c>
      <c r="W759" s="261" t="str">
        <f t="shared" si="117"/>
        <v>기아자동차쏘렌토가솔린 터보 2.5 2WD트렌디 (7인승) (A/T)29940000</v>
      </c>
      <c r="X759" s="411">
        <f t="shared" si="118"/>
        <v>4533</v>
      </c>
      <c r="Y759" s="261">
        <v>6</v>
      </c>
      <c r="Z759" s="261">
        <v>6</v>
      </c>
      <c r="AA759" s="407" t="s">
        <v>340</v>
      </c>
      <c r="AB759" s="258" t="s">
        <v>1965</v>
      </c>
      <c r="AC759" s="258"/>
      <c r="AD759" s="258">
        <v>5</v>
      </c>
      <c r="AE759" s="258">
        <v>0</v>
      </c>
      <c r="AF759" s="259"/>
      <c r="AG759" s="260"/>
      <c r="AH759" s="259"/>
      <c r="AI759" s="259"/>
      <c r="AJ759" s="260"/>
      <c r="AK759" s="259">
        <v>26</v>
      </c>
      <c r="AL759" s="259"/>
      <c r="AM759" s="259" t="s">
        <v>3233</v>
      </c>
      <c r="AN759" s="449"/>
      <c r="AO759" s="449"/>
      <c r="AP759" s="449"/>
      <c r="AQ759" s="392" t="str">
        <f>IFERROR(VLOOKUP(BG759,#REF!,1,0),"")</f>
        <v/>
      </c>
      <c r="AS759" s="259" t="s">
        <v>3233</v>
      </c>
      <c r="BD759" s="202" t="str">
        <f t="shared" si="110"/>
        <v>쏘렌토가솔린 터보 2.5 2WD트렌디 (7인승) (A/T)</v>
      </c>
      <c r="BE759" s="261" t="str">
        <f t="shared" si="116"/>
        <v>0072</v>
      </c>
      <c r="BF759" s="407" t="s">
        <v>340</v>
      </c>
      <c r="BG759" s="202" t="str">
        <f t="shared" si="111"/>
        <v>0072-0758</v>
      </c>
    </row>
    <row r="760" spans="1:59">
      <c r="A760" s="405">
        <v>4534</v>
      </c>
      <c r="B760" s="406">
        <v>4534</v>
      </c>
      <c r="C760" s="261" t="str">
        <f t="shared" si="112"/>
        <v>0001-0072</v>
      </c>
      <c r="D760" s="261" t="str">
        <f t="shared" si="113"/>
        <v>0001-0072-0016</v>
      </c>
      <c r="E760" s="407" t="s">
        <v>339</v>
      </c>
      <c r="F760" s="261" t="str">
        <f>TEXT(VLOOKUP(J760,'[3]1'!$B$2:$D$37,2,0),"0000")</f>
        <v>0001</v>
      </c>
      <c r="G760" s="261" t="str">
        <f t="shared" si="114"/>
        <v>0072</v>
      </c>
      <c r="H760" s="408">
        <f t="shared" si="115"/>
        <v>16</v>
      </c>
      <c r="I760" s="407" t="s">
        <v>339</v>
      </c>
      <c r="J760" s="413" t="s">
        <v>828</v>
      </c>
      <c r="K760" s="258" t="s">
        <v>2725</v>
      </c>
      <c r="L760" s="266" t="s">
        <v>2913</v>
      </c>
      <c r="M760" s="317">
        <v>32100000</v>
      </c>
      <c r="N760" s="266">
        <v>2497</v>
      </c>
      <c r="O760" s="258" t="s">
        <v>77</v>
      </c>
      <c r="P760" s="258" t="s">
        <v>1965</v>
      </c>
      <c r="Q760" s="258" t="s">
        <v>72</v>
      </c>
      <c r="R760" s="266">
        <v>5</v>
      </c>
      <c r="S760" s="410">
        <v>15</v>
      </c>
      <c r="T760" s="261">
        <v>6</v>
      </c>
      <c r="U760" s="261">
        <v>6</v>
      </c>
      <c r="V760" s="258" t="s">
        <v>71</v>
      </c>
      <c r="W760" s="261" t="str">
        <f t="shared" si="117"/>
        <v>기아자동차쏘렌토가솔린 터보 2.5 2WD프레스티지 (5인승) (A/T)32100000</v>
      </c>
      <c r="X760" s="411">
        <f t="shared" si="118"/>
        <v>4534</v>
      </c>
      <c r="Y760" s="261">
        <v>6</v>
      </c>
      <c r="Z760" s="261">
        <v>6</v>
      </c>
      <c r="AA760" s="407" t="s">
        <v>339</v>
      </c>
      <c r="AB760" s="258" t="s">
        <v>1965</v>
      </c>
      <c r="AC760" s="258"/>
      <c r="AD760" s="258">
        <v>5</v>
      </c>
      <c r="AE760" s="258">
        <v>0</v>
      </c>
      <c r="AF760" s="259"/>
      <c r="AG760" s="260"/>
      <c r="AH760" s="259"/>
      <c r="AI760" s="259"/>
      <c r="AJ760" s="260"/>
      <c r="AK760" s="259">
        <v>26</v>
      </c>
      <c r="AL760" s="259"/>
      <c r="AM760" s="259" t="s">
        <v>3233</v>
      </c>
      <c r="AN760" s="449"/>
      <c r="AO760" s="449"/>
      <c r="AP760" s="449"/>
      <c r="AQ760" s="392" t="str">
        <f>IFERROR(VLOOKUP(BG760,#REF!,1,0),"")</f>
        <v/>
      </c>
      <c r="AS760" s="259" t="s">
        <v>3233</v>
      </c>
      <c r="BD760" s="202" t="str">
        <f t="shared" si="110"/>
        <v>쏘렌토가솔린 터보 2.5 2WD프레스티지 (5인승) (A/T)</v>
      </c>
      <c r="BE760" s="261" t="str">
        <f t="shared" si="116"/>
        <v>0072</v>
      </c>
      <c r="BF760" s="407" t="s">
        <v>339</v>
      </c>
      <c r="BG760" s="202" t="str">
        <f t="shared" si="111"/>
        <v>0072-0759</v>
      </c>
    </row>
    <row r="761" spans="1:59">
      <c r="A761" s="405">
        <v>4535</v>
      </c>
      <c r="B761" s="406">
        <v>4535</v>
      </c>
      <c r="C761" s="261" t="str">
        <f t="shared" si="112"/>
        <v>0001-0072</v>
      </c>
      <c r="D761" s="261" t="str">
        <f t="shared" si="113"/>
        <v>0001-0072-0017</v>
      </c>
      <c r="E761" s="407" t="s">
        <v>338</v>
      </c>
      <c r="F761" s="261" t="str">
        <f>TEXT(VLOOKUP(J761,'[3]1'!$B$2:$D$37,2,0),"0000")</f>
        <v>0001</v>
      </c>
      <c r="G761" s="261" t="str">
        <f t="shared" si="114"/>
        <v>0072</v>
      </c>
      <c r="H761" s="408">
        <f t="shared" si="115"/>
        <v>17</v>
      </c>
      <c r="I761" s="407" t="s">
        <v>338</v>
      </c>
      <c r="J761" s="413" t="s">
        <v>828</v>
      </c>
      <c r="K761" s="258" t="s">
        <v>2725</v>
      </c>
      <c r="L761" s="266" t="s">
        <v>2914</v>
      </c>
      <c r="M761" s="317">
        <v>32890000</v>
      </c>
      <c r="N761" s="266">
        <v>2497</v>
      </c>
      <c r="O761" s="258" t="s">
        <v>77</v>
      </c>
      <c r="P761" s="258" t="s">
        <v>1965</v>
      </c>
      <c r="Q761" s="258" t="s">
        <v>72</v>
      </c>
      <c r="R761" s="266">
        <v>6</v>
      </c>
      <c r="S761" s="410">
        <v>15</v>
      </c>
      <c r="T761" s="261">
        <v>6</v>
      </c>
      <c r="U761" s="261">
        <v>6</v>
      </c>
      <c r="V761" s="258" t="s">
        <v>71</v>
      </c>
      <c r="W761" s="261" t="str">
        <f t="shared" si="117"/>
        <v>기아자동차쏘렌토가솔린 터보 2.5 2WD프레스티지 (6인승) (A/T)32890000</v>
      </c>
      <c r="X761" s="411">
        <f t="shared" si="118"/>
        <v>4535</v>
      </c>
      <c r="Y761" s="261">
        <v>6</v>
      </c>
      <c r="Z761" s="261">
        <v>6</v>
      </c>
      <c r="AA761" s="407" t="s">
        <v>338</v>
      </c>
      <c r="AB761" s="258" t="s">
        <v>1965</v>
      </c>
      <c r="AC761" s="258"/>
      <c r="AD761" s="258">
        <v>5</v>
      </c>
      <c r="AE761" s="258">
        <v>0</v>
      </c>
      <c r="AF761" s="259"/>
      <c r="AG761" s="260"/>
      <c r="AH761" s="259"/>
      <c r="AI761" s="259"/>
      <c r="AJ761" s="260"/>
      <c r="AK761" s="259">
        <v>26</v>
      </c>
      <c r="AL761" s="259"/>
      <c r="AM761" s="259" t="s">
        <v>3233</v>
      </c>
      <c r="AN761" s="449"/>
      <c r="AO761" s="449"/>
      <c r="AP761" s="449"/>
      <c r="AQ761" s="392" t="str">
        <f>IFERROR(VLOOKUP(BG761,#REF!,1,0),"")</f>
        <v/>
      </c>
      <c r="AS761" s="259" t="s">
        <v>3233</v>
      </c>
      <c r="BD761" s="202" t="str">
        <f t="shared" si="110"/>
        <v>쏘렌토가솔린 터보 2.5 2WD프레스티지 (6인승) (A/T)</v>
      </c>
      <c r="BE761" s="261" t="str">
        <f t="shared" si="116"/>
        <v>0072</v>
      </c>
      <c r="BF761" s="407" t="s">
        <v>338</v>
      </c>
      <c r="BG761" s="202" t="str">
        <f t="shared" si="111"/>
        <v>0072-0760</v>
      </c>
    </row>
    <row r="762" spans="1:59">
      <c r="A762" s="405">
        <v>4536</v>
      </c>
      <c r="B762" s="406">
        <v>4536</v>
      </c>
      <c r="C762" s="261" t="str">
        <f t="shared" si="112"/>
        <v>0001-0072</v>
      </c>
      <c r="D762" s="261" t="str">
        <f t="shared" si="113"/>
        <v>0001-0072-0018</v>
      </c>
      <c r="E762" s="407" t="s">
        <v>337</v>
      </c>
      <c r="F762" s="261" t="str">
        <f>TEXT(VLOOKUP(J762,'[3]1'!$B$2:$D$37,2,0),"0000")</f>
        <v>0001</v>
      </c>
      <c r="G762" s="261" t="str">
        <f t="shared" si="114"/>
        <v>0072</v>
      </c>
      <c r="H762" s="408">
        <f t="shared" si="115"/>
        <v>18</v>
      </c>
      <c r="I762" s="407" t="s">
        <v>337</v>
      </c>
      <c r="J762" s="413" t="s">
        <v>828</v>
      </c>
      <c r="K762" s="258" t="s">
        <v>2725</v>
      </c>
      <c r="L762" s="266" t="s">
        <v>2915</v>
      </c>
      <c r="M762" s="317">
        <v>32790000</v>
      </c>
      <c r="N762" s="266">
        <v>2497</v>
      </c>
      <c r="O762" s="258" t="s">
        <v>77</v>
      </c>
      <c r="P762" s="258" t="s">
        <v>1965</v>
      </c>
      <c r="Q762" s="258" t="s">
        <v>72</v>
      </c>
      <c r="R762" s="266">
        <v>7</v>
      </c>
      <c r="S762" s="410">
        <v>15</v>
      </c>
      <c r="T762" s="261">
        <v>6</v>
      </c>
      <c r="U762" s="261">
        <v>6</v>
      </c>
      <c r="V762" s="258" t="s">
        <v>71</v>
      </c>
      <c r="W762" s="261" t="str">
        <f t="shared" si="117"/>
        <v>기아자동차쏘렌토가솔린 터보 2.5 2WD프레스티지 (7인승) (A/T)32790000</v>
      </c>
      <c r="X762" s="411">
        <f t="shared" si="118"/>
        <v>4536</v>
      </c>
      <c r="Y762" s="261">
        <v>6</v>
      </c>
      <c r="Z762" s="261">
        <v>6</v>
      </c>
      <c r="AA762" s="407" t="s">
        <v>337</v>
      </c>
      <c r="AB762" s="258" t="s">
        <v>1965</v>
      </c>
      <c r="AC762" s="258"/>
      <c r="AD762" s="258">
        <v>5</v>
      </c>
      <c r="AE762" s="258">
        <v>0</v>
      </c>
      <c r="AF762" s="259"/>
      <c r="AG762" s="260"/>
      <c r="AH762" s="259"/>
      <c r="AI762" s="259"/>
      <c r="AJ762" s="260"/>
      <c r="AK762" s="259">
        <v>26</v>
      </c>
      <c r="AL762" s="259"/>
      <c r="AM762" s="259" t="s">
        <v>3233</v>
      </c>
      <c r="AN762" s="449"/>
      <c r="AO762" s="449"/>
      <c r="AP762" s="449"/>
      <c r="AQ762" s="392" t="str">
        <f>IFERROR(VLOOKUP(BG762,#REF!,1,0),"")</f>
        <v/>
      </c>
      <c r="AS762" s="259" t="s">
        <v>3233</v>
      </c>
      <c r="BD762" s="202" t="str">
        <f t="shared" si="110"/>
        <v>쏘렌토가솔린 터보 2.5 2WD프레스티지 (7인승) (A/T)</v>
      </c>
      <c r="BE762" s="261" t="str">
        <f t="shared" si="116"/>
        <v>0072</v>
      </c>
      <c r="BF762" s="407" t="s">
        <v>337</v>
      </c>
      <c r="BG762" s="202" t="str">
        <f t="shared" si="111"/>
        <v>0072-0761</v>
      </c>
    </row>
    <row r="763" spans="1:59">
      <c r="A763" s="405">
        <v>4537</v>
      </c>
      <c r="B763" s="406">
        <v>4537</v>
      </c>
      <c r="C763" s="261" t="str">
        <f t="shared" si="112"/>
        <v>0001-0072</v>
      </c>
      <c r="D763" s="261" t="str">
        <f t="shared" si="113"/>
        <v>0001-0072-0019</v>
      </c>
      <c r="E763" s="407" t="s">
        <v>336</v>
      </c>
      <c r="F763" s="261" t="str">
        <f>TEXT(VLOOKUP(J763,'[3]1'!$B$2:$D$37,2,0),"0000")</f>
        <v>0001</v>
      </c>
      <c r="G763" s="261" t="str">
        <f t="shared" si="114"/>
        <v>0072</v>
      </c>
      <c r="H763" s="408">
        <f t="shared" si="115"/>
        <v>19</v>
      </c>
      <c r="I763" s="407" t="s">
        <v>336</v>
      </c>
      <c r="J763" s="413" t="s">
        <v>828</v>
      </c>
      <c r="K763" s="258" t="s">
        <v>2725</v>
      </c>
      <c r="L763" s="266" t="s">
        <v>2916</v>
      </c>
      <c r="M763" s="317">
        <v>35050000</v>
      </c>
      <c r="N763" s="266">
        <v>2497</v>
      </c>
      <c r="O763" s="258" t="s">
        <v>77</v>
      </c>
      <c r="P763" s="258" t="s">
        <v>1965</v>
      </c>
      <c r="Q763" s="258" t="s">
        <v>72</v>
      </c>
      <c r="R763" s="266">
        <v>5</v>
      </c>
      <c r="S763" s="410">
        <v>15</v>
      </c>
      <c r="T763" s="261">
        <v>6</v>
      </c>
      <c r="U763" s="261">
        <v>6</v>
      </c>
      <c r="V763" s="258" t="s">
        <v>71</v>
      </c>
      <c r="W763" s="261" t="str">
        <f t="shared" si="117"/>
        <v>기아자동차쏘렌토가솔린 터보 2.5 2WD노블레스(5인승)35050000</v>
      </c>
      <c r="X763" s="411">
        <f t="shared" si="118"/>
        <v>4537</v>
      </c>
      <c r="Y763" s="261">
        <v>6</v>
      </c>
      <c r="Z763" s="261">
        <v>6</v>
      </c>
      <c r="AA763" s="407" t="s">
        <v>336</v>
      </c>
      <c r="AB763" s="258" t="s">
        <v>1965</v>
      </c>
      <c r="AC763" s="258"/>
      <c r="AD763" s="258">
        <v>5</v>
      </c>
      <c r="AE763" s="258">
        <v>0</v>
      </c>
      <c r="AF763" s="259"/>
      <c r="AG763" s="260"/>
      <c r="AH763" s="259"/>
      <c r="AI763" s="259"/>
      <c r="AJ763" s="260"/>
      <c r="AK763" s="259">
        <v>26</v>
      </c>
      <c r="AL763" s="259"/>
      <c r="AM763" s="259" t="s">
        <v>3233</v>
      </c>
      <c r="AN763" s="449"/>
      <c r="AO763" s="449"/>
      <c r="AP763" s="449"/>
      <c r="AQ763" s="392" t="str">
        <f>IFERROR(VLOOKUP(BG763,#REF!,1,0),"")</f>
        <v/>
      </c>
      <c r="AS763" s="259" t="s">
        <v>3233</v>
      </c>
      <c r="BD763" s="202" t="str">
        <f t="shared" si="110"/>
        <v>쏘렌토가솔린 터보 2.5 2WD노블레스(5인승)</v>
      </c>
      <c r="BE763" s="261" t="str">
        <f t="shared" si="116"/>
        <v>0072</v>
      </c>
      <c r="BF763" s="407" t="s">
        <v>336</v>
      </c>
      <c r="BG763" s="202" t="str">
        <f t="shared" si="111"/>
        <v>0072-0762</v>
      </c>
    </row>
    <row r="764" spans="1:59">
      <c r="A764" s="405">
        <v>4538</v>
      </c>
      <c r="B764" s="406">
        <v>4538</v>
      </c>
      <c r="C764" s="261" t="str">
        <f t="shared" si="112"/>
        <v>0001-0072</v>
      </c>
      <c r="D764" s="261" t="str">
        <f t="shared" si="113"/>
        <v>0001-0072-0020</v>
      </c>
      <c r="E764" s="407" t="s">
        <v>335</v>
      </c>
      <c r="F764" s="261" t="str">
        <f>TEXT(VLOOKUP(J764,'[3]1'!$B$2:$D$37,2,0),"0000")</f>
        <v>0001</v>
      </c>
      <c r="G764" s="261" t="str">
        <f t="shared" si="114"/>
        <v>0072</v>
      </c>
      <c r="H764" s="408">
        <f t="shared" si="115"/>
        <v>20</v>
      </c>
      <c r="I764" s="407" t="s">
        <v>335</v>
      </c>
      <c r="J764" s="413" t="s">
        <v>828</v>
      </c>
      <c r="K764" s="258" t="s">
        <v>2725</v>
      </c>
      <c r="L764" s="266" t="s">
        <v>2917</v>
      </c>
      <c r="M764" s="317">
        <v>36230000</v>
      </c>
      <c r="N764" s="266">
        <v>2497</v>
      </c>
      <c r="O764" s="258" t="s">
        <v>77</v>
      </c>
      <c r="P764" s="258" t="s">
        <v>1965</v>
      </c>
      <c r="Q764" s="258" t="s">
        <v>72</v>
      </c>
      <c r="R764" s="266">
        <v>6</v>
      </c>
      <c r="S764" s="410">
        <v>15</v>
      </c>
      <c r="T764" s="261">
        <v>6</v>
      </c>
      <c r="U764" s="261">
        <v>6</v>
      </c>
      <c r="V764" s="258" t="s">
        <v>71</v>
      </c>
      <c r="W764" s="261" t="str">
        <f t="shared" si="117"/>
        <v>기아자동차쏘렌토가솔린 터보 2.5 2WD노블레스(6인승)36230000</v>
      </c>
      <c r="X764" s="411">
        <f t="shared" si="118"/>
        <v>4538</v>
      </c>
      <c r="Y764" s="261">
        <v>6</v>
      </c>
      <c r="Z764" s="261">
        <v>6</v>
      </c>
      <c r="AA764" s="407" t="s">
        <v>335</v>
      </c>
      <c r="AB764" s="258" t="s">
        <v>1965</v>
      </c>
      <c r="AC764" s="258"/>
      <c r="AD764" s="258">
        <v>5</v>
      </c>
      <c r="AE764" s="258">
        <v>0</v>
      </c>
      <c r="AF764" s="259"/>
      <c r="AG764" s="260"/>
      <c r="AH764" s="259"/>
      <c r="AI764" s="259"/>
      <c r="AJ764" s="260"/>
      <c r="AK764" s="259">
        <v>26</v>
      </c>
      <c r="AL764" s="259"/>
      <c r="AM764" s="259" t="s">
        <v>3233</v>
      </c>
      <c r="AN764" s="449"/>
      <c r="AO764" s="449"/>
      <c r="AP764" s="449"/>
      <c r="AQ764" s="392" t="str">
        <f>IFERROR(VLOOKUP(BG764,#REF!,1,0),"")</f>
        <v/>
      </c>
      <c r="AS764" s="259" t="s">
        <v>3233</v>
      </c>
      <c r="BD764" s="202" t="str">
        <f t="shared" si="110"/>
        <v>쏘렌토가솔린 터보 2.5 2WD노블레스(6인승)</v>
      </c>
      <c r="BE764" s="261" t="str">
        <f t="shared" si="116"/>
        <v>0072</v>
      </c>
      <c r="BF764" s="407" t="s">
        <v>335</v>
      </c>
      <c r="BG764" s="202" t="str">
        <f t="shared" si="111"/>
        <v>0072-0763</v>
      </c>
    </row>
    <row r="765" spans="1:59">
      <c r="A765" s="405">
        <v>4539</v>
      </c>
      <c r="B765" s="406">
        <v>4539</v>
      </c>
      <c r="C765" s="261" t="str">
        <f t="shared" si="112"/>
        <v>0001-0072</v>
      </c>
      <c r="D765" s="261" t="str">
        <f t="shared" si="113"/>
        <v>0001-0072-0021</v>
      </c>
      <c r="E765" s="407" t="s">
        <v>334</v>
      </c>
      <c r="F765" s="261" t="str">
        <f>TEXT(VLOOKUP(J765,'[3]1'!$B$2:$D$37,2,0),"0000")</f>
        <v>0001</v>
      </c>
      <c r="G765" s="261" t="str">
        <f t="shared" si="114"/>
        <v>0072</v>
      </c>
      <c r="H765" s="408">
        <f t="shared" si="115"/>
        <v>21</v>
      </c>
      <c r="I765" s="407" t="s">
        <v>334</v>
      </c>
      <c r="J765" s="413" t="s">
        <v>828</v>
      </c>
      <c r="K765" s="258" t="s">
        <v>2725</v>
      </c>
      <c r="L765" s="266" t="s">
        <v>2918</v>
      </c>
      <c r="M765" s="317">
        <v>35740000</v>
      </c>
      <c r="N765" s="266">
        <v>2497</v>
      </c>
      <c r="O765" s="258" t="s">
        <v>77</v>
      </c>
      <c r="P765" s="258" t="s">
        <v>1965</v>
      </c>
      <c r="Q765" s="258" t="s">
        <v>72</v>
      </c>
      <c r="R765" s="266">
        <v>7</v>
      </c>
      <c r="S765" s="410">
        <v>15</v>
      </c>
      <c r="T765" s="261">
        <v>6</v>
      </c>
      <c r="U765" s="261">
        <v>6</v>
      </c>
      <c r="V765" s="258" t="s">
        <v>71</v>
      </c>
      <c r="W765" s="261" t="str">
        <f t="shared" si="117"/>
        <v>기아자동차쏘렌토가솔린 터보 2.5 2WD노블레스(7인승)35740000</v>
      </c>
      <c r="X765" s="411">
        <f t="shared" si="118"/>
        <v>4539</v>
      </c>
      <c r="Y765" s="261">
        <v>6</v>
      </c>
      <c r="Z765" s="261">
        <v>6</v>
      </c>
      <c r="AA765" s="407" t="s">
        <v>334</v>
      </c>
      <c r="AB765" s="258" t="s">
        <v>1965</v>
      </c>
      <c r="AC765" s="258"/>
      <c r="AD765" s="258">
        <v>5</v>
      </c>
      <c r="AE765" s="258">
        <v>0</v>
      </c>
      <c r="AF765" s="259"/>
      <c r="AG765" s="260"/>
      <c r="AH765" s="259"/>
      <c r="AI765" s="259"/>
      <c r="AJ765" s="260"/>
      <c r="AK765" s="259">
        <v>26</v>
      </c>
      <c r="AL765" s="259"/>
      <c r="AM765" s="259" t="s">
        <v>3233</v>
      </c>
      <c r="AN765" s="449"/>
      <c r="AO765" s="449"/>
      <c r="AP765" s="449"/>
      <c r="AQ765" s="392" t="str">
        <f>IFERROR(VLOOKUP(BG765,#REF!,1,0),"")</f>
        <v/>
      </c>
      <c r="AS765" s="259" t="s">
        <v>3233</v>
      </c>
      <c r="BD765" s="202" t="str">
        <f t="shared" si="110"/>
        <v>쏘렌토가솔린 터보 2.5 2WD노블레스(7인승)</v>
      </c>
      <c r="BE765" s="261" t="str">
        <f t="shared" si="116"/>
        <v>0072</v>
      </c>
      <c r="BF765" s="407" t="s">
        <v>334</v>
      </c>
      <c r="BG765" s="202" t="str">
        <f t="shared" si="111"/>
        <v>0072-0764</v>
      </c>
    </row>
    <row r="766" spans="1:59">
      <c r="A766" s="405">
        <v>4540</v>
      </c>
      <c r="B766" s="406">
        <v>4540</v>
      </c>
      <c r="C766" s="261" t="str">
        <f t="shared" si="112"/>
        <v>0001-0072</v>
      </c>
      <c r="D766" s="261" t="str">
        <f t="shared" si="113"/>
        <v>0001-0072-0022</v>
      </c>
      <c r="E766" s="407" t="s">
        <v>333</v>
      </c>
      <c r="F766" s="261" t="str">
        <f>TEXT(VLOOKUP(J766,'[3]1'!$B$2:$D$37,2,0),"0000")</f>
        <v>0001</v>
      </c>
      <c r="G766" s="261" t="str">
        <f t="shared" si="114"/>
        <v>0072</v>
      </c>
      <c r="H766" s="408">
        <f t="shared" si="115"/>
        <v>22</v>
      </c>
      <c r="I766" s="407" t="s">
        <v>333</v>
      </c>
      <c r="J766" s="413" t="s">
        <v>828</v>
      </c>
      <c r="K766" s="258" t="s">
        <v>2725</v>
      </c>
      <c r="L766" s="266" t="s">
        <v>2919</v>
      </c>
      <c r="M766" s="317">
        <v>37890000</v>
      </c>
      <c r="N766" s="266">
        <v>2497</v>
      </c>
      <c r="O766" s="258" t="s">
        <v>77</v>
      </c>
      <c r="P766" s="258" t="s">
        <v>1965</v>
      </c>
      <c r="Q766" s="258" t="s">
        <v>72</v>
      </c>
      <c r="R766" s="266">
        <v>5</v>
      </c>
      <c r="S766" s="410">
        <v>15</v>
      </c>
      <c r="T766" s="261">
        <v>6</v>
      </c>
      <c r="U766" s="261">
        <v>6</v>
      </c>
      <c r="V766" s="258" t="s">
        <v>71</v>
      </c>
      <c r="W766" s="261" t="str">
        <f t="shared" si="117"/>
        <v>기아자동차쏘렌토가솔린 터보 2.5 2WD시그니처(5인승)37890000</v>
      </c>
      <c r="X766" s="411">
        <f t="shared" si="118"/>
        <v>4540</v>
      </c>
      <c r="Y766" s="261">
        <v>6</v>
      </c>
      <c r="Z766" s="261">
        <v>6</v>
      </c>
      <c r="AA766" s="407" t="s">
        <v>333</v>
      </c>
      <c r="AB766" s="258" t="s">
        <v>1965</v>
      </c>
      <c r="AC766" s="258"/>
      <c r="AD766" s="258">
        <v>5</v>
      </c>
      <c r="AE766" s="258">
        <v>0</v>
      </c>
      <c r="AF766" s="259"/>
      <c r="AG766" s="260"/>
      <c r="AH766" s="259"/>
      <c r="AI766" s="259"/>
      <c r="AJ766" s="260"/>
      <c r="AK766" s="259">
        <v>26</v>
      </c>
      <c r="AL766" s="259"/>
      <c r="AM766" s="259" t="s">
        <v>3233</v>
      </c>
      <c r="AN766" s="449"/>
      <c r="AO766" s="449"/>
      <c r="AP766" s="449"/>
      <c r="AQ766" s="392" t="str">
        <f>IFERROR(VLOOKUP(BG766,#REF!,1,0),"")</f>
        <v/>
      </c>
      <c r="AS766" s="259" t="s">
        <v>3233</v>
      </c>
      <c r="BD766" s="202" t="str">
        <f t="shared" si="110"/>
        <v>쏘렌토가솔린 터보 2.5 2WD시그니처(5인승)</v>
      </c>
      <c r="BE766" s="261" t="str">
        <f t="shared" si="116"/>
        <v>0072</v>
      </c>
      <c r="BF766" s="407" t="s">
        <v>333</v>
      </c>
      <c r="BG766" s="202" t="str">
        <f t="shared" si="111"/>
        <v>0072-0765</v>
      </c>
    </row>
    <row r="767" spans="1:59">
      <c r="A767" s="405">
        <v>4541</v>
      </c>
      <c r="B767" s="406">
        <v>4541</v>
      </c>
      <c r="C767" s="261" t="str">
        <f t="shared" si="112"/>
        <v>0001-0072</v>
      </c>
      <c r="D767" s="261" t="str">
        <f t="shared" si="113"/>
        <v>0001-0072-0023</v>
      </c>
      <c r="E767" s="407" t="s">
        <v>332</v>
      </c>
      <c r="F767" s="261" t="str">
        <f>TEXT(VLOOKUP(J767,'[3]1'!$B$2:$D$37,2,0),"0000")</f>
        <v>0001</v>
      </c>
      <c r="G767" s="261" t="str">
        <f t="shared" si="114"/>
        <v>0072</v>
      </c>
      <c r="H767" s="408">
        <f t="shared" si="115"/>
        <v>23</v>
      </c>
      <c r="I767" s="407" t="s">
        <v>332</v>
      </c>
      <c r="J767" s="413" t="s">
        <v>828</v>
      </c>
      <c r="K767" s="258" t="s">
        <v>2725</v>
      </c>
      <c r="L767" s="266" t="s">
        <v>2919</v>
      </c>
      <c r="M767" s="317">
        <v>38680000</v>
      </c>
      <c r="N767" s="266">
        <v>2497</v>
      </c>
      <c r="O767" s="258" t="s">
        <v>77</v>
      </c>
      <c r="P767" s="258" t="s">
        <v>1965</v>
      </c>
      <c r="Q767" s="258" t="s">
        <v>72</v>
      </c>
      <c r="R767" s="266">
        <v>6</v>
      </c>
      <c r="S767" s="410">
        <v>15</v>
      </c>
      <c r="T767" s="261">
        <v>6</v>
      </c>
      <c r="U767" s="261">
        <v>6</v>
      </c>
      <c r="V767" s="258" t="s">
        <v>71</v>
      </c>
      <c r="W767" s="261" t="str">
        <f t="shared" si="117"/>
        <v>기아자동차쏘렌토가솔린 터보 2.5 2WD시그니처(5인승)38680000</v>
      </c>
      <c r="X767" s="411">
        <f t="shared" si="118"/>
        <v>4541</v>
      </c>
      <c r="Y767" s="261">
        <v>6</v>
      </c>
      <c r="Z767" s="261">
        <v>6</v>
      </c>
      <c r="AA767" s="407" t="s">
        <v>332</v>
      </c>
      <c r="AB767" s="258" t="s">
        <v>1965</v>
      </c>
      <c r="AC767" s="258"/>
      <c r="AD767" s="258">
        <v>5</v>
      </c>
      <c r="AE767" s="258">
        <v>0</v>
      </c>
      <c r="AF767" s="259"/>
      <c r="AG767" s="260"/>
      <c r="AH767" s="259"/>
      <c r="AI767" s="259"/>
      <c r="AJ767" s="260"/>
      <c r="AK767" s="259">
        <v>26</v>
      </c>
      <c r="AL767" s="259"/>
      <c r="AM767" s="259" t="s">
        <v>3233</v>
      </c>
      <c r="AN767" s="449"/>
      <c r="AO767" s="449"/>
      <c r="AP767" s="449"/>
      <c r="AQ767" s="392" t="str">
        <f>IFERROR(VLOOKUP(BG767,#REF!,1,0),"")</f>
        <v/>
      </c>
      <c r="AS767" s="259" t="s">
        <v>3233</v>
      </c>
      <c r="BD767" s="202" t="str">
        <f t="shared" si="110"/>
        <v>쏘렌토가솔린 터보 2.5 2WD시그니처(5인승)</v>
      </c>
      <c r="BE767" s="261" t="str">
        <f t="shared" si="116"/>
        <v>0072</v>
      </c>
      <c r="BF767" s="407" t="s">
        <v>332</v>
      </c>
      <c r="BG767" s="202" t="str">
        <f t="shared" si="111"/>
        <v>0072-0766</v>
      </c>
    </row>
    <row r="768" spans="1:59">
      <c r="A768" s="405">
        <v>4542</v>
      </c>
      <c r="B768" s="406">
        <v>4542</v>
      </c>
      <c r="C768" s="261" t="str">
        <f t="shared" si="112"/>
        <v>0001-0072</v>
      </c>
      <c r="D768" s="261" t="str">
        <f t="shared" si="113"/>
        <v>0001-0072-0024</v>
      </c>
      <c r="E768" s="407" t="s">
        <v>331</v>
      </c>
      <c r="F768" s="261" t="str">
        <f>TEXT(VLOOKUP(J768,'[3]1'!$B$2:$D$37,2,0),"0000")</f>
        <v>0001</v>
      </c>
      <c r="G768" s="261" t="str">
        <f t="shared" si="114"/>
        <v>0072</v>
      </c>
      <c r="H768" s="408">
        <f t="shared" si="115"/>
        <v>24</v>
      </c>
      <c r="I768" s="407" t="s">
        <v>331</v>
      </c>
      <c r="J768" s="413" t="s">
        <v>828</v>
      </c>
      <c r="K768" s="258" t="s">
        <v>2725</v>
      </c>
      <c r="L768" s="266" t="s">
        <v>2919</v>
      </c>
      <c r="M768" s="317">
        <v>38580000</v>
      </c>
      <c r="N768" s="266">
        <v>2497</v>
      </c>
      <c r="O768" s="258" t="s">
        <v>77</v>
      </c>
      <c r="P768" s="258" t="s">
        <v>1965</v>
      </c>
      <c r="Q768" s="258" t="s">
        <v>72</v>
      </c>
      <c r="R768" s="266">
        <v>7</v>
      </c>
      <c r="S768" s="410">
        <v>15</v>
      </c>
      <c r="T768" s="261">
        <v>6</v>
      </c>
      <c r="U768" s="261">
        <v>6</v>
      </c>
      <c r="V768" s="258" t="s">
        <v>71</v>
      </c>
      <c r="W768" s="261" t="str">
        <f t="shared" si="117"/>
        <v>기아자동차쏘렌토가솔린 터보 2.5 2WD시그니처(5인승)38580000</v>
      </c>
      <c r="X768" s="411">
        <f t="shared" si="118"/>
        <v>4542</v>
      </c>
      <c r="Y768" s="261">
        <v>6</v>
      </c>
      <c r="Z768" s="261">
        <v>6</v>
      </c>
      <c r="AA768" s="407" t="s">
        <v>331</v>
      </c>
      <c r="AB768" s="258" t="s">
        <v>1965</v>
      </c>
      <c r="AC768" s="258"/>
      <c r="AD768" s="258">
        <v>5</v>
      </c>
      <c r="AE768" s="258">
        <v>0</v>
      </c>
      <c r="AF768" s="259"/>
      <c r="AG768" s="260"/>
      <c r="AH768" s="259"/>
      <c r="AI768" s="259"/>
      <c r="AJ768" s="260"/>
      <c r="AK768" s="259">
        <v>26</v>
      </c>
      <c r="AL768" s="259"/>
      <c r="AM768" s="259" t="s">
        <v>3233</v>
      </c>
      <c r="AN768" s="449"/>
      <c r="AO768" s="449"/>
      <c r="AP768" s="449"/>
      <c r="AQ768" s="392" t="str">
        <f>IFERROR(VLOOKUP(BG768,#REF!,1,0),"")</f>
        <v/>
      </c>
      <c r="AS768" s="259" t="s">
        <v>3233</v>
      </c>
      <c r="BD768" s="202" t="str">
        <f t="shared" si="110"/>
        <v>쏘렌토가솔린 터보 2.5 2WD시그니처(5인승)</v>
      </c>
      <c r="BE768" s="261" t="str">
        <f t="shared" si="116"/>
        <v>0072</v>
      </c>
      <c r="BF768" s="407" t="s">
        <v>331</v>
      </c>
      <c r="BG768" s="202" t="str">
        <f t="shared" si="111"/>
        <v>0072-0767</v>
      </c>
    </row>
    <row r="769" spans="1:59">
      <c r="A769" s="405">
        <v>4543</v>
      </c>
      <c r="B769" s="406">
        <v>4543</v>
      </c>
      <c r="C769" s="261" t="str">
        <f t="shared" si="112"/>
        <v>0001-0072</v>
      </c>
      <c r="D769" s="261" t="str">
        <f t="shared" si="113"/>
        <v>0001-0072-0025</v>
      </c>
      <c r="E769" s="407" t="s">
        <v>330</v>
      </c>
      <c r="F769" s="261" t="str">
        <f>TEXT(VLOOKUP(J769,'[3]1'!$B$2:$D$37,2,0),"0000")</f>
        <v>0001</v>
      </c>
      <c r="G769" s="261" t="str">
        <f t="shared" si="114"/>
        <v>0072</v>
      </c>
      <c r="H769" s="408">
        <f t="shared" si="115"/>
        <v>25</v>
      </c>
      <c r="I769" s="407" t="s">
        <v>330</v>
      </c>
      <c r="J769" s="413" t="s">
        <v>828</v>
      </c>
      <c r="K769" s="258" t="s">
        <v>2725</v>
      </c>
      <c r="L769" s="266" t="s">
        <v>2920</v>
      </c>
      <c r="M769" s="317">
        <v>38870000</v>
      </c>
      <c r="N769" s="266">
        <v>2497</v>
      </c>
      <c r="O769" s="258" t="s">
        <v>77</v>
      </c>
      <c r="P769" s="258" t="s">
        <v>1965</v>
      </c>
      <c r="Q769" s="258" t="s">
        <v>72</v>
      </c>
      <c r="R769" s="266">
        <v>5</v>
      </c>
      <c r="S769" s="410">
        <v>15</v>
      </c>
      <c r="T769" s="261">
        <v>6</v>
      </c>
      <c r="U769" s="261">
        <v>6</v>
      </c>
      <c r="V769" s="258" t="s">
        <v>71</v>
      </c>
      <c r="W769" s="261" t="str">
        <f t="shared" si="117"/>
        <v>기아자동차쏘렌토가솔린 터보 2.5 2WD그래비티(5인승)38870000</v>
      </c>
      <c r="X769" s="411">
        <f t="shared" si="118"/>
        <v>4543</v>
      </c>
      <c r="Y769" s="261">
        <v>6</v>
      </c>
      <c r="Z769" s="261">
        <v>6</v>
      </c>
      <c r="AA769" s="407" t="s">
        <v>330</v>
      </c>
      <c r="AB769" s="258" t="s">
        <v>1965</v>
      </c>
      <c r="AC769" s="258"/>
      <c r="AD769" s="258">
        <v>5</v>
      </c>
      <c r="AE769" s="258">
        <v>0</v>
      </c>
      <c r="AF769" s="259"/>
      <c r="AG769" s="260"/>
      <c r="AH769" s="259"/>
      <c r="AI769" s="259"/>
      <c r="AJ769" s="260"/>
      <c r="AK769" s="259">
        <v>26</v>
      </c>
      <c r="AL769" s="259"/>
      <c r="AM769" s="259" t="s">
        <v>3233</v>
      </c>
      <c r="AN769" s="449"/>
      <c r="AO769" s="449"/>
      <c r="AP769" s="449"/>
      <c r="AQ769" s="392" t="str">
        <f>IFERROR(VLOOKUP(BG769,#REF!,1,0),"")</f>
        <v/>
      </c>
      <c r="AS769" s="259" t="s">
        <v>3233</v>
      </c>
      <c r="BD769" s="202" t="str">
        <f t="shared" si="110"/>
        <v>쏘렌토가솔린 터보 2.5 2WD그래비티(5인승)</v>
      </c>
      <c r="BE769" s="261" t="str">
        <f t="shared" si="116"/>
        <v>0072</v>
      </c>
      <c r="BF769" s="407" t="s">
        <v>330</v>
      </c>
      <c r="BG769" s="202" t="str">
        <f t="shared" si="111"/>
        <v>0072-0768</v>
      </c>
    </row>
    <row r="770" spans="1:59">
      <c r="A770" s="405">
        <v>4544</v>
      </c>
      <c r="B770" s="406">
        <v>4544</v>
      </c>
      <c r="C770" s="261" t="str">
        <f t="shared" si="112"/>
        <v>0001-0072</v>
      </c>
      <c r="D770" s="261" t="str">
        <f t="shared" si="113"/>
        <v>0001-0072-0026</v>
      </c>
      <c r="E770" s="407" t="s">
        <v>329</v>
      </c>
      <c r="F770" s="261" t="str">
        <f>TEXT(VLOOKUP(J770,'[3]1'!$B$2:$D$37,2,0),"0000")</f>
        <v>0001</v>
      </c>
      <c r="G770" s="261" t="str">
        <f t="shared" si="114"/>
        <v>0072</v>
      </c>
      <c r="H770" s="408">
        <f t="shared" si="115"/>
        <v>26</v>
      </c>
      <c r="I770" s="407" t="s">
        <v>329</v>
      </c>
      <c r="J770" s="413" t="s">
        <v>828</v>
      </c>
      <c r="K770" s="258" t="s">
        <v>2725</v>
      </c>
      <c r="L770" s="266" t="s">
        <v>2921</v>
      </c>
      <c r="M770" s="317">
        <v>39660000</v>
      </c>
      <c r="N770" s="266">
        <v>2497</v>
      </c>
      <c r="O770" s="258" t="s">
        <v>77</v>
      </c>
      <c r="P770" s="258" t="s">
        <v>1965</v>
      </c>
      <c r="Q770" s="258" t="s">
        <v>72</v>
      </c>
      <c r="R770" s="266">
        <v>6</v>
      </c>
      <c r="S770" s="410">
        <v>15</v>
      </c>
      <c r="T770" s="261">
        <v>6</v>
      </c>
      <c r="U770" s="261">
        <v>6</v>
      </c>
      <c r="V770" s="258" t="s">
        <v>71</v>
      </c>
      <c r="W770" s="261" t="str">
        <f t="shared" si="117"/>
        <v>기아자동차쏘렌토가솔린 터보 2.5 2WD그래비티(6인승)39660000</v>
      </c>
      <c r="X770" s="411">
        <f t="shared" si="118"/>
        <v>4544</v>
      </c>
      <c r="Y770" s="261">
        <v>6</v>
      </c>
      <c r="Z770" s="261">
        <v>6</v>
      </c>
      <c r="AA770" s="407" t="s">
        <v>329</v>
      </c>
      <c r="AB770" s="258" t="s">
        <v>1965</v>
      </c>
      <c r="AC770" s="258"/>
      <c r="AD770" s="258">
        <v>5</v>
      </c>
      <c r="AE770" s="258">
        <v>0</v>
      </c>
      <c r="AF770" s="259"/>
      <c r="AG770" s="260"/>
      <c r="AH770" s="259"/>
      <c r="AI770" s="259"/>
      <c r="AJ770" s="260"/>
      <c r="AK770" s="259">
        <v>26</v>
      </c>
      <c r="AL770" s="259"/>
      <c r="AM770" s="259" t="s">
        <v>3233</v>
      </c>
      <c r="AN770" s="449"/>
      <c r="AO770" s="449"/>
      <c r="AP770" s="449"/>
      <c r="AQ770" s="392" t="str">
        <f>IFERROR(VLOOKUP(BG770,#REF!,1,0),"")</f>
        <v/>
      </c>
      <c r="AS770" s="259" t="s">
        <v>3233</v>
      </c>
      <c r="BD770" s="202" t="str">
        <f t="shared" si="110"/>
        <v>쏘렌토가솔린 터보 2.5 2WD그래비티(6인승)</v>
      </c>
      <c r="BE770" s="261" t="str">
        <f t="shared" si="116"/>
        <v>0072</v>
      </c>
      <c r="BF770" s="407" t="s">
        <v>329</v>
      </c>
      <c r="BG770" s="202" t="str">
        <f t="shared" si="111"/>
        <v>0072-0769</v>
      </c>
    </row>
    <row r="771" spans="1:59">
      <c r="A771" s="405">
        <v>4545</v>
      </c>
      <c r="B771" s="406">
        <v>4545</v>
      </c>
      <c r="C771" s="261" t="str">
        <f t="shared" si="112"/>
        <v>0001-0072</v>
      </c>
      <c r="D771" s="261" t="str">
        <f t="shared" si="113"/>
        <v>0001-0072-0027</v>
      </c>
      <c r="E771" s="407" t="s">
        <v>328</v>
      </c>
      <c r="F771" s="261" t="str">
        <f>TEXT(VLOOKUP(J771,'[3]1'!$B$2:$D$37,2,0),"0000")</f>
        <v>0001</v>
      </c>
      <c r="G771" s="261" t="str">
        <f t="shared" si="114"/>
        <v>0072</v>
      </c>
      <c r="H771" s="408">
        <f t="shared" si="115"/>
        <v>27</v>
      </c>
      <c r="I771" s="407" t="s">
        <v>328</v>
      </c>
      <c r="J771" s="413" t="s">
        <v>828</v>
      </c>
      <c r="K771" s="258" t="s">
        <v>2725</v>
      </c>
      <c r="L771" s="266" t="s">
        <v>2922</v>
      </c>
      <c r="M771" s="317">
        <v>39560000</v>
      </c>
      <c r="N771" s="266">
        <v>2497</v>
      </c>
      <c r="O771" s="258" t="s">
        <v>77</v>
      </c>
      <c r="P771" s="258" t="s">
        <v>1965</v>
      </c>
      <c r="Q771" s="258" t="s">
        <v>72</v>
      </c>
      <c r="R771" s="266">
        <v>7</v>
      </c>
      <c r="S771" s="410">
        <v>15</v>
      </c>
      <c r="T771" s="261">
        <v>6</v>
      </c>
      <c r="U771" s="261">
        <v>6</v>
      </c>
      <c r="V771" s="258" t="s">
        <v>71</v>
      </c>
      <c r="W771" s="261" t="str">
        <f t="shared" si="117"/>
        <v>기아자동차쏘렌토가솔린 터보 2.5 2WD그래비티(7인승)39560000</v>
      </c>
      <c r="X771" s="411">
        <f t="shared" si="118"/>
        <v>4545</v>
      </c>
      <c r="Y771" s="261">
        <v>6</v>
      </c>
      <c r="Z771" s="261">
        <v>6</v>
      </c>
      <c r="AA771" s="407" t="s">
        <v>328</v>
      </c>
      <c r="AB771" s="258" t="s">
        <v>1965</v>
      </c>
      <c r="AC771" s="258"/>
      <c r="AD771" s="258">
        <v>5</v>
      </c>
      <c r="AE771" s="258">
        <v>0</v>
      </c>
      <c r="AF771" s="259"/>
      <c r="AG771" s="260"/>
      <c r="AH771" s="259"/>
      <c r="AI771" s="259"/>
      <c r="AJ771" s="260"/>
      <c r="AK771" s="259">
        <v>26</v>
      </c>
      <c r="AL771" s="259"/>
      <c r="AM771" s="259" t="s">
        <v>3233</v>
      </c>
      <c r="AN771" s="449"/>
      <c r="AO771" s="449"/>
      <c r="AP771" s="449"/>
      <c r="AQ771" s="392" t="str">
        <f>IFERROR(VLOOKUP(BG771,#REF!,1,0),"")</f>
        <v/>
      </c>
      <c r="AS771" s="259" t="s">
        <v>3233</v>
      </c>
      <c r="BD771" s="202" t="str">
        <f t="shared" si="110"/>
        <v>쏘렌토가솔린 터보 2.5 2WD그래비티(7인승)</v>
      </c>
      <c r="BE771" s="261" t="str">
        <f t="shared" si="116"/>
        <v>0072</v>
      </c>
      <c r="BF771" s="407" t="s">
        <v>328</v>
      </c>
      <c r="BG771" s="202" t="str">
        <f t="shared" si="111"/>
        <v>0072-0770</v>
      </c>
    </row>
    <row r="772" spans="1:59">
      <c r="A772" s="405">
        <v>4546</v>
      </c>
      <c r="B772" s="406">
        <v>4546</v>
      </c>
      <c r="C772" s="261" t="str">
        <f t="shared" si="112"/>
        <v>0001-0072</v>
      </c>
      <c r="D772" s="261" t="str">
        <f t="shared" si="113"/>
        <v>0001-0072-0028</v>
      </c>
      <c r="E772" s="407" t="s">
        <v>327</v>
      </c>
      <c r="F772" s="261" t="str">
        <f>TEXT(VLOOKUP(J772,'[3]1'!$B$2:$D$37,2,0),"0000")</f>
        <v>0001</v>
      </c>
      <c r="G772" s="261" t="str">
        <f t="shared" si="114"/>
        <v>0072</v>
      </c>
      <c r="H772" s="408">
        <f t="shared" si="115"/>
        <v>28</v>
      </c>
      <c r="I772" s="407" t="s">
        <v>327</v>
      </c>
      <c r="J772" s="413" t="s">
        <v>828</v>
      </c>
      <c r="K772" s="258" t="s">
        <v>2725</v>
      </c>
      <c r="L772" s="266" t="s">
        <v>2910</v>
      </c>
      <c r="M772" s="317">
        <v>31510000</v>
      </c>
      <c r="N772" s="266">
        <v>2497</v>
      </c>
      <c r="O772" s="258" t="s">
        <v>77</v>
      </c>
      <c r="P772" s="258" t="s">
        <v>1965</v>
      </c>
      <c r="Q772" s="258" t="s">
        <v>72</v>
      </c>
      <c r="R772" s="266">
        <v>5</v>
      </c>
      <c r="S772" s="410">
        <v>15</v>
      </c>
      <c r="T772" s="261">
        <v>6</v>
      </c>
      <c r="U772" s="261">
        <v>6</v>
      </c>
      <c r="V772" s="258" t="s">
        <v>71</v>
      </c>
      <c r="W772" s="261" t="str">
        <f t="shared" si="117"/>
        <v>기아자동차쏘렌토가솔린 터보 2.5 4WD 트렌디 (5인승) (A/T)31510000</v>
      </c>
      <c r="X772" s="411">
        <f t="shared" si="118"/>
        <v>4546</v>
      </c>
      <c r="Y772" s="261">
        <v>6</v>
      </c>
      <c r="Z772" s="261">
        <v>6</v>
      </c>
      <c r="AA772" s="407" t="s">
        <v>327</v>
      </c>
      <c r="AB772" s="258" t="s">
        <v>1965</v>
      </c>
      <c r="AC772" s="258"/>
      <c r="AD772" s="258">
        <v>5</v>
      </c>
      <c r="AE772" s="258">
        <v>0</v>
      </c>
      <c r="AF772" s="259"/>
      <c r="AG772" s="260"/>
      <c r="AH772" s="259"/>
      <c r="AI772" s="259"/>
      <c r="AJ772" s="260"/>
      <c r="AK772" s="259">
        <v>26</v>
      </c>
      <c r="AL772" s="259"/>
      <c r="AM772" s="259" t="s">
        <v>3233</v>
      </c>
      <c r="AN772" s="449"/>
      <c r="AO772" s="449"/>
      <c r="AP772" s="449"/>
      <c r="AQ772" s="392" t="str">
        <f>IFERROR(VLOOKUP(BG772,#REF!,1,0),"")</f>
        <v/>
      </c>
      <c r="AS772" s="259" t="s">
        <v>3233</v>
      </c>
      <c r="BD772" s="202" t="str">
        <f t="shared" si="110"/>
        <v>쏘렌토가솔린 터보 2.5 4WD 트렌디 (5인승) (A/T)</v>
      </c>
      <c r="BE772" s="261" t="str">
        <f t="shared" si="116"/>
        <v>0072</v>
      </c>
      <c r="BF772" s="407" t="s">
        <v>327</v>
      </c>
      <c r="BG772" s="202" t="str">
        <f t="shared" si="111"/>
        <v>0072-0771</v>
      </c>
    </row>
    <row r="773" spans="1:59">
      <c r="A773" s="405">
        <v>4547</v>
      </c>
      <c r="B773" s="406">
        <v>4547</v>
      </c>
      <c r="C773" s="261" t="str">
        <f t="shared" si="112"/>
        <v>0001-0072</v>
      </c>
      <c r="D773" s="261" t="str">
        <f t="shared" si="113"/>
        <v>0001-0072-0029</v>
      </c>
      <c r="E773" s="407" t="s">
        <v>326</v>
      </c>
      <c r="F773" s="261" t="str">
        <f>TEXT(VLOOKUP(J773,'[3]1'!$B$2:$D$37,2,0),"0000")</f>
        <v>0001</v>
      </c>
      <c r="G773" s="261" t="str">
        <f t="shared" si="114"/>
        <v>0072</v>
      </c>
      <c r="H773" s="408">
        <f t="shared" si="115"/>
        <v>29</v>
      </c>
      <c r="I773" s="407" t="s">
        <v>326</v>
      </c>
      <c r="J773" s="413" t="s">
        <v>828</v>
      </c>
      <c r="K773" s="258" t="s">
        <v>2725</v>
      </c>
      <c r="L773" s="266" t="s">
        <v>2923</v>
      </c>
      <c r="M773" s="317">
        <v>32300000</v>
      </c>
      <c r="N773" s="266">
        <v>2497</v>
      </c>
      <c r="O773" s="258" t="s">
        <v>77</v>
      </c>
      <c r="P773" s="258" t="s">
        <v>1965</v>
      </c>
      <c r="Q773" s="258" t="s">
        <v>72</v>
      </c>
      <c r="R773" s="266">
        <v>6</v>
      </c>
      <c r="S773" s="410">
        <v>15</v>
      </c>
      <c r="T773" s="261">
        <v>6</v>
      </c>
      <c r="U773" s="261">
        <v>6</v>
      </c>
      <c r="V773" s="258" t="s">
        <v>71</v>
      </c>
      <c r="W773" s="261" t="str">
        <f t="shared" si="117"/>
        <v>기아자동차쏘렌토가솔린 터보 2.5 4WD 트렌디 (6인승) (A/T)32300000</v>
      </c>
      <c r="X773" s="411">
        <f t="shared" si="118"/>
        <v>4547</v>
      </c>
      <c r="Y773" s="261">
        <v>6</v>
      </c>
      <c r="Z773" s="261">
        <v>6</v>
      </c>
      <c r="AA773" s="407" t="s">
        <v>326</v>
      </c>
      <c r="AB773" s="258" t="s">
        <v>1965</v>
      </c>
      <c r="AC773" s="258"/>
      <c r="AD773" s="258">
        <v>5</v>
      </c>
      <c r="AE773" s="258">
        <v>0</v>
      </c>
      <c r="AF773" s="259"/>
      <c r="AG773" s="260"/>
      <c r="AH773" s="259"/>
      <c r="AI773" s="259"/>
      <c r="AJ773" s="260"/>
      <c r="AK773" s="259">
        <v>26</v>
      </c>
      <c r="AL773" s="259"/>
      <c r="AM773" s="259" t="s">
        <v>3233</v>
      </c>
      <c r="AN773" s="449"/>
      <c r="AO773" s="449"/>
      <c r="AP773" s="449"/>
      <c r="AQ773" s="392" t="str">
        <f>IFERROR(VLOOKUP(BG773,#REF!,1,0),"")</f>
        <v/>
      </c>
      <c r="AS773" s="259" t="s">
        <v>3233</v>
      </c>
      <c r="BD773" s="202" t="str">
        <f t="shared" ref="BD773:BD836" si="119">K773&amp;L773</f>
        <v>쏘렌토가솔린 터보 2.5 4WD 트렌디 (6인승) (A/T)</v>
      </c>
      <c r="BE773" s="261" t="str">
        <f t="shared" si="116"/>
        <v>0072</v>
      </c>
      <c r="BF773" s="407" t="s">
        <v>326</v>
      </c>
      <c r="BG773" s="202" t="str">
        <f t="shared" ref="BG773:BG836" si="120">BE773&amp;"-"&amp;BF773</f>
        <v>0072-0772</v>
      </c>
    </row>
    <row r="774" spans="1:59">
      <c r="A774" s="405">
        <v>4548</v>
      </c>
      <c r="B774" s="406">
        <v>4548</v>
      </c>
      <c r="C774" s="261" t="str">
        <f t="shared" ref="C774:C837" si="121">TEXT(F774,"0000")&amp;"-"&amp;TEXT(G774,"0000")</f>
        <v>0001-0072</v>
      </c>
      <c r="D774" s="261" t="str">
        <f t="shared" ref="D774:D837" si="122">TEXT(F774,"0000")&amp;"-"&amp;TEXT(G774,"0000")&amp;"-"&amp;TEXT(H774,"0000")</f>
        <v>0001-0072-0030</v>
      </c>
      <c r="E774" s="407" t="s">
        <v>325</v>
      </c>
      <c r="F774" s="261" t="str">
        <f>TEXT(VLOOKUP(J774,'[3]1'!$B$2:$D$37,2,0),"0000")</f>
        <v>0001</v>
      </c>
      <c r="G774" s="261" t="str">
        <f t="shared" ref="G774:G837" si="123">IF(K774=K773,TEXT(G773,"0000"),TEXT(G773+1,"0000"))</f>
        <v>0072</v>
      </c>
      <c r="H774" s="408">
        <f t="shared" ref="H774:H837" si="124">IF(F774&amp;G774=F773&amp;G773,H773+1,1)</f>
        <v>30</v>
      </c>
      <c r="I774" s="407" t="s">
        <v>325</v>
      </c>
      <c r="J774" s="413" t="s">
        <v>828</v>
      </c>
      <c r="K774" s="258" t="s">
        <v>2725</v>
      </c>
      <c r="L774" s="266" t="s">
        <v>2924</v>
      </c>
      <c r="M774" s="317">
        <v>32200000</v>
      </c>
      <c r="N774" s="266">
        <v>2497</v>
      </c>
      <c r="O774" s="258" t="s">
        <v>77</v>
      </c>
      <c r="P774" s="258" t="s">
        <v>1965</v>
      </c>
      <c r="Q774" s="258" t="s">
        <v>72</v>
      </c>
      <c r="R774" s="266">
        <v>7</v>
      </c>
      <c r="S774" s="410">
        <v>15</v>
      </c>
      <c r="T774" s="261">
        <v>6</v>
      </c>
      <c r="U774" s="261">
        <v>6</v>
      </c>
      <c r="V774" s="258" t="s">
        <v>71</v>
      </c>
      <c r="W774" s="261" t="str">
        <f t="shared" si="117"/>
        <v>기아자동차쏘렌토가솔린 터보 2.5 4WD 트렌디 (7인승) (A/T)32200000</v>
      </c>
      <c r="X774" s="411">
        <f t="shared" si="118"/>
        <v>4548</v>
      </c>
      <c r="Y774" s="261">
        <v>6</v>
      </c>
      <c r="Z774" s="261">
        <v>6</v>
      </c>
      <c r="AA774" s="407" t="s">
        <v>325</v>
      </c>
      <c r="AB774" s="258" t="s">
        <v>1965</v>
      </c>
      <c r="AC774" s="258"/>
      <c r="AD774" s="258">
        <v>5</v>
      </c>
      <c r="AE774" s="258">
        <v>0</v>
      </c>
      <c r="AF774" s="259"/>
      <c r="AG774" s="260"/>
      <c r="AH774" s="259"/>
      <c r="AI774" s="259"/>
      <c r="AJ774" s="260"/>
      <c r="AK774" s="259">
        <v>26</v>
      </c>
      <c r="AL774" s="259"/>
      <c r="AM774" s="259" t="s">
        <v>3233</v>
      </c>
      <c r="AN774" s="449"/>
      <c r="AO774" s="449"/>
      <c r="AP774" s="449"/>
      <c r="AQ774" s="392" t="str">
        <f>IFERROR(VLOOKUP(BG774,#REF!,1,0),"")</f>
        <v/>
      </c>
      <c r="AS774" s="259" t="s">
        <v>3233</v>
      </c>
      <c r="BD774" s="202" t="str">
        <f t="shared" si="119"/>
        <v>쏘렌토가솔린 터보 2.5 4WD 트렌디 (7인승) (A/T)</v>
      </c>
      <c r="BE774" s="261" t="str">
        <f t="shared" ref="BE774:BE837" si="125">IF(K773=K774,TEXT(G773,"0000"),TEXT(G773+1,"0000"))</f>
        <v>0072</v>
      </c>
      <c r="BF774" s="407" t="s">
        <v>325</v>
      </c>
      <c r="BG774" s="202" t="str">
        <f t="shared" si="120"/>
        <v>0072-0773</v>
      </c>
    </row>
    <row r="775" spans="1:59">
      <c r="A775" s="405">
        <v>4549</v>
      </c>
      <c r="B775" s="406">
        <v>4549</v>
      </c>
      <c r="C775" s="261" t="str">
        <f t="shared" si="121"/>
        <v>0001-0072</v>
      </c>
      <c r="D775" s="261" t="str">
        <f t="shared" si="122"/>
        <v>0001-0072-0031</v>
      </c>
      <c r="E775" s="407" t="s">
        <v>324</v>
      </c>
      <c r="F775" s="261" t="str">
        <f>TEXT(VLOOKUP(J775,'[3]1'!$B$2:$D$37,2,0),"0000")</f>
        <v>0001</v>
      </c>
      <c r="G775" s="261" t="str">
        <f t="shared" si="123"/>
        <v>0072</v>
      </c>
      <c r="H775" s="408">
        <f t="shared" si="124"/>
        <v>31</v>
      </c>
      <c r="I775" s="407" t="s">
        <v>324</v>
      </c>
      <c r="J775" s="413" t="s">
        <v>828</v>
      </c>
      <c r="K775" s="258" t="s">
        <v>2725</v>
      </c>
      <c r="L775" s="266" t="s">
        <v>2925</v>
      </c>
      <c r="M775" s="317">
        <v>34360000</v>
      </c>
      <c r="N775" s="266">
        <v>2497</v>
      </c>
      <c r="O775" s="258" t="s">
        <v>77</v>
      </c>
      <c r="P775" s="258" t="s">
        <v>1965</v>
      </c>
      <c r="Q775" s="258" t="s">
        <v>72</v>
      </c>
      <c r="R775" s="266">
        <v>5</v>
      </c>
      <c r="S775" s="410">
        <v>15</v>
      </c>
      <c r="T775" s="261">
        <v>6</v>
      </c>
      <c r="U775" s="261">
        <v>6</v>
      </c>
      <c r="V775" s="258" t="s">
        <v>71</v>
      </c>
      <c r="W775" s="261" t="str">
        <f t="shared" ref="W775:W838" si="126">J775&amp;K775&amp;L775&amp;M775</f>
        <v>기아자동차쏘렌토가솔린 터보 2.5 4WD 프레스티지 (5인승) (A/T)34360000</v>
      </c>
      <c r="X775" s="411">
        <f t="shared" ref="X775:X838" si="127">B775</f>
        <v>4549</v>
      </c>
      <c r="Y775" s="261">
        <v>6</v>
      </c>
      <c r="Z775" s="261">
        <v>6</v>
      </c>
      <c r="AA775" s="407" t="s">
        <v>324</v>
      </c>
      <c r="AB775" s="258" t="s">
        <v>1965</v>
      </c>
      <c r="AC775" s="258"/>
      <c r="AD775" s="258">
        <v>5</v>
      </c>
      <c r="AE775" s="258">
        <v>0</v>
      </c>
      <c r="AF775" s="259"/>
      <c r="AG775" s="260"/>
      <c r="AH775" s="259"/>
      <c r="AI775" s="259"/>
      <c r="AJ775" s="260"/>
      <c r="AK775" s="259">
        <v>26</v>
      </c>
      <c r="AL775" s="259"/>
      <c r="AM775" s="259" t="s">
        <v>3233</v>
      </c>
      <c r="AN775" s="449"/>
      <c r="AO775" s="449"/>
      <c r="AP775" s="449"/>
      <c r="AQ775" s="392" t="str">
        <f>IFERROR(VLOOKUP(BG775,#REF!,1,0),"")</f>
        <v/>
      </c>
      <c r="AS775" s="259" t="s">
        <v>3233</v>
      </c>
      <c r="BD775" s="202" t="str">
        <f t="shared" si="119"/>
        <v>쏘렌토가솔린 터보 2.5 4WD 프레스티지 (5인승) (A/T)</v>
      </c>
      <c r="BE775" s="261" t="str">
        <f t="shared" si="125"/>
        <v>0072</v>
      </c>
      <c r="BF775" s="407" t="s">
        <v>324</v>
      </c>
      <c r="BG775" s="202" t="str">
        <f t="shared" si="120"/>
        <v>0072-0774</v>
      </c>
    </row>
    <row r="776" spans="1:59">
      <c r="A776" s="405">
        <v>4550</v>
      </c>
      <c r="B776" s="406">
        <v>4550</v>
      </c>
      <c r="C776" s="261" t="str">
        <f t="shared" si="121"/>
        <v>0001-0072</v>
      </c>
      <c r="D776" s="261" t="str">
        <f t="shared" si="122"/>
        <v>0001-0072-0032</v>
      </c>
      <c r="E776" s="407" t="s">
        <v>323</v>
      </c>
      <c r="F776" s="261" t="str">
        <f>TEXT(VLOOKUP(J776,'[3]1'!$B$2:$D$37,2,0),"0000")</f>
        <v>0001</v>
      </c>
      <c r="G776" s="261" t="str">
        <f t="shared" si="123"/>
        <v>0072</v>
      </c>
      <c r="H776" s="408">
        <f t="shared" si="124"/>
        <v>32</v>
      </c>
      <c r="I776" s="407" t="s">
        <v>323</v>
      </c>
      <c r="J776" s="413" t="s">
        <v>828</v>
      </c>
      <c r="K776" s="258" t="s">
        <v>2725</v>
      </c>
      <c r="L776" s="266" t="s">
        <v>2926</v>
      </c>
      <c r="M776" s="317">
        <v>35150000</v>
      </c>
      <c r="N776" s="266">
        <v>2497</v>
      </c>
      <c r="O776" s="258" t="s">
        <v>77</v>
      </c>
      <c r="P776" s="258" t="s">
        <v>1965</v>
      </c>
      <c r="Q776" s="258" t="s">
        <v>72</v>
      </c>
      <c r="R776" s="266">
        <v>6</v>
      </c>
      <c r="S776" s="410">
        <v>15</v>
      </c>
      <c r="T776" s="261">
        <v>6</v>
      </c>
      <c r="U776" s="261">
        <v>6</v>
      </c>
      <c r="V776" s="258" t="s">
        <v>71</v>
      </c>
      <c r="W776" s="261" t="str">
        <f t="shared" si="126"/>
        <v>기아자동차쏘렌토가솔린 터보 2.5 4WD 프레스티지 (6인승) (A/T)35150000</v>
      </c>
      <c r="X776" s="411">
        <f t="shared" si="127"/>
        <v>4550</v>
      </c>
      <c r="Y776" s="261">
        <v>6</v>
      </c>
      <c r="Z776" s="261">
        <v>6</v>
      </c>
      <c r="AA776" s="407" t="s">
        <v>323</v>
      </c>
      <c r="AB776" s="258" t="s">
        <v>1965</v>
      </c>
      <c r="AC776" s="258"/>
      <c r="AD776" s="258">
        <v>5</v>
      </c>
      <c r="AE776" s="258">
        <v>0</v>
      </c>
      <c r="AF776" s="259"/>
      <c r="AG776" s="260"/>
      <c r="AH776" s="259"/>
      <c r="AI776" s="259"/>
      <c r="AJ776" s="260"/>
      <c r="AK776" s="259">
        <v>26</v>
      </c>
      <c r="AL776" s="259"/>
      <c r="AM776" s="259" t="s">
        <v>3233</v>
      </c>
      <c r="AN776" s="449"/>
      <c r="AO776" s="449"/>
      <c r="AP776" s="449"/>
      <c r="AQ776" s="392" t="str">
        <f>IFERROR(VLOOKUP(BG776,#REF!,1,0),"")</f>
        <v/>
      </c>
      <c r="AS776" s="259" t="s">
        <v>3233</v>
      </c>
      <c r="BD776" s="202" t="str">
        <f t="shared" si="119"/>
        <v>쏘렌토가솔린 터보 2.5 4WD 프레스티지 (6인승) (A/T)</v>
      </c>
      <c r="BE776" s="261" t="str">
        <f t="shared" si="125"/>
        <v>0072</v>
      </c>
      <c r="BF776" s="407" t="s">
        <v>323</v>
      </c>
      <c r="BG776" s="202" t="str">
        <f t="shared" si="120"/>
        <v>0072-0775</v>
      </c>
    </row>
    <row r="777" spans="1:59">
      <c r="A777" s="405">
        <v>4551</v>
      </c>
      <c r="B777" s="406">
        <v>4551</v>
      </c>
      <c r="C777" s="261" t="str">
        <f t="shared" si="121"/>
        <v>0001-0072</v>
      </c>
      <c r="D777" s="261" t="str">
        <f t="shared" si="122"/>
        <v>0001-0072-0033</v>
      </c>
      <c r="E777" s="407" t="s">
        <v>322</v>
      </c>
      <c r="F777" s="261" t="str">
        <f>TEXT(VLOOKUP(J777,'[3]1'!$B$2:$D$37,2,0),"0000")</f>
        <v>0001</v>
      </c>
      <c r="G777" s="261" t="str">
        <f t="shared" si="123"/>
        <v>0072</v>
      </c>
      <c r="H777" s="408">
        <f t="shared" si="124"/>
        <v>33</v>
      </c>
      <c r="I777" s="407" t="s">
        <v>322</v>
      </c>
      <c r="J777" s="413" t="s">
        <v>828</v>
      </c>
      <c r="K777" s="258" t="s">
        <v>2725</v>
      </c>
      <c r="L777" s="266" t="s">
        <v>2927</v>
      </c>
      <c r="M777" s="317">
        <v>35050000</v>
      </c>
      <c r="N777" s="266">
        <v>2497</v>
      </c>
      <c r="O777" s="258" t="s">
        <v>77</v>
      </c>
      <c r="P777" s="258" t="s">
        <v>1965</v>
      </c>
      <c r="Q777" s="258" t="s">
        <v>72</v>
      </c>
      <c r="R777" s="266">
        <v>7</v>
      </c>
      <c r="S777" s="410">
        <v>15</v>
      </c>
      <c r="T777" s="261">
        <v>6</v>
      </c>
      <c r="U777" s="261">
        <v>6</v>
      </c>
      <c r="V777" s="258" t="s">
        <v>71</v>
      </c>
      <c r="W777" s="261" t="str">
        <f t="shared" si="126"/>
        <v>기아자동차쏘렌토가솔린 터보 2.5 4WD 프레스티지 (7인승) (A/T)35050000</v>
      </c>
      <c r="X777" s="411">
        <f t="shared" si="127"/>
        <v>4551</v>
      </c>
      <c r="Y777" s="261">
        <v>6</v>
      </c>
      <c r="Z777" s="261">
        <v>6</v>
      </c>
      <c r="AA777" s="407" t="s">
        <v>322</v>
      </c>
      <c r="AB777" s="258" t="s">
        <v>1965</v>
      </c>
      <c r="AC777" s="258"/>
      <c r="AD777" s="258">
        <v>5</v>
      </c>
      <c r="AE777" s="258">
        <v>0</v>
      </c>
      <c r="AF777" s="259"/>
      <c r="AG777" s="260"/>
      <c r="AH777" s="259"/>
      <c r="AI777" s="259"/>
      <c r="AJ777" s="260"/>
      <c r="AK777" s="259">
        <v>26</v>
      </c>
      <c r="AL777" s="259"/>
      <c r="AM777" s="259" t="s">
        <v>3233</v>
      </c>
      <c r="AN777" s="449"/>
      <c r="AO777" s="449"/>
      <c r="AP777" s="449"/>
      <c r="AQ777" s="392" t="str">
        <f>IFERROR(VLOOKUP(BG777,#REF!,1,0),"")</f>
        <v/>
      </c>
      <c r="AS777" s="259" t="s">
        <v>3233</v>
      </c>
      <c r="BD777" s="202" t="str">
        <f t="shared" si="119"/>
        <v>쏘렌토가솔린 터보 2.5 4WD 프레스티지 (7인승) (A/T)</v>
      </c>
      <c r="BE777" s="261" t="str">
        <f t="shared" si="125"/>
        <v>0072</v>
      </c>
      <c r="BF777" s="407" t="s">
        <v>322</v>
      </c>
      <c r="BG777" s="202" t="str">
        <f t="shared" si="120"/>
        <v>0072-0776</v>
      </c>
    </row>
    <row r="778" spans="1:59">
      <c r="A778" s="405">
        <v>4552</v>
      </c>
      <c r="B778" s="406">
        <v>4552</v>
      </c>
      <c r="C778" s="261" t="str">
        <f t="shared" si="121"/>
        <v>0001-0072</v>
      </c>
      <c r="D778" s="261" t="str">
        <f t="shared" si="122"/>
        <v>0001-0072-0034</v>
      </c>
      <c r="E778" s="407" t="s">
        <v>321</v>
      </c>
      <c r="F778" s="261" t="str">
        <f>TEXT(VLOOKUP(J778,'[3]1'!$B$2:$D$37,2,0),"0000")</f>
        <v>0001</v>
      </c>
      <c r="G778" s="261" t="str">
        <f t="shared" si="123"/>
        <v>0072</v>
      </c>
      <c r="H778" s="408">
        <f t="shared" si="124"/>
        <v>34</v>
      </c>
      <c r="I778" s="407" t="s">
        <v>321</v>
      </c>
      <c r="J778" s="413" t="s">
        <v>828</v>
      </c>
      <c r="K778" s="258" t="s">
        <v>2725</v>
      </c>
      <c r="L778" s="266" t="s">
        <v>2928</v>
      </c>
      <c r="M778" s="317">
        <v>37310000</v>
      </c>
      <c r="N778" s="266">
        <v>2497</v>
      </c>
      <c r="O778" s="258" t="s">
        <v>77</v>
      </c>
      <c r="P778" s="258" t="s">
        <v>1965</v>
      </c>
      <c r="Q778" s="258" t="s">
        <v>72</v>
      </c>
      <c r="R778" s="266">
        <v>5</v>
      </c>
      <c r="S778" s="410">
        <v>15</v>
      </c>
      <c r="T778" s="261">
        <v>6</v>
      </c>
      <c r="U778" s="261">
        <v>6</v>
      </c>
      <c r="V778" s="258" t="s">
        <v>71</v>
      </c>
      <c r="W778" s="261" t="str">
        <f t="shared" si="126"/>
        <v>기아자동차쏘렌토가솔린 터보 2.5 4WD 노블레스(5인승)37310000</v>
      </c>
      <c r="X778" s="411">
        <f t="shared" si="127"/>
        <v>4552</v>
      </c>
      <c r="Y778" s="261">
        <v>6</v>
      </c>
      <c r="Z778" s="261">
        <v>6</v>
      </c>
      <c r="AA778" s="407" t="s">
        <v>321</v>
      </c>
      <c r="AB778" s="258" t="s">
        <v>1965</v>
      </c>
      <c r="AC778" s="258"/>
      <c r="AD778" s="258">
        <v>5</v>
      </c>
      <c r="AE778" s="258">
        <v>0</v>
      </c>
      <c r="AF778" s="259"/>
      <c r="AG778" s="260"/>
      <c r="AH778" s="259"/>
      <c r="AI778" s="259"/>
      <c r="AJ778" s="260"/>
      <c r="AK778" s="259">
        <v>26</v>
      </c>
      <c r="AL778" s="259"/>
      <c r="AM778" s="259" t="s">
        <v>3233</v>
      </c>
      <c r="AN778" s="449"/>
      <c r="AO778" s="449"/>
      <c r="AP778" s="449"/>
      <c r="AQ778" s="392" t="str">
        <f>IFERROR(VLOOKUP(BG778,#REF!,1,0),"")</f>
        <v/>
      </c>
      <c r="AS778" s="259" t="s">
        <v>3233</v>
      </c>
      <c r="BD778" s="202" t="str">
        <f t="shared" si="119"/>
        <v>쏘렌토가솔린 터보 2.5 4WD 노블레스(5인승)</v>
      </c>
      <c r="BE778" s="261" t="str">
        <f t="shared" si="125"/>
        <v>0072</v>
      </c>
      <c r="BF778" s="407" t="s">
        <v>321</v>
      </c>
      <c r="BG778" s="202" t="str">
        <f t="shared" si="120"/>
        <v>0072-0777</v>
      </c>
    </row>
    <row r="779" spans="1:59">
      <c r="A779" s="405">
        <v>4553</v>
      </c>
      <c r="B779" s="406">
        <v>4553</v>
      </c>
      <c r="C779" s="261" t="str">
        <f t="shared" si="121"/>
        <v>0001-0072</v>
      </c>
      <c r="D779" s="261" t="str">
        <f t="shared" si="122"/>
        <v>0001-0072-0035</v>
      </c>
      <c r="E779" s="407" t="s">
        <v>320</v>
      </c>
      <c r="F779" s="261" t="str">
        <f>TEXT(VLOOKUP(J779,'[3]1'!$B$2:$D$37,2,0),"0000")</f>
        <v>0001</v>
      </c>
      <c r="G779" s="261" t="str">
        <f t="shared" si="123"/>
        <v>0072</v>
      </c>
      <c r="H779" s="408">
        <f t="shared" si="124"/>
        <v>35</v>
      </c>
      <c r="I779" s="407" t="s">
        <v>320</v>
      </c>
      <c r="J779" s="413" t="s">
        <v>828</v>
      </c>
      <c r="K779" s="258" t="s">
        <v>2725</v>
      </c>
      <c r="L779" s="266" t="s">
        <v>2929</v>
      </c>
      <c r="M779" s="317">
        <v>38490000</v>
      </c>
      <c r="N779" s="266">
        <v>2497</v>
      </c>
      <c r="O779" s="258" t="s">
        <v>77</v>
      </c>
      <c r="P779" s="258" t="s">
        <v>1965</v>
      </c>
      <c r="Q779" s="258" t="s">
        <v>72</v>
      </c>
      <c r="R779" s="266">
        <v>6</v>
      </c>
      <c r="S779" s="410">
        <v>15</v>
      </c>
      <c r="T779" s="261">
        <v>6</v>
      </c>
      <c r="U779" s="261">
        <v>6</v>
      </c>
      <c r="V779" s="258" t="s">
        <v>71</v>
      </c>
      <c r="W779" s="261" t="str">
        <f t="shared" si="126"/>
        <v>기아자동차쏘렌토가솔린 터보 2.5 4WD 노블레스(6인승)38490000</v>
      </c>
      <c r="X779" s="411">
        <f t="shared" si="127"/>
        <v>4553</v>
      </c>
      <c r="Y779" s="261">
        <v>6</v>
      </c>
      <c r="Z779" s="261">
        <v>6</v>
      </c>
      <c r="AA779" s="407" t="s">
        <v>320</v>
      </c>
      <c r="AB779" s="258" t="s">
        <v>1965</v>
      </c>
      <c r="AC779" s="258"/>
      <c r="AD779" s="258">
        <v>5</v>
      </c>
      <c r="AE779" s="258">
        <v>0</v>
      </c>
      <c r="AF779" s="259"/>
      <c r="AG779" s="260"/>
      <c r="AH779" s="259"/>
      <c r="AI779" s="259"/>
      <c r="AJ779" s="260"/>
      <c r="AK779" s="259">
        <v>26</v>
      </c>
      <c r="AL779" s="259"/>
      <c r="AM779" s="259" t="s">
        <v>3233</v>
      </c>
      <c r="AN779" s="449"/>
      <c r="AO779" s="449"/>
      <c r="AP779" s="449"/>
      <c r="AQ779" s="392" t="str">
        <f>IFERROR(VLOOKUP(BG779,#REF!,1,0),"")</f>
        <v/>
      </c>
      <c r="AS779" s="259" t="s">
        <v>3233</v>
      </c>
      <c r="BD779" s="202" t="str">
        <f t="shared" si="119"/>
        <v>쏘렌토가솔린 터보 2.5 4WD 노블레스(6인승)</v>
      </c>
      <c r="BE779" s="261" t="str">
        <f t="shared" si="125"/>
        <v>0072</v>
      </c>
      <c r="BF779" s="407" t="s">
        <v>320</v>
      </c>
      <c r="BG779" s="202" t="str">
        <f t="shared" si="120"/>
        <v>0072-0778</v>
      </c>
    </row>
    <row r="780" spans="1:59">
      <c r="A780" s="405">
        <v>4554</v>
      </c>
      <c r="B780" s="406">
        <v>4554</v>
      </c>
      <c r="C780" s="261" t="str">
        <f t="shared" si="121"/>
        <v>0001-0072</v>
      </c>
      <c r="D780" s="261" t="str">
        <f t="shared" si="122"/>
        <v>0001-0072-0036</v>
      </c>
      <c r="E780" s="407" t="s">
        <v>319</v>
      </c>
      <c r="F780" s="261" t="str">
        <f>TEXT(VLOOKUP(J780,'[3]1'!$B$2:$D$37,2,0),"0000")</f>
        <v>0001</v>
      </c>
      <c r="G780" s="261" t="str">
        <f t="shared" si="123"/>
        <v>0072</v>
      </c>
      <c r="H780" s="408">
        <f t="shared" si="124"/>
        <v>36</v>
      </c>
      <c r="I780" s="407" t="s">
        <v>319</v>
      </c>
      <c r="J780" s="413" t="s">
        <v>828</v>
      </c>
      <c r="K780" s="258" t="s">
        <v>2725</v>
      </c>
      <c r="L780" s="266" t="s">
        <v>2930</v>
      </c>
      <c r="M780" s="317">
        <v>38000000</v>
      </c>
      <c r="N780" s="266">
        <v>2497</v>
      </c>
      <c r="O780" s="258" t="s">
        <v>77</v>
      </c>
      <c r="P780" s="258" t="s">
        <v>1965</v>
      </c>
      <c r="Q780" s="258" t="s">
        <v>72</v>
      </c>
      <c r="R780" s="266">
        <v>7</v>
      </c>
      <c r="S780" s="410">
        <v>15</v>
      </c>
      <c r="T780" s="261">
        <v>6</v>
      </c>
      <c r="U780" s="261">
        <v>6</v>
      </c>
      <c r="V780" s="258" t="s">
        <v>71</v>
      </c>
      <c r="W780" s="261" t="str">
        <f t="shared" si="126"/>
        <v>기아자동차쏘렌토가솔린 터보 2.5 4WD 노블레스(7인승)38000000</v>
      </c>
      <c r="X780" s="411">
        <f t="shared" si="127"/>
        <v>4554</v>
      </c>
      <c r="Y780" s="261">
        <v>6</v>
      </c>
      <c r="Z780" s="261">
        <v>6</v>
      </c>
      <c r="AA780" s="407" t="s">
        <v>319</v>
      </c>
      <c r="AB780" s="258" t="s">
        <v>1965</v>
      </c>
      <c r="AC780" s="258"/>
      <c r="AD780" s="258">
        <v>5</v>
      </c>
      <c r="AE780" s="258">
        <v>0</v>
      </c>
      <c r="AF780" s="259"/>
      <c r="AG780" s="260"/>
      <c r="AH780" s="259"/>
      <c r="AI780" s="259"/>
      <c r="AJ780" s="260"/>
      <c r="AK780" s="259">
        <v>26</v>
      </c>
      <c r="AL780" s="259"/>
      <c r="AM780" s="259" t="s">
        <v>3233</v>
      </c>
      <c r="AN780" s="449"/>
      <c r="AO780" s="449"/>
      <c r="AP780" s="449"/>
      <c r="AQ780" s="392" t="str">
        <f>IFERROR(VLOOKUP(BG780,#REF!,1,0),"")</f>
        <v/>
      </c>
      <c r="AS780" s="259" t="s">
        <v>3233</v>
      </c>
      <c r="BD780" s="202" t="str">
        <f t="shared" si="119"/>
        <v>쏘렌토가솔린 터보 2.5 4WD 노블레스(7인승)</v>
      </c>
      <c r="BE780" s="261" t="str">
        <f t="shared" si="125"/>
        <v>0072</v>
      </c>
      <c r="BF780" s="407" t="s">
        <v>319</v>
      </c>
      <c r="BG780" s="202" t="str">
        <f t="shared" si="120"/>
        <v>0072-0779</v>
      </c>
    </row>
    <row r="781" spans="1:59">
      <c r="A781" s="405">
        <v>4555</v>
      </c>
      <c r="B781" s="406">
        <v>4555</v>
      </c>
      <c r="C781" s="261" t="str">
        <f t="shared" si="121"/>
        <v>0001-0072</v>
      </c>
      <c r="D781" s="261" t="str">
        <f t="shared" si="122"/>
        <v>0001-0072-0037</v>
      </c>
      <c r="E781" s="407" t="s">
        <v>318</v>
      </c>
      <c r="F781" s="261" t="str">
        <f>TEXT(VLOOKUP(J781,'[3]1'!$B$2:$D$37,2,0),"0000")</f>
        <v>0001</v>
      </c>
      <c r="G781" s="261" t="str">
        <f t="shared" si="123"/>
        <v>0072</v>
      </c>
      <c r="H781" s="408">
        <f t="shared" si="124"/>
        <v>37</v>
      </c>
      <c r="I781" s="407" t="s">
        <v>318</v>
      </c>
      <c r="J781" s="413" t="s">
        <v>828</v>
      </c>
      <c r="K781" s="258" t="s">
        <v>2725</v>
      </c>
      <c r="L781" s="266" t="s">
        <v>2931</v>
      </c>
      <c r="M781" s="317">
        <v>40150000</v>
      </c>
      <c r="N781" s="266">
        <v>2497</v>
      </c>
      <c r="O781" s="258" t="s">
        <v>77</v>
      </c>
      <c r="P781" s="258" t="s">
        <v>1965</v>
      </c>
      <c r="Q781" s="258" t="s">
        <v>72</v>
      </c>
      <c r="R781" s="266">
        <v>5</v>
      </c>
      <c r="S781" s="410">
        <v>15</v>
      </c>
      <c r="T781" s="261">
        <v>6</v>
      </c>
      <c r="U781" s="261">
        <v>6</v>
      </c>
      <c r="V781" s="258" t="s">
        <v>71</v>
      </c>
      <c r="W781" s="261" t="str">
        <f t="shared" si="126"/>
        <v>기아자동차쏘렌토가솔린 터보 2.5 4WD 시그니처(5인승)40150000</v>
      </c>
      <c r="X781" s="411">
        <f t="shared" si="127"/>
        <v>4555</v>
      </c>
      <c r="Y781" s="261">
        <v>6</v>
      </c>
      <c r="Z781" s="261">
        <v>6</v>
      </c>
      <c r="AA781" s="407" t="s">
        <v>318</v>
      </c>
      <c r="AB781" s="258" t="s">
        <v>1965</v>
      </c>
      <c r="AC781" s="258"/>
      <c r="AD781" s="258">
        <v>5</v>
      </c>
      <c r="AE781" s="258">
        <v>0</v>
      </c>
      <c r="AF781" s="259"/>
      <c r="AG781" s="260"/>
      <c r="AH781" s="259"/>
      <c r="AI781" s="259"/>
      <c r="AJ781" s="260"/>
      <c r="AK781" s="259">
        <v>26</v>
      </c>
      <c r="AL781" s="259"/>
      <c r="AM781" s="259" t="s">
        <v>3233</v>
      </c>
      <c r="AN781" s="449"/>
      <c r="AO781" s="449"/>
      <c r="AP781" s="449"/>
      <c r="AQ781" s="392" t="str">
        <f>IFERROR(VLOOKUP(BG781,#REF!,1,0),"")</f>
        <v/>
      </c>
      <c r="AS781" s="259" t="s">
        <v>3233</v>
      </c>
      <c r="BD781" s="202" t="str">
        <f t="shared" si="119"/>
        <v>쏘렌토가솔린 터보 2.5 4WD 시그니처(5인승)</v>
      </c>
      <c r="BE781" s="261" t="str">
        <f t="shared" si="125"/>
        <v>0072</v>
      </c>
      <c r="BF781" s="407" t="s">
        <v>318</v>
      </c>
      <c r="BG781" s="202" t="str">
        <f t="shared" si="120"/>
        <v>0072-0780</v>
      </c>
    </row>
    <row r="782" spans="1:59">
      <c r="A782" s="405">
        <v>4556</v>
      </c>
      <c r="B782" s="406">
        <v>4556</v>
      </c>
      <c r="C782" s="261" t="str">
        <f t="shared" si="121"/>
        <v>0001-0072</v>
      </c>
      <c r="D782" s="261" t="str">
        <f t="shared" si="122"/>
        <v>0001-0072-0038</v>
      </c>
      <c r="E782" s="407" t="s">
        <v>317</v>
      </c>
      <c r="F782" s="261" t="str">
        <f>TEXT(VLOOKUP(J782,'[3]1'!$B$2:$D$37,2,0),"0000")</f>
        <v>0001</v>
      </c>
      <c r="G782" s="261" t="str">
        <f t="shared" si="123"/>
        <v>0072</v>
      </c>
      <c r="H782" s="408">
        <f t="shared" si="124"/>
        <v>38</v>
      </c>
      <c r="I782" s="407" t="s">
        <v>317</v>
      </c>
      <c r="J782" s="413" t="s">
        <v>828</v>
      </c>
      <c r="K782" s="258" t="s">
        <v>2725</v>
      </c>
      <c r="L782" s="266" t="s">
        <v>2931</v>
      </c>
      <c r="M782" s="317">
        <v>40940000</v>
      </c>
      <c r="N782" s="266">
        <v>2497</v>
      </c>
      <c r="O782" s="258" t="s">
        <v>77</v>
      </c>
      <c r="P782" s="258" t="s">
        <v>1965</v>
      </c>
      <c r="Q782" s="258" t="s">
        <v>72</v>
      </c>
      <c r="R782" s="266">
        <v>6</v>
      </c>
      <c r="S782" s="410">
        <v>15</v>
      </c>
      <c r="T782" s="261">
        <v>6</v>
      </c>
      <c r="U782" s="261">
        <v>6</v>
      </c>
      <c r="V782" s="258" t="s">
        <v>71</v>
      </c>
      <c r="W782" s="261" t="str">
        <f t="shared" si="126"/>
        <v>기아자동차쏘렌토가솔린 터보 2.5 4WD 시그니처(5인승)40940000</v>
      </c>
      <c r="X782" s="411">
        <f t="shared" si="127"/>
        <v>4556</v>
      </c>
      <c r="Y782" s="261">
        <v>6</v>
      </c>
      <c r="Z782" s="261">
        <v>6</v>
      </c>
      <c r="AA782" s="407" t="s">
        <v>317</v>
      </c>
      <c r="AB782" s="258" t="s">
        <v>1965</v>
      </c>
      <c r="AC782" s="258"/>
      <c r="AD782" s="258">
        <v>5</v>
      </c>
      <c r="AE782" s="258">
        <v>0</v>
      </c>
      <c r="AF782" s="259"/>
      <c r="AG782" s="260"/>
      <c r="AH782" s="259"/>
      <c r="AI782" s="259"/>
      <c r="AJ782" s="260"/>
      <c r="AK782" s="259">
        <v>26</v>
      </c>
      <c r="AL782" s="259"/>
      <c r="AM782" s="259" t="s">
        <v>3233</v>
      </c>
      <c r="AN782" s="449"/>
      <c r="AO782" s="449"/>
      <c r="AP782" s="449"/>
      <c r="AQ782" s="392" t="str">
        <f>IFERROR(VLOOKUP(BG782,#REF!,1,0),"")</f>
        <v/>
      </c>
      <c r="AS782" s="259" t="s">
        <v>3233</v>
      </c>
      <c r="BD782" s="202" t="str">
        <f t="shared" si="119"/>
        <v>쏘렌토가솔린 터보 2.5 4WD 시그니처(5인승)</v>
      </c>
      <c r="BE782" s="261" t="str">
        <f t="shared" si="125"/>
        <v>0072</v>
      </c>
      <c r="BF782" s="407" t="s">
        <v>317</v>
      </c>
      <c r="BG782" s="202" t="str">
        <f t="shared" si="120"/>
        <v>0072-0781</v>
      </c>
    </row>
    <row r="783" spans="1:59">
      <c r="A783" s="405">
        <v>4557</v>
      </c>
      <c r="B783" s="406">
        <v>4557</v>
      </c>
      <c r="C783" s="261" t="str">
        <f t="shared" si="121"/>
        <v>0001-0072</v>
      </c>
      <c r="D783" s="261" t="str">
        <f t="shared" si="122"/>
        <v>0001-0072-0039</v>
      </c>
      <c r="E783" s="407" t="s">
        <v>316</v>
      </c>
      <c r="F783" s="261" t="str">
        <f>TEXT(VLOOKUP(J783,'[3]1'!$B$2:$D$37,2,0),"0000")</f>
        <v>0001</v>
      </c>
      <c r="G783" s="261" t="str">
        <f t="shared" si="123"/>
        <v>0072</v>
      </c>
      <c r="H783" s="408">
        <f t="shared" si="124"/>
        <v>39</v>
      </c>
      <c r="I783" s="407" t="s">
        <v>316</v>
      </c>
      <c r="J783" s="413" t="s">
        <v>828</v>
      </c>
      <c r="K783" s="258" t="s">
        <v>2725</v>
      </c>
      <c r="L783" s="266" t="s">
        <v>2931</v>
      </c>
      <c r="M783" s="317">
        <v>40840000</v>
      </c>
      <c r="N783" s="266">
        <v>2497</v>
      </c>
      <c r="O783" s="258" t="s">
        <v>77</v>
      </c>
      <c r="P783" s="258" t="s">
        <v>1965</v>
      </c>
      <c r="Q783" s="258" t="s">
        <v>72</v>
      </c>
      <c r="R783" s="266">
        <v>7</v>
      </c>
      <c r="S783" s="410">
        <v>15</v>
      </c>
      <c r="T783" s="261">
        <v>6</v>
      </c>
      <c r="U783" s="261">
        <v>6</v>
      </c>
      <c r="V783" s="258" t="s">
        <v>71</v>
      </c>
      <c r="W783" s="261" t="str">
        <f t="shared" si="126"/>
        <v>기아자동차쏘렌토가솔린 터보 2.5 4WD 시그니처(5인승)40840000</v>
      </c>
      <c r="X783" s="411">
        <f t="shared" si="127"/>
        <v>4557</v>
      </c>
      <c r="Y783" s="261">
        <v>6</v>
      </c>
      <c r="Z783" s="261">
        <v>6</v>
      </c>
      <c r="AA783" s="407" t="s">
        <v>316</v>
      </c>
      <c r="AB783" s="258" t="s">
        <v>1965</v>
      </c>
      <c r="AC783" s="258"/>
      <c r="AD783" s="258">
        <v>5</v>
      </c>
      <c r="AE783" s="258">
        <v>0</v>
      </c>
      <c r="AF783" s="259"/>
      <c r="AG783" s="260"/>
      <c r="AH783" s="259"/>
      <c r="AI783" s="259"/>
      <c r="AJ783" s="260"/>
      <c r="AK783" s="259">
        <v>26</v>
      </c>
      <c r="AL783" s="259"/>
      <c r="AM783" s="259" t="s">
        <v>3233</v>
      </c>
      <c r="AN783" s="449"/>
      <c r="AO783" s="449"/>
      <c r="AP783" s="449"/>
      <c r="AQ783" s="392" t="str">
        <f>IFERROR(VLOOKUP(BG783,#REF!,1,0),"")</f>
        <v/>
      </c>
      <c r="AS783" s="259" t="s">
        <v>3233</v>
      </c>
      <c r="BD783" s="202" t="str">
        <f t="shared" si="119"/>
        <v>쏘렌토가솔린 터보 2.5 4WD 시그니처(5인승)</v>
      </c>
      <c r="BE783" s="261" t="str">
        <f t="shared" si="125"/>
        <v>0072</v>
      </c>
      <c r="BF783" s="407" t="s">
        <v>316</v>
      </c>
      <c r="BG783" s="202" t="str">
        <f t="shared" si="120"/>
        <v>0072-0782</v>
      </c>
    </row>
    <row r="784" spans="1:59">
      <c r="A784" s="405">
        <v>4558</v>
      </c>
      <c r="B784" s="406">
        <v>4558</v>
      </c>
      <c r="C784" s="261" t="str">
        <f t="shared" si="121"/>
        <v>0001-0072</v>
      </c>
      <c r="D784" s="261" t="str">
        <f t="shared" si="122"/>
        <v>0001-0072-0040</v>
      </c>
      <c r="E784" s="407" t="s">
        <v>315</v>
      </c>
      <c r="F784" s="261" t="str">
        <f>TEXT(VLOOKUP(J784,'[3]1'!$B$2:$D$37,2,0),"0000")</f>
        <v>0001</v>
      </c>
      <c r="G784" s="261" t="str">
        <f t="shared" si="123"/>
        <v>0072</v>
      </c>
      <c r="H784" s="408">
        <f t="shared" si="124"/>
        <v>40</v>
      </c>
      <c r="I784" s="407" t="s">
        <v>315</v>
      </c>
      <c r="J784" s="413" t="s">
        <v>828</v>
      </c>
      <c r="K784" s="258" t="s">
        <v>2725</v>
      </c>
      <c r="L784" s="266" t="s">
        <v>2932</v>
      </c>
      <c r="M784" s="317">
        <v>41130000</v>
      </c>
      <c r="N784" s="266">
        <v>2497</v>
      </c>
      <c r="O784" s="258" t="s">
        <v>77</v>
      </c>
      <c r="P784" s="258" t="s">
        <v>1965</v>
      </c>
      <c r="Q784" s="258" t="s">
        <v>72</v>
      </c>
      <c r="R784" s="266">
        <v>5</v>
      </c>
      <c r="S784" s="410">
        <v>15</v>
      </c>
      <c r="T784" s="261">
        <v>6</v>
      </c>
      <c r="U784" s="261">
        <v>6</v>
      </c>
      <c r="V784" s="258" t="s">
        <v>71</v>
      </c>
      <c r="W784" s="261" t="str">
        <f t="shared" si="126"/>
        <v>기아자동차쏘렌토가솔린 터보 2.5 4WD 그래비티(5인승)41130000</v>
      </c>
      <c r="X784" s="411">
        <f t="shared" si="127"/>
        <v>4558</v>
      </c>
      <c r="Y784" s="261">
        <v>6</v>
      </c>
      <c r="Z784" s="261">
        <v>6</v>
      </c>
      <c r="AA784" s="407" t="s">
        <v>315</v>
      </c>
      <c r="AB784" s="258" t="s">
        <v>1965</v>
      </c>
      <c r="AC784" s="258"/>
      <c r="AD784" s="258">
        <v>5</v>
      </c>
      <c r="AE784" s="258">
        <v>0</v>
      </c>
      <c r="AF784" s="259"/>
      <c r="AG784" s="260"/>
      <c r="AH784" s="259"/>
      <c r="AI784" s="259"/>
      <c r="AJ784" s="260"/>
      <c r="AK784" s="259">
        <v>26</v>
      </c>
      <c r="AL784" s="259"/>
      <c r="AM784" s="259" t="s">
        <v>3233</v>
      </c>
      <c r="AN784" s="449"/>
      <c r="AO784" s="449"/>
      <c r="AP784" s="449"/>
      <c r="AQ784" s="392" t="str">
        <f>IFERROR(VLOOKUP(BG784,#REF!,1,0),"")</f>
        <v/>
      </c>
      <c r="AS784" s="259" t="s">
        <v>3233</v>
      </c>
      <c r="BD784" s="202" t="str">
        <f t="shared" si="119"/>
        <v>쏘렌토가솔린 터보 2.5 4WD 그래비티(5인승)</v>
      </c>
      <c r="BE784" s="261" t="str">
        <f t="shared" si="125"/>
        <v>0072</v>
      </c>
      <c r="BF784" s="407" t="s">
        <v>315</v>
      </c>
      <c r="BG784" s="202" t="str">
        <f t="shared" si="120"/>
        <v>0072-0783</v>
      </c>
    </row>
    <row r="785" spans="1:60">
      <c r="A785" s="405">
        <v>4559</v>
      </c>
      <c r="B785" s="406">
        <v>4559</v>
      </c>
      <c r="C785" s="261" t="str">
        <f t="shared" si="121"/>
        <v>0001-0072</v>
      </c>
      <c r="D785" s="261" t="str">
        <f t="shared" si="122"/>
        <v>0001-0072-0041</v>
      </c>
      <c r="E785" s="407" t="s">
        <v>314</v>
      </c>
      <c r="F785" s="261" t="str">
        <f>TEXT(VLOOKUP(J785,'[3]1'!$B$2:$D$37,2,0),"0000")</f>
        <v>0001</v>
      </c>
      <c r="G785" s="261" t="str">
        <f t="shared" si="123"/>
        <v>0072</v>
      </c>
      <c r="H785" s="408">
        <f t="shared" si="124"/>
        <v>41</v>
      </c>
      <c r="I785" s="407" t="s">
        <v>314</v>
      </c>
      <c r="J785" s="413" t="s">
        <v>828</v>
      </c>
      <c r="K785" s="258" t="s">
        <v>2725</v>
      </c>
      <c r="L785" s="266" t="s">
        <v>2933</v>
      </c>
      <c r="M785" s="317">
        <v>41920000</v>
      </c>
      <c r="N785" s="266">
        <v>2497</v>
      </c>
      <c r="O785" s="258" t="s">
        <v>77</v>
      </c>
      <c r="P785" s="258" t="s">
        <v>1965</v>
      </c>
      <c r="Q785" s="258" t="s">
        <v>72</v>
      </c>
      <c r="R785" s="266">
        <v>6</v>
      </c>
      <c r="S785" s="410">
        <v>15</v>
      </c>
      <c r="T785" s="261">
        <v>6</v>
      </c>
      <c r="U785" s="261">
        <v>6</v>
      </c>
      <c r="V785" s="258" t="s">
        <v>71</v>
      </c>
      <c r="W785" s="261" t="str">
        <f t="shared" si="126"/>
        <v>기아자동차쏘렌토가솔린 터보 2.5 4WD 그래비티(6인승)41920000</v>
      </c>
      <c r="X785" s="411">
        <f t="shared" si="127"/>
        <v>4559</v>
      </c>
      <c r="Y785" s="261">
        <v>6</v>
      </c>
      <c r="Z785" s="261">
        <v>6</v>
      </c>
      <c r="AA785" s="407" t="s">
        <v>314</v>
      </c>
      <c r="AB785" s="258" t="s">
        <v>1965</v>
      </c>
      <c r="AC785" s="258"/>
      <c r="AD785" s="258">
        <v>5</v>
      </c>
      <c r="AE785" s="258">
        <v>0</v>
      </c>
      <c r="AF785" s="259"/>
      <c r="AG785" s="260"/>
      <c r="AH785" s="259"/>
      <c r="AI785" s="259"/>
      <c r="AJ785" s="260"/>
      <c r="AK785" s="259">
        <v>26</v>
      </c>
      <c r="AL785" s="259"/>
      <c r="AM785" s="259" t="s">
        <v>3233</v>
      </c>
      <c r="AN785" s="449"/>
      <c r="AO785" s="449"/>
      <c r="AP785" s="449"/>
      <c r="AQ785" s="392" t="str">
        <f>IFERROR(VLOOKUP(BG785,#REF!,1,0),"")</f>
        <v/>
      </c>
      <c r="AS785" s="259" t="s">
        <v>3233</v>
      </c>
      <c r="BD785" s="202" t="str">
        <f t="shared" si="119"/>
        <v>쏘렌토가솔린 터보 2.5 4WD 그래비티(6인승)</v>
      </c>
      <c r="BE785" s="261" t="str">
        <f t="shared" si="125"/>
        <v>0072</v>
      </c>
      <c r="BF785" s="407" t="s">
        <v>314</v>
      </c>
      <c r="BG785" s="202" t="str">
        <f t="shared" si="120"/>
        <v>0072-0784</v>
      </c>
    </row>
    <row r="786" spans="1:60">
      <c r="A786" s="405">
        <v>4560</v>
      </c>
      <c r="B786" s="406">
        <v>4560</v>
      </c>
      <c r="C786" s="261" t="str">
        <f t="shared" si="121"/>
        <v>0001-0072</v>
      </c>
      <c r="D786" s="261" t="str">
        <f t="shared" si="122"/>
        <v>0001-0072-0042</v>
      </c>
      <c r="E786" s="407" t="s">
        <v>313</v>
      </c>
      <c r="F786" s="261" t="str">
        <f>TEXT(VLOOKUP(J786,'[3]1'!$B$2:$D$37,2,0),"0000")</f>
        <v>0001</v>
      </c>
      <c r="G786" s="261" t="str">
        <f t="shared" si="123"/>
        <v>0072</v>
      </c>
      <c r="H786" s="408">
        <f t="shared" si="124"/>
        <v>42</v>
      </c>
      <c r="I786" s="407" t="s">
        <v>313</v>
      </c>
      <c r="J786" s="413" t="s">
        <v>828</v>
      </c>
      <c r="K786" s="258" t="s">
        <v>2725</v>
      </c>
      <c r="L786" s="266" t="s">
        <v>2934</v>
      </c>
      <c r="M786" s="317">
        <v>41820000</v>
      </c>
      <c r="N786" s="266">
        <v>2497</v>
      </c>
      <c r="O786" s="258" t="s">
        <v>77</v>
      </c>
      <c r="P786" s="258" t="s">
        <v>1965</v>
      </c>
      <c r="Q786" s="258" t="s">
        <v>72</v>
      </c>
      <c r="R786" s="266">
        <v>7</v>
      </c>
      <c r="S786" s="410">
        <v>15</v>
      </c>
      <c r="T786" s="261">
        <v>6</v>
      </c>
      <c r="U786" s="261">
        <v>6</v>
      </c>
      <c r="V786" s="258" t="s">
        <v>71</v>
      </c>
      <c r="W786" s="261" t="str">
        <f t="shared" si="126"/>
        <v>기아자동차쏘렌토가솔린 터보 2.5 4WD 그래비티(7인승)41820000</v>
      </c>
      <c r="X786" s="411">
        <f t="shared" si="127"/>
        <v>4560</v>
      </c>
      <c r="Y786" s="261">
        <v>6</v>
      </c>
      <c r="Z786" s="261">
        <v>6</v>
      </c>
      <c r="AA786" s="407" t="s">
        <v>313</v>
      </c>
      <c r="AB786" s="258" t="s">
        <v>1965</v>
      </c>
      <c r="AC786" s="258"/>
      <c r="AD786" s="258">
        <v>5</v>
      </c>
      <c r="AE786" s="258">
        <v>0</v>
      </c>
      <c r="AF786" s="259"/>
      <c r="AG786" s="260"/>
      <c r="AH786" s="259"/>
      <c r="AI786" s="259"/>
      <c r="AJ786" s="260"/>
      <c r="AK786" s="259">
        <v>26</v>
      </c>
      <c r="AL786" s="259"/>
      <c r="AM786" s="259" t="s">
        <v>3233</v>
      </c>
      <c r="AN786" s="449"/>
      <c r="AO786" s="449"/>
      <c r="AP786" s="449"/>
      <c r="AQ786" s="392" t="str">
        <f>IFERROR(VLOOKUP(BG786,#REF!,1,0),"")</f>
        <v/>
      </c>
      <c r="AS786" s="259" t="s">
        <v>3233</v>
      </c>
      <c r="BD786" s="202" t="str">
        <f t="shared" si="119"/>
        <v>쏘렌토가솔린 터보 2.5 4WD 그래비티(7인승)</v>
      </c>
      <c r="BE786" s="261" t="str">
        <f t="shared" si="125"/>
        <v>0072</v>
      </c>
      <c r="BF786" s="407" t="s">
        <v>313</v>
      </c>
      <c r="BG786" s="202" t="str">
        <f t="shared" si="120"/>
        <v>0072-0785</v>
      </c>
    </row>
    <row r="787" spans="1:60">
      <c r="A787" s="405">
        <v>4561</v>
      </c>
      <c r="B787" s="406">
        <v>4561</v>
      </c>
      <c r="C787" s="261" t="str">
        <f t="shared" si="121"/>
        <v>0001-0073</v>
      </c>
      <c r="D787" s="261" t="str">
        <f t="shared" si="122"/>
        <v>0001-0073-0001</v>
      </c>
      <c r="E787" s="407" t="s">
        <v>312</v>
      </c>
      <c r="F787" s="261" t="str">
        <f>TEXT(VLOOKUP(J787,'[3]1'!$B$2:$D$37,2,0),"0000")</f>
        <v>0001</v>
      </c>
      <c r="G787" s="261" t="str">
        <f t="shared" si="123"/>
        <v>0073</v>
      </c>
      <c r="H787" s="408">
        <f t="shared" si="124"/>
        <v>1</v>
      </c>
      <c r="I787" s="407" t="s">
        <v>312</v>
      </c>
      <c r="J787" s="258" t="s">
        <v>828</v>
      </c>
      <c r="K787" s="258" t="s">
        <v>2726</v>
      </c>
      <c r="L787" s="443" t="s">
        <v>3124</v>
      </c>
      <c r="M787" s="452">
        <v>37260000</v>
      </c>
      <c r="N787" s="442">
        <v>1598</v>
      </c>
      <c r="O787" s="443" t="s">
        <v>74</v>
      </c>
      <c r="P787" s="258" t="s">
        <v>70</v>
      </c>
      <c r="Q787" s="258" t="s">
        <v>72</v>
      </c>
      <c r="R787" s="444">
        <v>5</v>
      </c>
      <c r="S787" s="410">
        <v>1</v>
      </c>
      <c r="T787" s="261">
        <v>6</v>
      </c>
      <c r="U787" s="261">
        <v>6</v>
      </c>
      <c r="V787" s="258" t="s">
        <v>1969</v>
      </c>
      <c r="W787" s="261" t="str">
        <f t="shared" si="126"/>
        <v>기아자동차쏘렌토 하이브리드MQ4 HEV 1.6 프레스티지 4WD (5인승)37260000</v>
      </c>
      <c r="X787" s="411">
        <f t="shared" si="127"/>
        <v>4561</v>
      </c>
      <c r="Y787" s="261">
        <v>6</v>
      </c>
      <c r="Z787" s="261">
        <v>6</v>
      </c>
      <c r="AA787" s="407" t="s">
        <v>312</v>
      </c>
      <c r="AB787" s="258" t="s">
        <v>70</v>
      </c>
      <c r="AC787" s="258"/>
      <c r="AD787" s="258">
        <v>5</v>
      </c>
      <c r="AE787" s="258">
        <v>0</v>
      </c>
      <c r="AF787" s="259"/>
      <c r="AG787" s="260"/>
      <c r="AH787" s="259"/>
      <c r="AI787" s="259"/>
      <c r="AJ787" s="260"/>
      <c r="AK787" s="259">
        <v>26</v>
      </c>
      <c r="AL787" s="259"/>
      <c r="AM787" s="259" t="s">
        <v>3189</v>
      </c>
      <c r="AN787" s="449"/>
      <c r="AO787" s="449"/>
      <c r="AP787" s="449"/>
      <c r="AQ787" s="392" t="str">
        <f>IFERROR(VLOOKUP(BG787,#REF!,1,0),"")</f>
        <v/>
      </c>
      <c r="AS787" s="259" t="s">
        <v>3189</v>
      </c>
      <c r="BD787" s="202" t="str">
        <f t="shared" si="119"/>
        <v>쏘렌토 하이브리드MQ4 HEV 1.6 프레스티지 4WD (5인승)</v>
      </c>
      <c r="BE787" s="261" t="str">
        <f t="shared" si="125"/>
        <v>0073</v>
      </c>
      <c r="BF787" s="407" t="s">
        <v>312</v>
      </c>
      <c r="BG787" s="202" t="str">
        <f t="shared" si="120"/>
        <v>0073-0786</v>
      </c>
    </row>
    <row r="788" spans="1:60">
      <c r="A788" s="405">
        <v>4562</v>
      </c>
      <c r="B788" s="406">
        <v>4562</v>
      </c>
      <c r="C788" s="261" t="str">
        <f t="shared" si="121"/>
        <v>0001-0073</v>
      </c>
      <c r="D788" s="261" t="str">
        <f t="shared" si="122"/>
        <v>0001-0073-0002</v>
      </c>
      <c r="E788" s="407" t="s">
        <v>311</v>
      </c>
      <c r="F788" s="261" t="str">
        <f>TEXT(VLOOKUP(J788,'[3]1'!$B$2:$D$37,2,0),"0000")</f>
        <v>0001</v>
      </c>
      <c r="G788" s="261" t="str">
        <f t="shared" si="123"/>
        <v>0073</v>
      </c>
      <c r="H788" s="408">
        <f t="shared" si="124"/>
        <v>2</v>
      </c>
      <c r="I788" s="407" t="s">
        <v>311</v>
      </c>
      <c r="J788" s="258" t="s">
        <v>828</v>
      </c>
      <c r="K788" s="258" t="s">
        <v>2726</v>
      </c>
      <c r="L788" s="443" t="s">
        <v>3125</v>
      </c>
      <c r="M788" s="452">
        <v>40110000</v>
      </c>
      <c r="N788" s="442">
        <v>1598</v>
      </c>
      <c r="O788" s="443" t="s">
        <v>74</v>
      </c>
      <c r="P788" s="258" t="s">
        <v>70</v>
      </c>
      <c r="Q788" s="258" t="s">
        <v>72</v>
      </c>
      <c r="R788" s="444">
        <v>5</v>
      </c>
      <c r="S788" s="410">
        <v>1</v>
      </c>
      <c r="T788" s="261">
        <v>6</v>
      </c>
      <c r="U788" s="261">
        <v>6</v>
      </c>
      <c r="V788" s="258" t="s">
        <v>1969</v>
      </c>
      <c r="W788" s="261" t="str">
        <f t="shared" si="126"/>
        <v>기아자동차쏘렌토 하이브리드MQ4 HEV 1.6 노블레스 4WD (5인승)40110000</v>
      </c>
      <c r="X788" s="411">
        <f t="shared" si="127"/>
        <v>4562</v>
      </c>
      <c r="Y788" s="261">
        <v>6</v>
      </c>
      <c r="Z788" s="261">
        <v>6</v>
      </c>
      <c r="AA788" s="407" t="s">
        <v>311</v>
      </c>
      <c r="AB788" s="258" t="s">
        <v>70</v>
      </c>
      <c r="AC788" s="258"/>
      <c r="AD788" s="258">
        <v>5</v>
      </c>
      <c r="AE788" s="258">
        <v>0</v>
      </c>
      <c r="AF788" s="259"/>
      <c r="AG788" s="260"/>
      <c r="AH788" s="259"/>
      <c r="AI788" s="259"/>
      <c r="AJ788" s="260"/>
      <c r="AK788" s="259">
        <v>26</v>
      </c>
      <c r="AL788" s="259"/>
      <c r="AM788" s="259" t="s">
        <v>3189</v>
      </c>
      <c r="AN788" s="449"/>
      <c r="AO788" s="449"/>
      <c r="AP788" s="449"/>
      <c r="AQ788" s="392" t="str">
        <f>IFERROR(VLOOKUP(BG788,#REF!,1,0),"")</f>
        <v/>
      </c>
      <c r="AS788" s="259" t="s">
        <v>3189</v>
      </c>
      <c r="BD788" s="202" t="str">
        <f t="shared" si="119"/>
        <v>쏘렌토 하이브리드MQ4 HEV 1.6 노블레스 4WD (5인승)</v>
      </c>
      <c r="BE788" s="261" t="str">
        <f t="shared" si="125"/>
        <v>0073</v>
      </c>
      <c r="BF788" s="407" t="s">
        <v>311</v>
      </c>
      <c r="BG788" s="202" t="str">
        <f t="shared" si="120"/>
        <v>0073-0787</v>
      </c>
    </row>
    <row r="789" spans="1:60">
      <c r="A789" s="405">
        <v>4563</v>
      </c>
      <c r="B789" s="406">
        <v>4563</v>
      </c>
      <c r="C789" s="261" t="str">
        <f t="shared" si="121"/>
        <v>0001-0073</v>
      </c>
      <c r="D789" s="261" t="str">
        <f t="shared" si="122"/>
        <v>0001-0073-0003</v>
      </c>
      <c r="E789" s="407" t="s">
        <v>310</v>
      </c>
      <c r="F789" s="261" t="str">
        <f>TEXT(VLOOKUP(J789,'[3]1'!$B$2:$D$37,2,0),"0000")</f>
        <v>0001</v>
      </c>
      <c r="G789" s="261" t="str">
        <f t="shared" si="123"/>
        <v>0073</v>
      </c>
      <c r="H789" s="408">
        <f t="shared" si="124"/>
        <v>3</v>
      </c>
      <c r="I789" s="407" t="s">
        <v>310</v>
      </c>
      <c r="J789" s="258" t="s">
        <v>828</v>
      </c>
      <c r="K789" s="258" t="s">
        <v>2726</v>
      </c>
      <c r="L789" s="443" t="s">
        <v>3126</v>
      </c>
      <c r="M789" s="452">
        <v>43110000</v>
      </c>
      <c r="N789" s="442">
        <v>1598</v>
      </c>
      <c r="O789" s="443" t="s">
        <v>74</v>
      </c>
      <c r="P789" s="258" t="s">
        <v>70</v>
      </c>
      <c r="Q789" s="258" t="s">
        <v>72</v>
      </c>
      <c r="R789" s="444">
        <v>5</v>
      </c>
      <c r="S789" s="410">
        <v>1</v>
      </c>
      <c r="T789" s="261">
        <v>6</v>
      </c>
      <c r="U789" s="261">
        <v>6</v>
      </c>
      <c r="V789" s="258" t="s">
        <v>1969</v>
      </c>
      <c r="W789" s="261" t="str">
        <f t="shared" si="126"/>
        <v>기아자동차쏘렌토 하이브리드MQ4 HEV 1.6 시그니처 4WD (5인승)43110000</v>
      </c>
      <c r="X789" s="411">
        <f t="shared" si="127"/>
        <v>4563</v>
      </c>
      <c r="Y789" s="261">
        <v>6</v>
      </c>
      <c r="Z789" s="261">
        <v>6</v>
      </c>
      <c r="AA789" s="407" t="s">
        <v>310</v>
      </c>
      <c r="AB789" s="258" t="s">
        <v>70</v>
      </c>
      <c r="AC789" s="258"/>
      <c r="AD789" s="258">
        <v>5</v>
      </c>
      <c r="AE789" s="258">
        <v>0</v>
      </c>
      <c r="AF789" s="259"/>
      <c r="AG789" s="260"/>
      <c r="AH789" s="259"/>
      <c r="AI789" s="259"/>
      <c r="AJ789" s="260"/>
      <c r="AK789" s="259">
        <v>26</v>
      </c>
      <c r="AL789" s="259"/>
      <c r="AM789" s="259" t="s">
        <v>3189</v>
      </c>
      <c r="AN789" s="449"/>
      <c r="AO789" s="449"/>
      <c r="AP789" s="449"/>
      <c r="AQ789" s="392" t="str">
        <f>IFERROR(VLOOKUP(BG789,#REF!,1,0),"")</f>
        <v/>
      </c>
      <c r="AS789" s="259" t="s">
        <v>3189</v>
      </c>
      <c r="BD789" s="202" t="str">
        <f t="shared" si="119"/>
        <v>쏘렌토 하이브리드MQ4 HEV 1.6 시그니처 4WD (5인승)</v>
      </c>
      <c r="BE789" s="261" t="str">
        <f t="shared" si="125"/>
        <v>0073</v>
      </c>
      <c r="BF789" s="407" t="s">
        <v>310</v>
      </c>
      <c r="BG789" s="202" t="str">
        <f t="shared" si="120"/>
        <v>0073-0788</v>
      </c>
    </row>
    <row r="790" spans="1:60">
      <c r="A790" s="405">
        <v>4564</v>
      </c>
      <c r="B790" s="406">
        <v>4564</v>
      </c>
      <c r="C790" s="261" t="str">
        <f t="shared" si="121"/>
        <v>0001-0073</v>
      </c>
      <c r="D790" s="261" t="str">
        <f t="shared" si="122"/>
        <v>0001-0073-0004</v>
      </c>
      <c r="E790" s="407" t="s">
        <v>309</v>
      </c>
      <c r="F790" s="261" t="str">
        <f>TEXT(VLOOKUP(J790,'[3]1'!$B$2:$D$37,2,0),"0000")</f>
        <v>0001</v>
      </c>
      <c r="G790" s="261" t="str">
        <f t="shared" si="123"/>
        <v>0073</v>
      </c>
      <c r="H790" s="408">
        <f t="shared" si="124"/>
        <v>4</v>
      </c>
      <c r="I790" s="407" t="s">
        <v>309</v>
      </c>
      <c r="J790" s="258" t="s">
        <v>828</v>
      </c>
      <c r="K790" s="258" t="s">
        <v>2726</v>
      </c>
      <c r="L790" s="443" t="s">
        <v>3127</v>
      </c>
      <c r="M790" s="452">
        <v>44010000</v>
      </c>
      <c r="N790" s="442">
        <v>1598</v>
      </c>
      <c r="O790" s="443" t="s">
        <v>74</v>
      </c>
      <c r="P790" s="258" t="s">
        <v>70</v>
      </c>
      <c r="Q790" s="258" t="s">
        <v>72</v>
      </c>
      <c r="R790" s="444">
        <v>5</v>
      </c>
      <c r="S790" s="410">
        <v>1</v>
      </c>
      <c r="T790" s="261">
        <v>6</v>
      </c>
      <c r="U790" s="261">
        <v>6</v>
      </c>
      <c r="V790" s="258" t="s">
        <v>1969</v>
      </c>
      <c r="W790" s="261" t="str">
        <f t="shared" si="126"/>
        <v>기아자동차쏘렌토 하이브리드MQ4 HEV 1.6 시그니처 그래비티 4WD (5인승)44010000</v>
      </c>
      <c r="X790" s="411">
        <f t="shared" si="127"/>
        <v>4564</v>
      </c>
      <c r="Y790" s="261">
        <v>6</v>
      </c>
      <c r="Z790" s="261">
        <v>6</v>
      </c>
      <c r="AA790" s="407" t="s">
        <v>309</v>
      </c>
      <c r="AB790" s="258" t="s">
        <v>70</v>
      </c>
      <c r="AC790" s="258"/>
      <c r="AD790" s="258">
        <v>5</v>
      </c>
      <c r="AE790" s="258">
        <v>0</v>
      </c>
      <c r="AF790" s="259"/>
      <c r="AG790" s="260"/>
      <c r="AH790" s="259"/>
      <c r="AI790" s="259"/>
      <c r="AJ790" s="260"/>
      <c r="AK790" s="259">
        <v>26</v>
      </c>
      <c r="AL790" s="259"/>
      <c r="AM790" s="259" t="s">
        <v>3189</v>
      </c>
      <c r="AN790" s="449"/>
      <c r="AO790" s="449"/>
      <c r="AP790" s="449"/>
      <c r="AQ790" s="392" t="str">
        <f>IFERROR(VLOOKUP(BG790,#REF!,1,0),"")</f>
        <v/>
      </c>
      <c r="AS790" s="259" t="s">
        <v>3189</v>
      </c>
      <c r="BD790" s="202" t="str">
        <f t="shared" si="119"/>
        <v>쏘렌토 하이브리드MQ4 HEV 1.6 시그니처 그래비티 4WD (5인승)</v>
      </c>
      <c r="BE790" s="261" t="str">
        <f t="shared" si="125"/>
        <v>0073</v>
      </c>
      <c r="BF790" s="407" t="s">
        <v>309</v>
      </c>
      <c r="BG790" s="202" t="str">
        <f t="shared" si="120"/>
        <v>0073-0789</v>
      </c>
    </row>
    <row r="791" spans="1:60">
      <c r="A791" s="405">
        <v>4565</v>
      </c>
      <c r="B791" s="406">
        <v>4565</v>
      </c>
      <c r="C791" s="261" t="str">
        <f t="shared" si="121"/>
        <v>0001-0073</v>
      </c>
      <c r="D791" s="261" t="str">
        <f t="shared" si="122"/>
        <v>0001-0073-0005</v>
      </c>
      <c r="E791" s="407" t="s">
        <v>308</v>
      </c>
      <c r="F791" s="261" t="str">
        <f>TEXT(VLOOKUP(J791,'[3]1'!$B$2:$D$37,2,0),"0000")</f>
        <v>0001</v>
      </c>
      <c r="G791" s="261" t="str">
        <f t="shared" si="123"/>
        <v>0073</v>
      </c>
      <c r="H791" s="408">
        <f t="shared" si="124"/>
        <v>5</v>
      </c>
      <c r="I791" s="407" t="s">
        <v>308</v>
      </c>
      <c r="J791" s="258" t="s">
        <v>828</v>
      </c>
      <c r="K791" s="258" t="s">
        <v>2726</v>
      </c>
      <c r="L791" s="446" t="s">
        <v>3128</v>
      </c>
      <c r="M791" s="453">
        <v>37260000</v>
      </c>
      <c r="N791" s="445">
        <v>1598</v>
      </c>
      <c r="O791" s="446" t="s">
        <v>74</v>
      </c>
      <c r="P791" s="258" t="s">
        <v>70</v>
      </c>
      <c r="Q791" s="258" t="s">
        <v>72</v>
      </c>
      <c r="R791" s="447">
        <v>5</v>
      </c>
      <c r="S791" s="410">
        <v>1</v>
      </c>
      <c r="T791" s="261">
        <v>6</v>
      </c>
      <c r="U791" s="261">
        <v>6</v>
      </c>
      <c r="V791" s="258" t="s">
        <v>1914</v>
      </c>
      <c r="W791" s="261" t="str">
        <f t="shared" si="126"/>
        <v>기아자동차쏘렌토 하이브리드MQ4 HEV 1.6 프레스티지 2WD (5인승)37260000</v>
      </c>
      <c r="X791" s="411">
        <f t="shared" si="127"/>
        <v>4565</v>
      </c>
      <c r="Y791" s="261">
        <v>6</v>
      </c>
      <c r="Z791" s="261">
        <v>6</v>
      </c>
      <c r="AA791" s="407" t="s">
        <v>308</v>
      </c>
      <c r="AB791" s="258" t="s">
        <v>70</v>
      </c>
      <c r="AC791" s="258"/>
      <c r="AD791" s="258">
        <v>5</v>
      </c>
      <c r="AE791" s="258">
        <v>0</v>
      </c>
      <c r="AF791" s="259"/>
      <c r="AG791" s="260"/>
      <c r="AH791" s="259"/>
      <c r="AI791" s="259"/>
      <c r="AJ791" s="260"/>
      <c r="AK791" s="259">
        <v>26</v>
      </c>
      <c r="AL791" s="259"/>
      <c r="AM791" s="259" t="s">
        <v>3189</v>
      </c>
      <c r="AN791" s="449"/>
      <c r="AO791" s="449"/>
      <c r="AP791" s="449"/>
      <c r="AQ791" s="392" t="str">
        <f>IFERROR(VLOOKUP(BG791,#REF!,1,0),"")</f>
        <v/>
      </c>
      <c r="AS791" s="259" t="s">
        <v>3189</v>
      </c>
      <c r="BD791" s="202" t="str">
        <f t="shared" si="119"/>
        <v>쏘렌토 하이브리드MQ4 HEV 1.6 프레스티지 2WD (5인승)</v>
      </c>
      <c r="BE791" s="261" t="str">
        <f t="shared" si="125"/>
        <v>0073</v>
      </c>
      <c r="BF791" s="407" t="s">
        <v>308</v>
      </c>
      <c r="BG791" s="202" t="str">
        <f t="shared" si="120"/>
        <v>0073-0790</v>
      </c>
    </row>
    <row r="792" spans="1:60">
      <c r="A792" s="405">
        <v>4566</v>
      </c>
      <c r="B792" s="406">
        <v>4566</v>
      </c>
      <c r="C792" s="261" t="str">
        <f t="shared" si="121"/>
        <v>0001-0073</v>
      </c>
      <c r="D792" s="261" t="str">
        <f t="shared" si="122"/>
        <v>0001-0073-0006</v>
      </c>
      <c r="E792" s="407" t="s">
        <v>307</v>
      </c>
      <c r="F792" s="261" t="str">
        <f>TEXT(VLOOKUP(J792,'[3]1'!$B$2:$D$37,2,0),"0000")</f>
        <v>0001</v>
      </c>
      <c r="G792" s="261" t="str">
        <f t="shared" si="123"/>
        <v>0073</v>
      </c>
      <c r="H792" s="408">
        <f t="shared" si="124"/>
        <v>6</v>
      </c>
      <c r="I792" s="407" t="s">
        <v>307</v>
      </c>
      <c r="J792" s="258" t="s">
        <v>828</v>
      </c>
      <c r="K792" s="258" t="s">
        <v>2726</v>
      </c>
      <c r="L792" s="446" t="s">
        <v>3129</v>
      </c>
      <c r="M792" s="453">
        <v>40110000</v>
      </c>
      <c r="N792" s="445">
        <v>1598</v>
      </c>
      <c r="O792" s="446" t="s">
        <v>74</v>
      </c>
      <c r="P792" s="258" t="s">
        <v>70</v>
      </c>
      <c r="Q792" s="258" t="s">
        <v>72</v>
      </c>
      <c r="R792" s="447">
        <v>5</v>
      </c>
      <c r="S792" s="410">
        <v>1</v>
      </c>
      <c r="T792" s="261">
        <v>6</v>
      </c>
      <c r="U792" s="261">
        <v>6</v>
      </c>
      <c r="V792" s="258" t="s">
        <v>1914</v>
      </c>
      <c r="W792" s="261" t="str">
        <f t="shared" si="126"/>
        <v>기아자동차쏘렌토 하이브리드MQ4 HEV 1.6 노블레스 2WD (5인승)40110000</v>
      </c>
      <c r="X792" s="411">
        <f t="shared" si="127"/>
        <v>4566</v>
      </c>
      <c r="Y792" s="261">
        <v>6</v>
      </c>
      <c r="Z792" s="261">
        <v>6</v>
      </c>
      <c r="AA792" s="407" t="s">
        <v>307</v>
      </c>
      <c r="AB792" s="258" t="s">
        <v>70</v>
      </c>
      <c r="AC792" s="258"/>
      <c r="AD792" s="258">
        <v>5</v>
      </c>
      <c r="AE792" s="258">
        <v>0</v>
      </c>
      <c r="AF792" s="259"/>
      <c r="AG792" s="260"/>
      <c r="AH792" s="259"/>
      <c r="AI792" s="259"/>
      <c r="AJ792" s="260"/>
      <c r="AK792" s="259">
        <v>26</v>
      </c>
      <c r="AL792" s="259"/>
      <c r="AM792" s="259" t="s">
        <v>3189</v>
      </c>
      <c r="AN792" s="449"/>
      <c r="AO792" s="449"/>
      <c r="AP792" s="449"/>
      <c r="AQ792" s="392" t="str">
        <f>IFERROR(VLOOKUP(BG792,#REF!,1,0),"")</f>
        <v/>
      </c>
      <c r="AS792" s="259" t="s">
        <v>3189</v>
      </c>
      <c r="BD792" s="202" t="str">
        <f t="shared" si="119"/>
        <v>쏘렌토 하이브리드MQ4 HEV 1.6 노블레스 2WD (5인승)</v>
      </c>
      <c r="BE792" s="261" t="str">
        <f t="shared" si="125"/>
        <v>0073</v>
      </c>
      <c r="BF792" s="407" t="s">
        <v>307</v>
      </c>
      <c r="BG792" s="202" t="str">
        <f t="shared" si="120"/>
        <v>0073-0791</v>
      </c>
    </row>
    <row r="793" spans="1:60">
      <c r="A793" s="405">
        <v>4567</v>
      </c>
      <c r="B793" s="406">
        <v>4567</v>
      </c>
      <c r="C793" s="261" t="str">
        <f t="shared" si="121"/>
        <v>0001-0073</v>
      </c>
      <c r="D793" s="261" t="str">
        <f t="shared" si="122"/>
        <v>0001-0073-0007</v>
      </c>
      <c r="E793" s="407" t="s">
        <v>306</v>
      </c>
      <c r="F793" s="261" t="str">
        <f>TEXT(VLOOKUP(J793,'[3]1'!$B$2:$D$37,2,0),"0000")</f>
        <v>0001</v>
      </c>
      <c r="G793" s="261" t="str">
        <f t="shared" si="123"/>
        <v>0073</v>
      </c>
      <c r="H793" s="408">
        <f t="shared" si="124"/>
        <v>7</v>
      </c>
      <c r="I793" s="407" t="s">
        <v>306</v>
      </c>
      <c r="J793" s="258" t="s">
        <v>828</v>
      </c>
      <c r="K793" s="258" t="s">
        <v>2726</v>
      </c>
      <c r="L793" s="446" t="s">
        <v>3130</v>
      </c>
      <c r="M793" s="453">
        <v>43110000</v>
      </c>
      <c r="N793" s="445">
        <v>1598</v>
      </c>
      <c r="O793" s="446" t="s">
        <v>74</v>
      </c>
      <c r="P793" s="258" t="s">
        <v>70</v>
      </c>
      <c r="Q793" s="258" t="s">
        <v>72</v>
      </c>
      <c r="R793" s="447">
        <v>5</v>
      </c>
      <c r="S793" s="410">
        <v>1</v>
      </c>
      <c r="T793" s="261">
        <v>6</v>
      </c>
      <c r="U793" s="261">
        <v>6</v>
      </c>
      <c r="V793" s="258" t="s">
        <v>1914</v>
      </c>
      <c r="W793" s="261" t="str">
        <f t="shared" si="126"/>
        <v>기아자동차쏘렌토 하이브리드MQ4 HEV 1.6 시그니처 2WD (5인승)43110000</v>
      </c>
      <c r="X793" s="411">
        <f t="shared" si="127"/>
        <v>4567</v>
      </c>
      <c r="Y793" s="261">
        <v>6</v>
      </c>
      <c r="Z793" s="261">
        <v>6</v>
      </c>
      <c r="AA793" s="407" t="s">
        <v>306</v>
      </c>
      <c r="AB793" s="258" t="s">
        <v>70</v>
      </c>
      <c r="AC793" s="258"/>
      <c r="AD793" s="258">
        <v>5</v>
      </c>
      <c r="AE793" s="258">
        <v>0</v>
      </c>
      <c r="AF793" s="259"/>
      <c r="AG793" s="260"/>
      <c r="AH793" s="259"/>
      <c r="AI793" s="259"/>
      <c r="AJ793" s="260"/>
      <c r="AK793" s="259">
        <v>26</v>
      </c>
      <c r="AL793" s="259"/>
      <c r="AM793" s="259" t="s">
        <v>3189</v>
      </c>
      <c r="AN793" s="449"/>
      <c r="AO793" s="449"/>
      <c r="AP793" s="449"/>
      <c r="AQ793" s="392" t="str">
        <f>IFERROR(VLOOKUP(BG793,#REF!,1,0),"")</f>
        <v/>
      </c>
      <c r="AS793" s="259" t="s">
        <v>3189</v>
      </c>
      <c r="BD793" s="202" t="str">
        <f t="shared" si="119"/>
        <v>쏘렌토 하이브리드MQ4 HEV 1.6 시그니처 2WD (5인승)</v>
      </c>
      <c r="BE793" s="261" t="str">
        <f t="shared" si="125"/>
        <v>0073</v>
      </c>
      <c r="BF793" s="407" t="s">
        <v>306</v>
      </c>
      <c r="BG793" s="202" t="str">
        <f t="shared" si="120"/>
        <v>0073-0792</v>
      </c>
    </row>
    <row r="794" spans="1:60">
      <c r="A794" s="405">
        <v>4568</v>
      </c>
      <c r="B794" s="406">
        <v>4568</v>
      </c>
      <c r="C794" s="261" t="str">
        <f t="shared" si="121"/>
        <v>0001-0073</v>
      </c>
      <c r="D794" s="261" t="str">
        <f t="shared" si="122"/>
        <v>0001-0073-0008</v>
      </c>
      <c r="E794" s="407" t="s">
        <v>305</v>
      </c>
      <c r="F794" s="261" t="str">
        <f>TEXT(VLOOKUP(J794,'[3]1'!$B$2:$D$37,2,0),"0000")</f>
        <v>0001</v>
      </c>
      <c r="G794" s="261" t="str">
        <f t="shared" si="123"/>
        <v>0073</v>
      </c>
      <c r="H794" s="408">
        <f t="shared" si="124"/>
        <v>8</v>
      </c>
      <c r="I794" s="407" t="s">
        <v>305</v>
      </c>
      <c r="J794" s="258" t="s">
        <v>828</v>
      </c>
      <c r="K794" s="258" t="s">
        <v>2726</v>
      </c>
      <c r="L794" s="446" t="s">
        <v>3131</v>
      </c>
      <c r="M794" s="453">
        <v>44010000</v>
      </c>
      <c r="N794" s="445">
        <v>1598</v>
      </c>
      <c r="O794" s="446" t="s">
        <v>74</v>
      </c>
      <c r="P794" s="258" t="s">
        <v>70</v>
      </c>
      <c r="Q794" s="258" t="s">
        <v>72</v>
      </c>
      <c r="R794" s="447">
        <v>5</v>
      </c>
      <c r="S794" s="410">
        <v>1</v>
      </c>
      <c r="T794" s="261">
        <v>6</v>
      </c>
      <c r="U794" s="261">
        <v>6</v>
      </c>
      <c r="V794" s="258" t="s">
        <v>1914</v>
      </c>
      <c r="W794" s="261" t="str">
        <f t="shared" si="126"/>
        <v>기아자동차쏘렌토 하이브리드MQ4 HEV 1.6 시그니처 그래비티 2WD (5인승)44010000</v>
      </c>
      <c r="X794" s="411">
        <f t="shared" si="127"/>
        <v>4568</v>
      </c>
      <c r="Y794" s="261">
        <v>6</v>
      </c>
      <c r="Z794" s="261">
        <v>6</v>
      </c>
      <c r="AA794" s="407" t="s">
        <v>305</v>
      </c>
      <c r="AB794" s="258" t="s">
        <v>70</v>
      </c>
      <c r="AC794" s="258"/>
      <c r="AD794" s="258">
        <v>5</v>
      </c>
      <c r="AE794" s="258">
        <v>0</v>
      </c>
      <c r="AF794" s="259"/>
      <c r="AG794" s="260"/>
      <c r="AH794" s="259"/>
      <c r="AI794" s="259"/>
      <c r="AJ794" s="260"/>
      <c r="AK794" s="259">
        <v>26</v>
      </c>
      <c r="AL794" s="259"/>
      <c r="AM794" s="259" t="s">
        <v>3189</v>
      </c>
      <c r="AN794" s="449"/>
      <c r="AO794" s="449"/>
      <c r="AP794" s="449"/>
      <c r="AQ794" s="392" t="str">
        <f>IFERROR(VLOOKUP(BG794,#REF!,1,0),"")</f>
        <v/>
      </c>
      <c r="AS794" s="259" t="s">
        <v>3189</v>
      </c>
      <c r="BD794" s="202" t="str">
        <f t="shared" si="119"/>
        <v>쏘렌토 하이브리드MQ4 HEV 1.6 시그니처 그래비티 2WD (5인승)</v>
      </c>
      <c r="BE794" s="261" t="str">
        <f t="shared" si="125"/>
        <v>0073</v>
      </c>
      <c r="BF794" s="407" t="s">
        <v>305</v>
      </c>
      <c r="BG794" s="202" t="str">
        <f t="shared" si="120"/>
        <v>0073-0793</v>
      </c>
    </row>
    <row r="795" spans="1:60">
      <c r="A795" s="405">
        <v>4569</v>
      </c>
      <c r="B795" s="406">
        <v>4569</v>
      </c>
      <c r="C795" s="261" t="str">
        <f t="shared" si="121"/>
        <v>0001-0074</v>
      </c>
      <c r="D795" s="261" t="str">
        <f t="shared" si="122"/>
        <v>0001-0074-0001</v>
      </c>
      <c r="E795" s="407" t="s">
        <v>304</v>
      </c>
      <c r="F795" s="261" t="str">
        <f>TEXT(VLOOKUP(J795,'[3]1'!$B$2:$D$37,2,0),"0000")</f>
        <v>0001</v>
      </c>
      <c r="G795" s="261" t="str">
        <f t="shared" si="123"/>
        <v>0074</v>
      </c>
      <c r="H795" s="408">
        <f t="shared" si="124"/>
        <v>1</v>
      </c>
      <c r="I795" s="407" t="s">
        <v>304</v>
      </c>
      <c r="J795" s="258" t="s">
        <v>828</v>
      </c>
      <c r="K795" s="258" t="s">
        <v>2727</v>
      </c>
      <c r="L795" s="258" t="s">
        <v>2339</v>
      </c>
      <c r="M795" s="409">
        <v>21550000</v>
      </c>
      <c r="N795" s="258">
        <v>1591</v>
      </c>
      <c r="O795" s="258" t="s">
        <v>77</v>
      </c>
      <c r="P795" s="258" t="s">
        <v>73</v>
      </c>
      <c r="Q795" s="258" t="s">
        <v>72</v>
      </c>
      <c r="R795" s="258">
        <v>5</v>
      </c>
      <c r="S795" s="410">
        <v>9</v>
      </c>
      <c r="T795" s="261">
        <v>6</v>
      </c>
      <c r="U795" s="261">
        <v>6</v>
      </c>
      <c r="V795" s="258" t="s">
        <v>71</v>
      </c>
      <c r="W795" s="261" t="str">
        <f t="shared" si="126"/>
        <v>기아자동차쏘울1.6 노블레스21550000</v>
      </c>
      <c r="X795" s="411">
        <f t="shared" si="127"/>
        <v>4569</v>
      </c>
      <c r="Y795" s="261">
        <v>6</v>
      </c>
      <c r="Z795" s="261">
        <v>6</v>
      </c>
      <c r="AA795" s="407" t="s">
        <v>304</v>
      </c>
      <c r="AB795" s="258" t="s">
        <v>73</v>
      </c>
      <c r="AC795" s="258"/>
      <c r="AD795" s="258" t="s">
        <v>2131</v>
      </c>
      <c r="AE795" s="258" t="s">
        <v>2129</v>
      </c>
      <c r="AF795" s="259"/>
      <c r="AG795" s="260"/>
      <c r="AH795" s="259"/>
      <c r="AI795" s="259"/>
      <c r="AJ795" s="260"/>
      <c r="AK795" s="259">
        <v>26</v>
      </c>
      <c r="AL795" s="259"/>
      <c r="AM795" s="259" t="s">
        <v>3222</v>
      </c>
      <c r="AN795" s="449"/>
      <c r="AO795" s="449"/>
      <c r="AP795" s="449"/>
      <c r="AQ795" s="392" t="str">
        <f>IFERROR(VLOOKUP(BG795,#REF!,1,0),"")</f>
        <v/>
      </c>
      <c r="AS795" s="259" t="s">
        <v>3222</v>
      </c>
      <c r="BD795" s="202" t="str">
        <f t="shared" si="119"/>
        <v>쏘울1.6 노블레스</v>
      </c>
      <c r="BE795" s="261" t="str">
        <f t="shared" si="125"/>
        <v>0074</v>
      </c>
      <c r="BF795" s="407" t="s">
        <v>304</v>
      </c>
      <c r="BG795" s="202" t="str">
        <f t="shared" si="120"/>
        <v>0074-0794</v>
      </c>
    </row>
    <row r="796" spans="1:60">
      <c r="A796" s="405">
        <v>4570</v>
      </c>
      <c r="B796" s="406">
        <v>4570</v>
      </c>
      <c r="C796" s="261" t="str">
        <f t="shared" si="121"/>
        <v>0001-0074</v>
      </c>
      <c r="D796" s="261" t="str">
        <f t="shared" si="122"/>
        <v>0001-0074-0002</v>
      </c>
      <c r="E796" s="407" t="s">
        <v>303</v>
      </c>
      <c r="F796" s="261" t="str">
        <f>TEXT(VLOOKUP(J796,'[3]1'!$B$2:$D$37,2,0),"0000")</f>
        <v>0001</v>
      </c>
      <c r="G796" s="261" t="str">
        <f t="shared" si="123"/>
        <v>0074</v>
      </c>
      <c r="H796" s="408">
        <f t="shared" si="124"/>
        <v>2</v>
      </c>
      <c r="I796" s="407" t="s">
        <v>303</v>
      </c>
      <c r="J796" s="258" t="s">
        <v>828</v>
      </c>
      <c r="K796" s="258" t="s">
        <v>2727</v>
      </c>
      <c r="L796" s="258" t="s">
        <v>2340</v>
      </c>
      <c r="M796" s="409">
        <v>19580000</v>
      </c>
      <c r="N796" s="258">
        <v>1591</v>
      </c>
      <c r="O796" s="258" t="s">
        <v>77</v>
      </c>
      <c r="P796" s="258" t="s">
        <v>73</v>
      </c>
      <c r="Q796" s="258" t="s">
        <v>72</v>
      </c>
      <c r="R796" s="258" t="e">
        <v>#N/A</v>
      </c>
      <c r="S796" s="410">
        <v>9</v>
      </c>
      <c r="T796" s="261">
        <v>6</v>
      </c>
      <c r="U796" s="261">
        <v>6</v>
      </c>
      <c r="V796" s="258" t="s">
        <v>3329</v>
      </c>
      <c r="W796" s="261" t="str">
        <f t="shared" si="126"/>
        <v>기아자동차쏘울1.6 프레스티지19580000</v>
      </c>
      <c r="X796" s="411">
        <f t="shared" si="127"/>
        <v>4570</v>
      </c>
      <c r="Y796" s="261">
        <v>6</v>
      </c>
      <c r="Z796" s="261">
        <v>6</v>
      </c>
      <c r="AA796" s="407" t="s">
        <v>303</v>
      </c>
      <c r="AB796" s="258" t="e">
        <v>#N/A</v>
      </c>
      <c r="AC796" s="258"/>
      <c r="AD796" s="258" t="s">
        <v>2131</v>
      </c>
      <c r="AE796" s="258" t="s">
        <v>2129</v>
      </c>
      <c r="AF796" s="259"/>
      <c r="AG796" s="260"/>
      <c r="AH796" s="259"/>
      <c r="AI796" s="259"/>
      <c r="AJ796" s="260"/>
      <c r="AK796" s="259">
        <v>26</v>
      </c>
      <c r="AL796" s="259"/>
      <c r="AM796" s="259" t="s">
        <v>3222</v>
      </c>
      <c r="AN796" s="449"/>
      <c r="AO796" s="449"/>
      <c r="AP796" s="449"/>
      <c r="AQ796" s="392" t="str">
        <f>IFERROR(VLOOKUP(BG796,#REF!,1,0),"")</f>
        <v/>
      </c>
      <c r="AS796" s="259" t="s">
        <v>3222</v>
      </c>
      <c r="BD796" s="202" t="str">
        <f t="shared" si="119"/>
        <v>쏘울1.6 프레스티지</v>
      </c>
      <c r="BE796" s="261" t="str">
        <f t="shared" si="125"/>
        <v>0074</v>
      </c>
      <c r="BF796" s="407" t="s">
        <v>303</v>
      </c>
      <c r="BG796" s="202" t="str">
        <f t="shared" si="120"/>
        <v>0074-0795</v>
      </c>
    </row>
    <row r="797" spans="1:60" s="207" customFormat="1">
      <c r="A797" s="405">
        <v>4571</v>
      </c>
      <c r="B797" s="406">
        <v>4571</v>
      </c>
      <c r="C797" s="261" t="str">
        <f t="shared" si="121"/>
        <v>0001-0075</v>
      </c>
      <c r="D797" s="261" t="str">
        <f t="shared" si="122"/>
        <v>0001-0075-0001</v>
      </c>
      <c r="E797" s="407" t="s">
        <v>302</v>
      </c>
      <c r="F797" s="261" t="str">
        <f>TEXT(VLOOKUP(J797,'[3]1'!$B$2:$D$37,2,0),"0000")</f>
        <v>0001</v>
      </c>
      <c r="G797" s="261" t="str">
        <f t="shared" si="123"/>
        <v>0075</v>
      </c>
      <c r="H797" s="408">
        <f t="shared" si="124"/>
        <v>1</v>
      </c>
      <c r="I797" s="407" t="s">
        <v>302</v>
      </c>
      <c r="J797" s="422" t="s">
        <v>828</v>
      </c>
      <c r="K797" s="422" t="s">
        <v>2728</v>
      </c>
      <c r="L797" s="397" t="s">
        <v>3111</v>
      </c>
      <c r="M797" s="423">
        <v>60660000</v>
      </c>
      <c r="N797" s="396">
        <v>3470</v>
      </c>
      <c r="O797" s="258" t="s">
        <v>77</v>
      </c>
      <c r="P797" s="267" t="s">
        <v>1965</v>
      </c>
      <c r="Q797" s="422" t="s">
        <v>72</v>
      </c>
      <c r="R797" s="398">
        <v>9</v>
      </c>
      <c r="S797" s="424">
        <v>12</v>
      </c>
      <c r="T797" s="261">
        <v>6</v>
      </c>
      <c r="U797" s="261">
        <v>6</v>
      </c>
      <c r="V797" s="267" t="s">
        <v>1969</v>
      </c>
      <c r="W797" s="261" t="str">
        <f t="shared" si="126"/>
        <v>기아자동차카니발KA4 3.5 가솔린 하이리무진 시그니처 (9인승)60660000</v>
      </c>
      <c r="X797" s="411">
        <f t="shared" si="127"/>
        <v>4571</v>
      </c>
      <c r="Y797" s="261">
        <v>6</v>
      </c>
      <c r="Z797" s="261">
        <v>6</v>
      </c>
      <c r="AA797" s="407" t="s">
        <v>302</v>
      </c>
      <c r="AB797" s="267" t="s">
        <v>1965</v>
      </c>
      <c r="AC797" s="267"/>
      <c r="AD797" s="267">
        <v>3</v>
      </c>
      <c r="AE797" s="267" t="s">
        <v>2129</v>
      </c>
      <c r="AF797" s="270"/>
      <c r="AG797" s="307"/>
      <c r="AH797" s="270"/>
      <c r="AI797" s="270"/>
      <c r="AJ797" s="307"/>
      <c r="AK797" s="259">
        <v>26</v>
      </c>
      <c r="AL797" s="259"/>
      <c r="AM797" s="259" t="s">
        <v>3233</v>
      </c>
      <c r="AN797" s="391"/>
      <c r="AO797" s="391"/>
      <c r="AP797" s="391"/>
      <c r="AQ797" s="392" t="str">
        <f>IFERROR(VLOOKUP(BG797,#REF!,1,0),"")</f>
        <v/>
      </c>
      <c r="AR797" s="450"/>
      <c r="AS797" s="259" t="s">
        <v>1990</v>
      </c>
      <c r="AT797" s="450"/>
      <c r="AU797" s="450"/>
      <c r="AV797" s="450"/>
      <c r="AW797" s="450"/>
      <c r="AX797" s="450">
        <v>2024.03</v>
      </c>
      <c r="AY797" s="450"/>
      <c r="BB797" s="202" t="s">
        <v>3387</v>
      </c>
      <c r="BD797" s="202" t="str">
        <f t="shared" si="119"/>
        <v>카니발KA4 3.5 가솔린 하이리무진 시그니처 (9인승)</v>
      </c>
      <c r="BE797" s="261" t="str">
        <f t="shared" si="125"/>
        <v>0075</v>
      </c>
      <c r="BF797" s="407" t="s">
        <v>302</v>
      </c>
      <c r="BG797" s="202" t="str">
        <f t="shared" si="120"/>
        <v>0075-0796</v>
      </c>
      <c r="BH797" s="202"/>
    </row>
    <row r="798" spans="1:60">
      <c r="A798" s="405">
        <v>4572</v>
      </c>
      <c r="B798" s="406">
        <v>4572</v>
      </c>
      <c r="C798" s="261" t="str">
        <f t="shared" si="121"/>
        <v>0001-0075</v>
      </c>
      <c r="D798" s="261" t="str">
        <f t="shared" si="122"/>
        <v>0001-0075-0002</v>
      </c>
      <c r="E798" s="407" t="s">
        <v>301</v>
      </c>
      <c r="F798" s="261" t="str">
        <f>TEXT(VLOOKUP(J798,'[3]1'!$B$2:$D$37,2,0),"0000")</f>
        <v>0001</v>
      </c>
      <c r="G798" s="261" t="str">
        <f t="shared" si="123"/>
        <v>0075</v>
      </c>
      <c r="H798" s="408">
        <f t="shared" si="124"/>
        <v>2</v>
      </c>
      <c r="I798" s="407" t="s">
        <v>301</v>
      </c>
      <c r="J798" s="413" t="s">
        <v>828</v>
      </c>
      <c r="K798" s="413" t="s">
        <v>2728</v>
      </c>
      <c r="L798" s="397" t="s">
        <v>3112</v>
      </c>
      <c r="M798" s="425">
        <v>63880000</v>
      </c>
      <c r="N798" s="394">
        <v>3470</v>
      </c>
      <c r="O798" s="258" t="s">
        <v>77</v>
      </c>
      <c r="P798" s="258" t="s">
        <v>1965</v>
      </c>
      <c r="Q798" s="413" t="s">
        <v>72</v>
      </c>
      <c r="R798" s="395">
        <v>7</v>
      </c>
      <c r="S798" s="424">
        <v>9</v>
      </c>
      <c r="T798" s="261">
        <v>6</v>
      </c>
      <c r="U798" s="261">
        <v>6</v>
      </c>
      <c r="V798" s="258" t="s">
        <v>1969</v>
      </c>
      <c r="W798" s="261" t="str">
        <f t="shared" si="126"/>
        <v>기아자동차카니발KA4 3.5 가솔린 하이리무진 시그니처 (7인승)63880000</v>
      </c>
      <c r="X798" s="411">
        <f t="shared" si="127"/>
        <v>4572</v>
      </c>
      <c r="Y798" s="261">
        <v>6</v>
      </c>
      <c r="Z798" s="261">
        <v>6</v>
      </c>
      <c r="AA798" s="407" t="s">
        <v>301</v>
      </c>
      <c r="AB798" s="258" t="s">
        <v>1965</v>
      </c>
      <c r="AC798" s="258"/>
      <c r="AD798" s="258">
        <v>3</v>
      </c>
      <c r="AE798" s="258" t="s">
        <v>2129</v>
      </c>
      <c r="AF798" s="259"/>
      <c r="AG798" s="260"/>
      <c r="AH798" s="259"/>
      <c r="AI798" s="259"/>
      <c r="AJ798" s="260"/>
      <c r="AK798" s="259">
        <v>26</v>
      </c>
      <c r="AL798" s="259"/>
      <c r="AM798" s="259" t="s">
        <v>3233</v>
      </c>
      <c r="AN798" s="449"/>
      <c r="AO798" s="449"/>
      <c r="AP798" s="449"/>
      <c r="AQ798" s="392" t="str">
        <f>IFERROR(VLOOKUP(BG798,#REF!,1,0),"")</f>
        <v/>
      </c>
      <c r="AS798" s="259" t="s">
        <v>3462</v>
      </c>
      <c r="AX798" s="392">
        <v>2024.03</v>
      </c>
      <c r="BB798" s="202" t="s">
        <v>3463</v>
      </c>
      <c r="BD798" s="202" t="str">
        <f t="shared" si="119"/>
        <v>카니발KA4 3.5 가솔린 하이리무진 시그니처 (7인승)</v>
      </c>
      <c r="BE798" s="261" t="str">
        <f t="shared" si="125"/>
        <v>0075</v>
      </c>
      <c r="BF798" s="407" t="s">
        <v>301</v>
      </c>
      <c r="BG798" s="202" t="str">
        <f t="shared" si="120"/>
        <v>0075-0797</v>
      </c>
    </row>
    <row r="799" spans="1:60">
      <c r="A799" s="405">
        <v>4573</v>
      </c>
      <c r="B799" s="406">
        <v>4573</v>
      </c>
      <c r="C799" s="261" t="str">
        <f t="shared" si="121"/>
        <v>0001-0075</v>
      </c>
      <c r="D799" s="261" t="str">
        <f t="shared" si="122"/>
        <v>0001-0075-0003</v>
      </c>
      <c r="E799" s="407" t="s">
        <v>300</v>
      </c>
      <c r="F799" s="261" t="str">
        <f>TEXT(VLOOKUP(J799,'[3]1'!$B$2:$D$37,2,0),"0000")</f>
        <v>0001</v>
      </c>
      <c r="G799" s="261" t="str">
        <f t="shared" si="123"/>
        <v>0075</v>
      </c>
      <c r="H799" s="408">
        <f t="shared" si="124"/>
        <v>3</v>
      </c>
      <c r="I799" s="407" t="s">
        <v>300</v>
      </c>
      <c r="J799" s="413" t="s">
        <v>828</v>
      </c>
      <c r="K799" s="413" t="s">
        <v>2728</v>
      </c>
      <c r="L799" s="397" t="s">
        <v>3482</v>
      </c>
      <c r="M799" s="425">
        <v>88260000</v>
      </c>
      <c r="N799" s="394">
        <v>3470</v>
      </c>
      <c r="O799" s="601" t="s">
        <v>1173</v>
      </c>
      <c r="P799" s="258" t="s">
        <v>1965</v>
      </c>
      <c r="Q799" s="413" t="s">
        <v>72</v>
      </c>
      <c r="R799" s="395">
        <v>4</v>
      </c>
      <c r="S799" s="424">
        <v>18</v>
      </c>
      <c r="T799" s="261">
        <v>6</v>
      </c>
      <c r="U799" s="261">
        <v>6</v>
      </c>
      <c r="V799" s="258" t="s">
        <v>1969</v>
      </c>
      <c r="W799" s="261" t="str">
        <f t="shared" si="126"/>
        <v>기아자동차카니발3.5 하이리무진 시그니처 (4인승) HEV88260000</v>
      </c>
      <c r="X799" s="411">
        <f t="shared" si="127"/>
        <v>4573</v>
      </c>
      <c r="Y799" s="261">
        <v>6</v>
      </c>
      <c r="Z799" s="261">
        <v>6</v>
      </c>
      <c r="AA799" s="407" t="s">
        <v>300</v>
      </c>
      <c r="AB799" s="258" t="s">
        <v>1965</v>
      </c>
      <c r="AC799" s="258"/>
      <c r="AD799" s="258">
        <v>5</v>
      </c>
      <c r="AE799" s="258" t="s">
        <v>2129</v>
      </c>
      <c r="AF799" s="259"/>
      <c r="AG799" s="260"/>
      <c r="AH799" s="259"/>
      <c r="AI799" s="259"/>
      <c r="AJ799" s="260"/>
      <c r="AK799" s="259">
        <v>26</v>
      </c>
      <c r="AL799" s="259"/>
      <c r="AM799" s="259" t="s">
        <v>3404</v>
      </c>
      <c r="AN799" s="449"/>
      <c r="AO799" s="449"/>
      <c r="AP799" s="449"/>
      <c r="AQ799" s="392" t="str">
        <f>IFERROR(VLOOKUP(BG799,#REF!,1,0),"")</f>
        <v/>
      </c>
      <c r="AS799" s="259" t="s">
        <v>3403</v>
      </c>
      <c r="AX799" s="392">
        <v>2024.02</v>
      </c>
      <c r="BB799" s="202" t="s">
        <v>3405</v>
      </c>
      <c r="BD799" s="202" t="str">
        <f t="shared" si="119"/>
        <v>카니발3.5 하이리무진 시그니처 (4인승) HEV</v>
      </c>
      <c r="BE799" s="261" t="str">
        <f t="shared" si="125"/>
        <v>0075</v>
      </c>
      <c r="BF799" s="407" t="s">
        <v>300</v>
      </c>
      <c r="BG799" s="202" t="str">
        <f t="shared" si="120"/>
        <v>0075-0798</v>
      </c>
    </row>
    <row r="800" spans="1:60">
      <c r="A800" s="405">
        <v>4574</v>
      </c>
      <c r="B800" s="406">
        <v>4574</v>
      </c>
      <c r="C800" s="261" t="str">
        <f t="shared" si="121"/>
        <v>0001-0075</v>
      </c>
      <c r="D800" s="261" t="str">
        <f t="shared" si="122"/>
        <v>0001-0075-0004</v>
      </c>
      <c r="E800" s="407" t="s">
        <v>299</v>
      </c>
      <c r="F800" s="261" t="str">
        <f>TEXT(VLOOKUP(J800,'[3]1'!$B$2:$D$37,2,0),"0000")</f>
        <v>0001</v>
      </c>
      <c r="G800" s="261" t="str">
        <f t="shared" si="123"/>
        <v>0075</v>
      </c>
      <c r="H800" s="408">
        <f t="shared" si="124"/>
        <v>4</v>
      </c>
      <c r="I800" s="407" t="s">
        <v>299</v>
      </c>
      <c r="J800" s="413" t="s">
        <v>828</v>
      </c>
      <c r="K800" s="413" t="s">
        <v>2728</v>
      </c>
      <c r="L800" s="397" t="s">
        <v>3386</v>
      </c>
      <c r="M800" s="425">
        <v>31800000</v>
      </c>
      <c r="N800" s="394">
        <v>3470</v>
      </c>
      <c r="O800" s="258" t="s">
        <v>77</v>
      </c>
      <c r="P800" s="258" t="s">
        <v>1965</v>
      </c>
      <c r="Q800" s="413" t="s">
        <v>72</v>
      </c>
      <c r="R800" s="395">
        <v>9</v>
      </c>
      <c r="S800" s="424">
        <v>12</v>
      </c>
      <c r="T800" s="261">
        <v>6</v>
      </c>
      <c r="U800" s="261">
        <v>6</v>
      </c>
      <c r="V800" s="258" t="s">
        <v>1969</v>
      </c>
      <c r="W800" s="261" t="str">
        <f t="shared" si="126"/>
        <v>기아자동차카니발3.5 가솔린 프레스티지 (9인승)31800000</v>
      </c>
      <c r="X800" s="411">
        <f t="shared" si="127"/>
        <v>4574</v>
      </c>
      <c r="Y800" s="261">
        <v>6</v>
      </c>
      <c r="Z800" s="261">
        <v>6</v>
      </c>
      <c r="AA800" s="407" t="s">
        <v>299</v>
      </c>
      <c r="AB800" s="258" t="s">
        <v>1965</v>
      </c>
      <c r="AC800" s="258"/>
      <c r="AD800" s="258">
        <v>3</v>
      </c>
      <c r="AE800" s="258" t="s">
        <v>2129</v>
      </c>
      <c r="AF800" s="259"/>
      <c r="AG800" s="260"/>
      <c r="AH800" s="259"/>
      <c r="AI800" s="259"/>
      <c r="AJ800" s="260"/>
      <c r="AK800" s="259">
        <v>26</v>
      </c>
      <c r="AL800" s="259"/>
      <c r="AM800" s="259" t="s">
        <v>3377</v>
      </c>
      <c r="AN800" s="449"/>
      <c r="AO800" s="449"/>
      <c r="AP800" s="449"/>
      <c r="AQ800" s="392" t="str">
        <f>IFERROR(VLOOKUP(BG800,#REF!,1,0),"")</f>
        <v/>
      </c>
      <c r="AS800" s="259" t="s">
        <v>1990</v>
      </c>
      <c r="AX800" s="392">
        <v>2024.02</v>
      </c>
      <c r="BB800" s="202" t="s">
        <v>3387</v>
      </c>
      <c r="BD800" s="202" t="str">
        <f t="shared" si="119"/>
        <v>카니발3.5 가솔린 프레스티지 (9인승)</v>
      </c>
      <c r="BE800" s="261" t="str">
        <f t="shared" si="125"/>
        <v>0075</v>
      </c>
      <c r="BF800" s="407" t="s">
        <v>299</v>
      </c>
      <c r="BG800" s="202" t="str">
        <f t="shared" si="120"/>
        <v>0075-0799</v>
      </c>
    </row>
    <row r="801" spans="1:59">
      <c r="A801" s="405">
        <v>4575</v>
      </c>
      <c r="B801" s="406">
        <v>4575</v>
      </c>
      <c r="C801" s="261" t="str">
        <f t="shared" si="121"/>
        <v>0001-0075</v>
      </c>
      <c r="D801" s="261" t="str">
        <f t="shared" si="122"/>
        <v>0001-0075-0005</v>
      </c>
      <c r="E801" s="407" t="s">
        <v>298</v>
      </c>
      <c r="F801" s="261" t="str">
        <f>TEXT(VLOOKUP(J801,'[3]1'!$B$2:$D$37,2,0),"0000")</f>
        <v>0001</v>
      </c>
      <c r="G801" s="261" t="str">
        <f t="shared" si="123"/>
        <v>0075</v>
      </c>
      <c r="H801" s="408">
        <f t="shared" si="124"/>
        <v>5</v>
      </c>
      <c r="I801" s="407" t="s">
        <v>298</v>
      </c>
      <c r="J801" s="413" t="s">
        <v>828</v>
      </c>
      <c r="K801" s="413" t="s">
        <v>2728</v>
      </c>
      <c r="L801" s="397" t="s">
        <v>3113</v>
      </c>
      <c r="M801" s="425">
        <v>31800000</v>
      </c>
      <c r="N801" s="394">
        <v>3470</v>
      </c>
      <c r="O801" s="258" t="s">
        <v>77</v>
      </c>
      <c r="P801" s="393" t="s">
        <v>2890</v>
      </c>
      <c r="Q801" s="413" t="s">
        <v>72</v>
      </c>
      <c r="R801" s="395">
        <v>11</v>
      </c>
      <c r="S801" s="410">
        <v>15</v>
      </c>
      <c r="T801" s="261">
        <v>6</v>
      </c>
      <c r="U801" s="261">
        <v>6</v>
      </c>
      <c r="V801" s="258" t="s">
        <v>1969</v>
      </c>
      <c r="W801" s="261" t="str">
        <f t="shared" si="126"/>
        <v>기아자동차카니발KA4 3.5 가솔린 프레스티지 (11인승)31800000</v>
      </c>
      <c r="X801" s="411">
        <f t="shared" si="127"/>
        <v>4575</v>
      </c>
      <c r="Y801" s="261">
        <v>6</v>
      </c>
      <c r="Z801" s="261">
        <v>6</v>
      </c>
      <c r="AA801" s="407" t="s">
        <v>298</v>
      </c>
      <c r="AB801" s="393" t="s">
        <v>2890</v>
      </c>
      <c r="AC801" s="258"/>
      <c r="AD801" s="258">
        <v>3</v>
      </c>
      <c r="AE801" s="258" t="s">
        <v>2129</v>
      </c>
      <c r="AF801" s="259"/>
      <c r="AG801" s="260"/>
      <c r="AH801" s="259"/>
      <c r="AI801" s="259"/>
      <c r="AJ801" s="260"/>
      <c r="AK801" s="259">
        <v>26</v>
      </c>
      <c r="AL801" s="259"/>
      <c r="AM801" s="259" t="s">
        <v>3222</v>
      </c>
      <c r="AN801" s="449"/>
      <c r="AO801" s="449"/>
      <c r="AP801" s="449"/>
      <c r="AQ801" s="392" t="str">
        <f>IFERROR(VLOOKUP(BG801,#REF!,1,0),"")</f>
        <v/>
      </c>
      <c r="AS801" s="259" t="s">
        <v>3233</v>
      </c>
      <c r="BD801" s="202" t="str">
        <f t="shared" si="119"/>
        <v>카니발KA4 3.5 가솔린 프레스티지 (11인승)</v>
      </c>
      <c r="BE801" s="261" t="str">
        <f t="shared" si="125"/>
        <v>0075</v>
      </c>
      <c r="BF801" s="407" t="s">
        <v>298</v>
      </c>
      <c r="BG801" s="202" t="str">
        <f t="shared" si="120"/>
        <v>0075-0800</v>
      </c>
    </row>
    <row r="802" spans="1:59">
      <c r="A802" s="405">
        <v>4576</v>
      </c>
      <c r="B802" s="406">
        <v>4576</v>
      </c>
      <c r="C802" s="261" t="str">
        <f t="shared" si="121"/>
        <v>0001-0075</v>
      </c>
      <c r="D802" s="261" t="str">
        <f t="shared" si="122"/>
        <v>0001-0075-0006</v>
      </c>
      <c r="E802" s="407" t="s">
        <v>297</v>
      </c>
      <c r="F802" s="261" t="str">
        <f>TEXT(VLOOKUP(J802,'[3]1'!$B$2:$D$37,2,0),"0000")</f>
        <v>0001</v>
      </c>
      <c r="G802" s="261" t="str">
        <f t="shared" si="123"/>
        <v>0075</v>
      </c>
      <c r="H802" s="408">
        <f t="shared" si="124"/>
        <v>6</v>
      </c>
      <c r="I802" s="407" t="s">
        <v>297</v>
      </c>
      <c r="J802" s="413" t="s">
        <v>828</v>
      </c>
      <c r="K802" s="413" t="s">
        <v>2728</v>
      </c>
      <c r="L802" s="397" t="s">
        <v>3388</v>
      </c>
      <c r="M802" s="425">
        <v>38200000</v>
      </c>
      <c r="N802" s="394">
        <v>3470</v>
      </c>
      <c r="O802" s="258" t="s">
        <v>77</v>
      </c>
      <c r="P802" s="258" t="s">
        <v>1965</v>
      </c>
      <c r="Q802" s="413" t="s">
        <v>72</v>
      </c>
      <c r="R802" s="395">
        <v>7</v>
      </c>
      <c r="S802" s="424">
        <v>15</v>
      </c>
      <c r="T802" s="261">
        <v>6</v>
      </c>
      <c r="U802" s="261">
        <v>6</v>
      </c>
      <c r="V802" s="258" t="s">
        <v>1969</v>
      </c>
      <c r="W802" s="261" t="str">
        <f t="shared" si="126"/>
        <v>기아자동차카니발3.5 가솔린 아웃도어 노블레스 (7인승)38200000</v>
      </c>
      <c r="X802" s="411">
        <f t="shared" si="127"/>
        <v>4576</v>
      </c>
      <c r="Y802" s="261">
        <v>6</v>
      </c>
      <c r="Z802" s="261">
        <v>6</v>
      </c>
      <c r="AA802" s="407" t="s">
        <v>297</v>
      </c>
      <c r="AB802" s="258" t="s">
        <v>1965</v>
      </c>
      <c r="AC802" s="258"/>
      <c r="AD802" s="258">
        <v>5</v>
      </c>
      <c r="AE802" s="258" t="s">
        <v>2129</v>
      </c>
      <c r="AF802" s="259"/>
      <c r="AG802" s="260"/>
      <c r="AH802" s="259"/>
      <c r="AI802" s="259"/>
      <c r="AJ802" s="260"/>
      <c r="AK802" s="259">
        <v>26</v>
      </c>
      <c r="AL802" s="259"/>
      <c r="AM802" s="259" t="s">
        <v>3233</v>
      </c>
      <c r="AN802" s="449"/>
      <c r="AO802" s="449"/>
      <c r="AP802" s="449"/>
      <c r="AQ802" s="392" t="str">
        <f>IFERROR(VLOOKUP(BG802,#REF!,1,0),"")</f>
        <v/>
      </c>
      <c r="AS802" s="259" t="s">
        <v>3233</v>
      </c>
      <c r="BD802" s="202" t="str">
        <f t="shared" si="119"/>
        <v>카니발3.5 가솔린 아웃도어 노블레스 (7인승)</v>
      </c>
      <c r="BE802" s="261" t="str">
        <f t="shared" si="125"/>
        <v>0075</v>
      </c>
      <c r="BF802" s="407" t="s">
        <v>297</v>
      </c>
      <c r="BG802" s="202" t="str">
        <f t="shared" si="120"/>
        <v>0075-0801</v>
      </c>
    </row>
    <row r="803" spans="1:59">
      <c r="A803" s="405">
        <v>4577</v>
      </c>
      <c r="B803" s="406">
        <v>4577</v>
      </c>
      <c r="C803" s="261" t="str">
        <f t="shared" si="121"/>
        <v>0001-0075</v>
      </c>
      <c r="D803" s="261" t="str">
        <f t="shared" si="122"/>
        <v>0001-0075-0007</v>
      </c>
      <c r="E803" s="407" t="s">
        <v>296</v>
      </c>
      <c r="F803" s="261" t="str">
        <f>TEXT(VLOOKUP(J803,'[3]1'!$B$2:$D$37,2,0),"0000")</f>
        <v>0001</v>
      </c>
      <c r="G803" s="261" t="str">
        <f t="shared" si="123"/>
        <v>0075</v>
      </c>
      <c r="H803" s="408">
        <f t="shared" si="124"/>
        <v>7</v>
      </c>
      <c r="I803" s="407" t="s">
        <v>296</v>
      </c>
      <c r="J803" s="413" t="s">
        <v>828</v>
      </c>
      <c r="K803" s="413" t="s">
        <v>2728</v>
      </c>
      <c r="L803" s="397" t="s">
        <v>3390</v>
      </c>
      <c r="M803" s="425">
        <v>40100000</v>
      </c>
      <c r="N803" s="394">
        <v>3470</v>
      </c>
      <c r="O803" s="258" t="s">
        <v>77</v>
      </c>
      <c r="P803" s="258" t="s">
        <v>1965</v>
      </c>
      <c r="Q803" s="413" t="s">
        <v>72</v>
      </c>
      <c r="R803" s="395">
        <v>9</v>
      </c>
      <c r="S803" s="424">
        <v>9</v>
      </c>
      <c r="T803" s="261">
        <v>6</v>
      </c>
      <c r="U803" s="261">
        <v>6</v>
      </c>
      <c r="V803" s="258" t="s">
        <v>1969</v>
      </c>
      <c r="W803" s="261" t="str">
        <f t="shared" si="126"/>
        <v>기아자동차카니발3.5 가솔린 시그니처 (9인승)40100000</v>
      </c>
      <c r="X803" s="411">
        <f t="shared" si="127"/>
        <v>4577</v>
      </c>
      <c r="Y803" s="261">
        <v>6</v>
      </c>
      <c r="Z803" s="261">
        <v>6</v>
      </c>
      <c r="AA803" s="407" t="s">
        <v>296</v>
      </c>
      <c r="AB803" s="258" t="s">
        <v>1965</v>
      </c>
      <c r="AC803" s="258"/>
      <c r="AD803" s="258">
        <v>3</v>
      </c>
      <c r="AE803" s="258" t="s">
        <v>2129</v>
      </c>
      <c r="AF803" s="259"/>
      <c r="AG803" s="260"/>
      <c r="AH803" s="259"/>
      <c r="AI803" s="259"/>
      <c r="AJ803" s="260"/>
      <c r="AK803" s="259">
        <v>26</v>
      </c>
      <c r="AL803" s="259"/>
      <c r="AM803" s="259" t="s">
        <v>3222</v>
      </c>
      <c r="AN803" s="449"/>
      <c r="AO803" s="449"/>
      <c r="AP803" s="449"/>
      <c r="AQ803" s="392" t="str">
        <f>IFERROR(VLOOKUP(BG803,#REF!,1,0),"")</f>
        <v/>
      </c>
      <c r="AS803" s="259" t="s">
        <v>1987</v>
      </c>
      <c r="AX803" s="450">
        <v>2024.03</v>
      </c>
      <c r="BB803" s="202" t="s">
        <v>3464</v>
      </c>
      <c r="BD803" s="202" t="str">
        <f t="shared" si="119"/>
        <v>카니발3.5 가솔린 시그니처 (9인승)</v>
      </c>
      <c r="BE803" s="261" t="str">
        <f t="shared" si="125"/>
        <v>0075</v>
      </c>
      <c r="BF803" s="407" t="s">
        <v>296</v>
      </c>
      <c r="BG803" s="202" t="str">
        <f t="shared" si="120"/>
        <v>0075-0802</v>
      </c>
    </row>
    <row r="804" spans="1:59">
      <c r="A804" s="405">
        <v>4578</v>
      </c>
      <c r="B804" s="406">
        <v>4578</v>
      </c>
      <c r="C804" s="261" t="str">
        <f t="shared" si="121"/>
        <v>0001-0075</v>
      </c>
      <c r="D804" s="261" t="str">
        <f t="shared" si="122"/>
        <v>0001-0075-0008</v>
      </c>
      <c r="E804" s="407" t="s">
        <v>295</v>
      </c>
      <c r="F804" s="261" t="str">
        <f>TEXT(VLOOKUP(J804,'[3]1'!$B$2:$D$37,2,0),"0000")</f>
        <v>0001</v>
      </c>
      <c r="G804" s="261" t="str">
        <f t="shared" si="123"/>
        <v>0075</v>
      </c>
      <c r="H804" s="408">
        <f t="shared" si="124"/>
        <v>8</v>
      </c>
      <c r="I804" s="407" t="s">
        <v>295</v>
      </c>
      <c r="J804" s="413" t="s">
        <v>828</v>
      </c>
      <c r="K804" s="413" t="s">
        <v>2728</v>
      </c>
      <c r="L804" s="397" t="s">
        <v>3389</v>
      </c>
      <c r="M804" s="425">
        <v>68200000</v>
      </c>
      <c r="N804" s="394">
        <v>3470</v>
      </c>
      <c r="O804" s="258" t="s">
        <v>77</v>
      </c>
      <c r="P804" s="258" t="s">
        <v>1965</v>
      </c>
      <c r="Q804" s="413" t="s">
        <v>72</v>
      </c>
      <c r="R804" s="395">
        <v>7</v>
      </c>
      <c r="S804" s="410">
        <v>9</v>
      </c>
      <c r="T804" s="261">
        <v>6</v>
      </c>
      <c r="U804" s="261">
        <v>6</v>
      </c>
      <c r="V804" s="258" t="s">
        <v>1969</v>
      </c>
      <c r="W804" s="261" t="str">
        <f t="shared" si="126"/>
        <v>기아자동차카니발3.5 가솔린 시그니처 (7인승)68200000</v>
      </c>
      <c r="X804" s="411">
        <f t="shared" si="127"/>
        <v>4578</v>
      </c>
      <c r="Y804" s="261">
        <v>6</v>
      </c>
      <c r="Z804" s="261">
        <v>6</v>
      </c>
      <c r="AA804" s="407" t="s">
        <v>295</v>
      </c>
      <c r="AB804" s="258" t="s">
        <v>1965</v>
      </c>
      <c r="AC804" s="258"/>
      <c r="AD804" s="258">
        <v>3</v>
      </c>
      <c r="AE804" s="258" t="s">
        <v>2129</v>
      </c>
      <c r="AF804" s="259"/>
      <c r="AG804" s="260"/>
      <c r="AH804" s="259"/>
      <c r="AI804" s="259"/>
      <c r="AJ804" s="260"/>
      <c r="AK804" s="259">
        <v>26</v>
      </c>
      <c r="AL804" s="259"/>
      <c r="AM804" s="259" t="s">
        <v>3222</v>
      </c>
      <c r="AN804" s="449"/>
      <c r="AO804" s="449"/>
      <c r="AP804" s="449"/>
      <c r="AQ804" s="392" t="str">
        <f>IFERROR(VLOOKUP(BG804,#REF!,1,0),"")</f>
        <v/>
      </c>
      <c r="AS804" s="259" t="s">
        <v>3462</v>
      </c>
      <c r="AX804" s="450">
        <v>2024.03</v>
      </c>
      <c r="BB804" s="202" t="s">
        <v>3464</v>
      </c>
      <c r="BD804" s="202" t="str">
        <f t="shared" si="119"/>
        <v>카니발3.5 가솔린 시그니처 (7인승)</v>
      </c>
      <c r="BE804" s="261" t="str">
        <f t="shared" si="125"/>
        <v>0075</v>
      </c>
      <c r="BF804" s="407" t="s">
        <v>295</v>
      </c>
      <c r="BG804" s="202" t="str">
        <f t="shared" si="120"/>
        <v>0075-0803</v>
      </c>
    </row>
    <row r="805" spans="1:59">
      <c r="A805" s="405">
        <v>4579</v>
      </c>
      <c r="B805" s="406">
        <v>4579</v>
      </c>
      <c r="C805" s="261" t="str">
        <f t="shared" si="121"/>
        <v>0001-0075</v>
      </c>
      <c r="D805" s="261" t="str">
        <f t="shared" si="122"/>
        <v>0001-0075-0009</v>
      </c>
      <c r="E805" s="407" t="s">
        <v>293</v>
      </c>
      <c r="F805" s="261" t="str">
        <f>TEXT(VLOOKUP(J805,'[3]1'!$B$2:$D$37,2,0),"0000")</f>
        <v>0001</v>
      </c>
      <c r="G805" s="261" t="str">
        <f t="shared" si="123"/>
        <v>0075</v>
      </c>
      <c r="H805" s="408">
        <f t="shared" si="124"/>
        <v>9</v>
      </c>
      <c r="I805" s="407" t="s">
        <v>293</v>
      </c>
      <c r="J805" s="413" t="s">
        <v>828</v>
      </c>
      <c r="K805" s="413" t="s">
        <v>2728</v>
      </c>
      <c r="L805" s="397" t="s">
        <v>3114</v>
      </c>
      <c r="M805" s="425">
        <v>40100000</v>
      </c>
      <c r="N805" s="394">
        <v>3470</v>
      </c>
      <c r="O805" s="258" t="s">
        <v>77</v>
      </c>
      <c r="P805" s="393" t="s">
        <v>2890</v>
      </c>
      <c r="Q805" s="413" t="s">
        <v>72</v>
      </c>
      <c r="R805" s="395">
        <v>11</v>
      </c>
      <c r="S805" s="410">
        <v>15</v>
      </c>
      <c r="T805" s="261">
        <v>6</v>
      </c>
      <c r="U805" s="261">
        <v>6</v>
      </c>
      <c r="V805" s="258" t="s">
        <v>1969</v>
      </c>
      <c r="W805" s="261" t="str">
        <f t="shared" si="126"/>
        <v>기아자동차카니발KA4 3.5 가솔린 시그니처 (11인승)40100000</v>
      </c>
      <c r="X805" s="411">
        <f t="shared" si="127"/>
        <v>4579</v>
      </c>
      <c r="Y805" s="261">
        <v>6</v>
      </c>
      <c r="Z805" s="261">
        <v>6</v>
      </c>
      <c r="AA805" s="407" t="s">
        <v>293</v>
      </c>
      <c r="AB805" s="393" t="s">
        <v>2890</v>
      </c>
      <c r="AC805" s="258"/>
      <c r="AD805" s="258">
        <v>5</v>
      </c>
      <c r="AE805" s="258" t="s">
        <v>2129</v>
      </c>
      <c r="AF805" s="259"/>
      <c r="AG805" s="260"/>
      <c r="AH805" s="259"/>
      <c r="AI805" s="259"/>
      <c r="AJ805" s="260"/>
      <c r="AK805" s="259">
        <v>26</v>
      </c>
      <c r="AL805" s="259"/>
      <c r="AM805" s="259" t="s">
        <v>3222</v>
      </c>
      <c r="AN805" s="449"/>
      <c r="AO805" s="449"/>
      <c r="AP805" s="449"/>
      <c r="AQ805" s="392" t="str">
        <f>IFERROR(VLOOKUP(BG805,#REF!,1,0),"")</f>
        <v/>
      </c>
      <c r="AS805" s="259" t="s">
        <v>3233</v>
      </c>
      <c r="BD805" s="202" t="str">
        <f t="shared" si="119"/>
        <v>카니발KA4 3.5 가솔린 시그니처 (11인승)</v>
      </c>
      <c r="BE805" s="261" t="str">
        <f t="shared" si="125"/>
        <v>0075</v>
      </c>
      <c r="BF805" s="407" t="s">
        <v>293</v>
      </c>
      <c r="BG805" s="202" t="str">
        <f t="shared" si="120"/>
        <v>0075-0804</v>
      </c>
    </row>
    <row r="806" spans="1:59">
      <c r="A806" s="405">
        <v>4580</v>
      </c>
      <c r="B806" s="406">
        <v>4580</v>
      </c>
      <c r="C806" s="261" t="str">
        <f t="shared" si="121"/>
        <v>0001-0075</v>
      </c>
      <c r="D806" s="261" t="str">
        <f t="shared" si="122"/>
        <v>0001-0075-0010</v>
      </c>
      <c r="E806" s="407" t="s">
        <v>292</v>
      </c>
      <c r="F806" s="261" t="str">
        <f>TEXT(VLOOKUP(J806,'[3]1'!$B$2:$D$37,2,0),"0000")</f>
        <v>0001</v>
      </c>
      <c r="G806" s="261" t="str">
        <f t="shared" si="123"/>
        <v>0075</v>
      </c>
      <c r="H806" s="408">
        <f t="shared" si="124"/>
        <v>10</v>
      </c>
      <c r="I806" s="407" t="s">
        <v>292</v>
      </c>
      <c r="J806" s="413" t="s">
        <v>828</v>
      </c>
      <c r="K806" s="413" t="s">
        <v>2728</v>
      </c>
      <c r="L806" s="397" t="s">
        <v>3115</v>
      </c>
      <c r="M806" s="425">
        <v>36150000</v>
      </c>
      <c r="N806" s="394">
        <v>3470</v>
      </c>
      <c r="O806" s="258" t="s">
        <v>77</v>
      </c>
      <c r="P806" s="258" t="s">
        <v>1965</v>
      </c>
      <c r="Q806" s="413" t="s">
        <v>72</v>
      </c>
      <c r="R806" s="395">
        <v>9</v>
      </c>
      <c r="S806" s="424">
        <v>12</v>
      </c>
      <c r="T806" s="261">
        <v>6</v>
      </c>
      <c r="U806" s="261">
        <v>6</v>
      </c>
      <c r="V806" s="258" t="s">
        <v>1969</v>
      </c>
      <c r="W806" s="261" t="str">
        <f t="shared" si="126"/>
        <v>기아자동차카니발KA4 3.5 가솔린 노블레스 (9인승)36150000</v>
      </c>
      <c r="X806" s="411">
        <f t="shared" si="127"/>
        <v>4580</v>
      </c>
      <c r="Y806" s="261">
        <v>6</v>
      </c>
      <c r="Z806" s="261">
        <v>6</v>
      </c>
      <c r="AA806" s="407" t="s">
        <v>292</v>
      </c>
      <c r="AB806" s="258" t="s">
        <v>1965</v>
      </c>
      <c r="AC806" s="258"/>
      <c r="AD806" s="258">
        <v>5</v>
      </c>
      <c r="AE806" s="258" t="s">
        <v>2129</v>
      </c>
      <c r="AF806" s="259"/>
      <c r="AG806" s="260"/>
      <c r="AH806" s="259"/>
      <c r="AI806" s="259"/>
      <c r="AJ806" s="260"/>
      <c r="AK806" s="259">
        <v>26</v>
      </c>
      <c r="AL806" s="259"/>
      <c r="AM806" s="259" t="s">
        <v>3222</v>
      </c>
      <c r="AN806" s="449"/>
      <c r="AO806" s="449"/>
      <c r="AP806" s="449"/>
      <c r="AQ806" s="392" t="str">
        <f>IFERROR(VLOOKUP(BG806,#REF!,1,0),"")</f>
        <v/>
      </c>
      <c r="AS806" s="259" t="s">
        <v>1990</v>
      </c>
      <c r="AX806" s="450">
        <v>2024.03</v>
      </c>
      <c r="BB806" s="202" t="s">
        <v>3387</v>
      </c>
      <c r="BD806" s="202" t="str">
        <f t="shared" si="119"/>
        <v>카니발KA4 3.5 가솔린 노블레스 (9인승)</v>
      </c>
      <c r="BE806" s="261" t="str">
        <f t="shared" si="125"/>
        <v>0075</v>
      </c>
      <c r="BF806" s="407" t="s">
        <v>292</v>
      </c>
      <c r="BG806" s="202" t="str">
        <f t="shared" si="120"/>
        <v>0075-0805</v>
      </c>
    </row>
    <row r="807" spans="1:59">
      <c r="A807" s="405">
        <v>4581</v>
      </c>
      <c r="B807" s="406">
        <v>4581</v>
      </c>
      <c r="C807" s="261" t="str">
        <f t="shared" si="121"/>
        <v>0001-0075</v>
      </c>
      <c r="D807" s="261" t="str">
        <f t="shared" si="122"/>
        <v>0001-0075-0011</v>
      </c>
      <c r="E807" s="407" t="s">
        <v>291</v>
      </c>
      <c r="F807" s="261" t="str">
        <f>TEXT(VLOOKUP(J807,'[3]1'!$B$2:$D$37,2,0),"0000")</f>
        <v>0001</v>
      </c>
      <c r="G807" s="261" t="str">
        <f t="shared" si="123"/>
        <v>0075</v>
      </c>
      <c r="H807" s="408">
        <f t="shared" si="124"/>
        <v>11</v>
      </c>
      <c r="I807" s="407" t="s">
        <v>291</v>
      </c>
      <c r="J807" s="413" t="s">
        <v>828</v>
      </c>
      <c r="K807" s="413" t="s">
        <v>2728</v>
      </c>
      <c r="L807" s="397" t="s">
        <v>3116</v>
      </c>
      <c r="M807" s="425">
        <v>39200000</v>
      </c>
      <c r="N807" s="394">
        <v>3470</v>
      </c>
      <c r="O807" s="258" t="s">
        <v>77</v>
      </c>
      <c r="P807" s="258" t="s">
        <v>1965</v>
      </c>
      <c r="Q807" s="413" t="s">
        <v>72</v>
      </c>
      <c r="R807" s="395">
        <v>7</v>
      </c>
      <c r="S807" s="410">
        <v>9</v>
      </c>
      <c r="T807" s="261">
        <v>6</v>
      </c>
      <c r="U807" s="261">
        <v>6</v>
      </c>
      <c r="V807" s="258" t="s">
        <v>1969</v>
      </c>
      <c r="W807" s="261" t="str">
        <f t="shared" si="126"/>
        <v>기아자동차카니발KA4 3.5 가솔린 노블레스 (7인승)39200000</v>
      </c>
      <c r="X807" s="411">
        <f t="shared" si="127"/>
        <v>4581</v>
      </c>
      <c r="Y807" s="261">
        <v>6</v>
      </c>
      <c r="Z807" s="261">
        <v>6</v>
      </c>
      <c r="AA807" s="407" t="s">
        <v>291</v>
      </c>
      <c r="AB807" s="258" t="s">
        <v>1965</v>
      </c>
      <c r="AC807" s="258"/>
      <c r="AD807" s="258">
        <v>5</v>
      </c>
      <c r="AE807" s="258" t="s">
        <v>2129</v>
      </c>
      <c r="AF807" s="259"/>
      <c r="AG807" s="260"/>
      <c r="AH807" s="259"/>
      <c r="AI807" s="259"/>
      <c r="AJ807" s="260"/>
      <c r="AK807" s="259">
        <v>26</v>
      </c>
      <c r="AL807" s="259"/>
      <c r="AM807" s="259" t="s">
        <v>3222</v>
      </c>
      <c r="AN807" s="449"/>
      <c r="AO807" s="449"/>
      <c r="AP807" s="449"/>
      <c r="AQ807" s="392" t="str">
        <f>IFERROR(VLOOKUP(BG807,#REF!,1,0),"")</f>
        <v/>
      </c>
      <c r="AS807" s="259" t="s">
        <v>3462</v>
      </c>
      <c r="AX807" s="392">
        <v>2024.03</v>
      </c>
      <c r="BB807" s="202" t="s">
        <v>3463</v>
      </c>
      <c r="BD807" s="202" t="str">
        <f t="shared" si="119"/>
        <v>카니발KA4 3.5 가솔린 노블레스 (7인승)</v>
      </c>
      <c r="BE807" s="261" t="str">
        <f t="shared" si="125"/>
        <v>0075</v>
      </c>
      <c r="BF807" s="407" t="s">
        <v>291</v>
      </c>
      <c r="BG807" s="202" t="str">
        <f t="shared" si="120"/>
        <v>0075-0806</v>
      </c>
    </row>
    <row r="808" spans="1:59">
      <c r="A808" s="405">
        <v>4582</v>
      </c>
      <c r="B808" s="406">
        <v>4582</v>
      </c>
      <c r="C808" s="261" t="str">
        <f t="shared" si="121"/>
        <v>0001-0075</v>
      </c>
      <c r="D808" s="261" t="str">
        <f t="shared" si="122"/>
        <v>0001-0075-0012</v>
      </c>
      <c r="E808" s="407" t="s">
        <v>290</v>
      </c>
      <c r="F808" s="261" t="str">
        <f>TEXT(VLOOKUP(J808,'[3]1'!$B$2:$D$37,2,0),"0000")</f>
        <v>0001</v>
      </c>
      <c r="G808" s="261" t="str">
        <f t="shared" si="123"/>
        <v>0075</v>
      </c>
      <c r="H808" s="408">
        <f t="shared" si="124"/>
        <v>12</v>
      </c>
      <c r="I808" s="407" t="s">
        <v>290</v>
      </c>
      <c r="J808" s="413" t="s">
        <v>828</v>
      </c>
      <c r="K808" s="413" t="s">
        <v>2728</v>
      </c>
      <c r="L808" s="397" t="s">
        <v>3117</v>
      </c>
      <c r="M808" s="425">
        <v>36150000</v>
      </c>
      <c r="N808" s="394">
        <v>3470</v>
      </c>
      <c r="O808" s="258" t="s">
        <v>77</v>
      </c>
      <c r="P808" s="393" t="s">
        <v>2890</v>
      </c>
      <c r="Q808" s="413" t="s">
        <v>72</v>
      </c>
      <c r="R808" s="395">
        <v>11</v>
      </c>
      <c r="S808" s="410">
        <v>15</v>
      </c>
      <c r="T808" s="261">
        <v>6</v>
      </c>
      <c r="U808" s="261">
        <v>6</v>
      </c>
      <c r="V808" s="258" t="s">
        <v>1969</v>
      </c>
      <c r="W808" s="261" t="str">
        <f t="shared" si="126"/>
        <v>기아자동차카니발KA4 3.5 가솔린 노블레스 (11인승)36150000</v>
      </c>
      <c r="X808" s="411">
        <f t="shared" si="127"/>
        <v>4582</v>
      </c>
      <c r="Y808" s="261">
        <v>6</v>
      </c>
      <c r="Z808" s="261">
        <v>6</v>
      </c>
      <c r="AA808" s="407" t="s">
        <v>290</v>
      </c>
      <c r="AB808" s="393" t="s">
        <v>2890</v>
      </c>
      <c r="AC808" s="258"/>
      <c r="AD808" s="258">
        <v>5</v>
      </c>
      <c r="AE808" s="258" t="s">
        <v>2129</v>
      </c>
      <c r="AF808" s="259"/>
      <c r="AG808" s="260"/>
      <c r="AH808" s="259"/>
      <c r="AI808" s="259"/>
      <c r="AJ808" s="260"/>
      <c r="AK808" s="259">
        <v>26</v>
      </c>
      <c r="AL808" s="259"/>
      <c r="AM808" s="259" t="s">
        <v>3222</v>
      </c>
      <c r="AN808" s="449"/>
      <c r="AO808" s="449"/>
      <c r="AP808" s="449"/>
      <c r="AQ808" s="392" t="str">
        <f>IFERROR(VLOOKUP(BG808,#REF!,1,0),"")</f>
        <v/>
      </c>
      <c r="AS808" s="259" t="s">
        <v>3233</v>
      </c>
      <c r="BD808" s="202" t="str">
        <f t="shared" si="119"/>
        <v>카니발KA4 3.5 가솔린 노블레스 (11인승)</v>
      </c>
      <c r="BE808" s="261" t="str">
        <f t="shared" si="125"/>
        <v>0075</v>
      </c>
      <c r="BF808" s="407" t="s">
        <v>290</v>
      </c>
      <c r="BG808" s="202" t="str">
        <f t="shared" si="120"/>
        <v>0075-0807</v>
      </c>
    </row>
    <row r="809" spans="1:59">
      <c r="A809" s="405">
        <v>4583</v>
      </c>
      <c r="B809" s="406">
        <v>4583</v>
      </c>
      <c r="C809" s="261" t="str">
        <f t="shared" si="121"/>
        <v>0001-0075</v>
      </c>
      <c r="D809" s="261" t="str">
        <f t="shared" si="122"/>
        <v>0001-0075-0013</v>
      </c>
      <c r="E809" s="407" t="s">
        <v>289</v>
      </c>
      <c r="F809" s="261" t="str">
        <f>TEXT(VLOOKUP(J809,'[3]1'!$B$2:$D$37,2,0),"0000")</f>
        <v>0001</v>
      </c>
      <c r="G809" s="261" t="str">
        <f t="shared" si="123"/>
        <v>0075</v>
      </c>
      <c r="H809" s="408">
        <f t="shared" si="124"/>
        <v>13</v>
      </c>
      <c r="I809" s="407" t="s">
        <v>289</v>
      </c>
      <c r="J809" s="413" t="s">
        <v>828</v>
      </c>
      <c r="K809" s="413" t="s">
        <v>2728</v>
      </c>
      <c r="L809" s="397" t="s">
        <v>3118</v>
      </c>
      <c r="M809" s="425">
        <v>61860000</v>
      </c>
      <c r="N809" s="394">
        <v>2151</v>
      </c>
      <c r="O809" s="393" t="s">
        <v>78</v>
      </c>
      <c r="P809" s="258" t="s">
        <v>1965</v>
      </c>
      <c r="Q809" s="413" t="s">
        <v>72</v>
      </c>
      <c r="R809" s="395">
        <v>9</v>
      </c>
      <c r="S809" s="424">
        <v>15</v>
      </c>
      <c r="T809" s="261">
        <v>6</v>
      </c>
      <c r="U809" s="261">
        <v>6</v>
      </c>
      <c r="V809" s="258" t="s">
        <v>1969</v>
      </c>
      <c r="W809" s="261" t="str">
        <f t="shared" si="126"/>
        <v>기아자동차카니발KA4 2.2 디젤 하이리무진 시그니처 (9인승)61860000</v>
      </c>
      <c r="X809" s="411">
        <f t="shared" si="127"/>
        <v>4583</v>
      </c>
      <c r="Y809" s="261">
        <v>6</v>
      </c>
      <c r="Z809" s="261">
        <v>6</v>
      </c>
      <c r="AA809" s="407" t="s">
        <v>289</v>
      </c>
      <c r="AB809" s="258" t="s">
        <v>1965</v>
      </c>
      <c r="AC809" s="258"/>
      <c r="AD809" s="258">
        <v>5</v>
      </c>
      <c r="AE809" s="258" t="s">
        <v>2129</v>
      </c>
      <c r="AF809" s="259"/>
      <c r="AG809" s="260"/>
      <c r="AH809" s="259"/>
      <c r="AI809" s="259"/>
      <c r="AJ809" s="260"/>
      <c r="AK809" s="259">
        <v>26</v>
      </c>
      <c r="AL809" s="259"/>
      <c r="AM809" s="259" t="s">
        <v>3233</v>
      </c>
      <c r="AN809" s="449"/>
      <c r="AO809" s="449"/>
      <c r="AP809" s="449"/>
      <c r="AQ809" s="392" t="str">
        <f>IFERROR(VLOOKUP(BG809,#REF!,1,0),"")</f>
        <v/>
      </c>
      <c r="AS809" s="259" t="s">
        <v>3233</v>
      </c>
      <c r="BD809" s="202" t="str">
        <f t="shared" si="119"/>
        <v>카니발KA4 2.2 디젤 하이리무진 시그니처 (9인승)</v>
      </c>
      <c r="BE809" s="261" t="str">
        <f t="shared" si="125"/>
        <v>0075</v>
      </c>
      <c r="BF809" s="407" t="s">
        <v>289</v>
      </c>
      <c r="BG809" s="202" t="str">
        <f t="shared" si="120"/>
        <v>0075-0808</v>
      </c>
    </row>
    <row r="810" spans="1:59">
      <c r="A810" s="405">
        <v>4584</v>
      </c>
      <c r="B810" s="406">
        <v>4584</v>
      </c>
      <c r="C810" s="261" t="str">
        <f t="shared" si="121"/>
        <v>0001-0075</v>
      </c>
      <c r="D810" s="261" t="str">
        <f t="shared" si="122"/>
        <v>0001-0075-0014</v>
      </c>
      <c r="E810" s="407" t="s">
        <v>288</v>
      </c>
      <c r="F810" s="261" t="str">
        <f>TEXT(VLOOKUP(J810,'[3]1'!$B$2:$D$37,2,0),"0000")</f>
        <v>0001</v>
      </c>
      <c r="G810" s="261" t="str">
        <f t="shared" si="123"/>
        <v>0075</v>
      </c>
      <c r="H810" s="408">
        <f t="shared" si="124"/>
        <v>14</v>
      </c>
      <c r="I810" s="407" t="s">
        <v>288</v>
      </c>
      <c r="J810" s="413" t="s">
        <v>828</v>
      </c>
      <c r="K810" s="413" t="s">
        <v>2728</v>
      </c>
      <c r="L810" s="397" t="s">
        <v>3119</v>
      </c>
      <c r="M810" s="425">
        <v>65080000</v>
      </c>
      <c r="N810" s="394">
        <v>2151</v>
      </c>
      <c r="O810" s="393" t="s">
        <v>78</v>
      </c>
      <c r="P810" s="258" t="s">
        <v>1965</v>
      </c>
      <c r="Q810" s="413" t="s">
        <v>72</v>
      </c>
      <c r="R810" s="395">
        <v>7</v>
      </c>
      <c r="S810" s="424">
        <v>15</v>
      </c>
      <c r="T810" s="261">
        <v>6</v>
      </c>
      <c r="U810" s="261">
        <v>6</v>
      </c>
      <c r="V810" s="258" t="s">
        <v>1969</v>
      </c>
      <c r="W810" s="261" t="str">
        <f t="shared" si="126"/>
        <v>기아자동차카니발KA4 2.2 디젤 하이리무진 시그니처 (7인승)65080000</v>
      </c>
      <c r="X810" s="411">
        <f t="shared" si="127"/>
        <v>4584</v>
      </c>
      <c r="Y810" s="261">
        <v>6</v>
      </c>
      <c r="Z810" s="261">
        <v>6</v>
      </c>
      <c r="AA810" s="407" t="s">
        <v>288</v>
      </c>
      <c r="AB810" s="258" t="s">
        <v>1965</v>
      </c>
      <c r="AC810" s="258"/>
      <c r="AD810" s="258">
        <v>5</v>
      </c>
      <c r="AE810" s="258" t="s">
        <v>2129</v>
      </c>
      <c r="AF810" s="259"/>
      <c r="AG810" s="260"/>
      <c r="AH810" s="259"/>
      <c r="AI810" s="259"/>
      <c r="AJ810" s="260"/>
      <c r="AK810" s="259">
        <v>26</v>
      </c>
      <c r="AL810" s="259"/>
      <c r="AM810" s="259" t="s">
        <v>3233</v>
      </c>
      <c r="AN810" s="449"/>
      <c r="AO810" s="449"/>
      <c r="AP810" s="449"/>
      <c r="AQ810" s="392" t="str">
        <f>IFERROR(VLOOKUP(BG810,#REF!,1,0),"")</f>
        <v/>
      </c>
      <c r="AS810" s="259" t="s">
        <v>3233</v>
      </c>
      <c r="BD810" s="202" t="str">
        <f t="shared" si="119"/>
        <v>카니발KA4 2.2 디젤 하이리무진 시그니처 (7인승)</v>
      </c>
      <c r="BE810" s="261" t="str">
        <f t="shared" si="125"/>
        <v>0075</v>
      </c>
      <c r="BF810" s="407" t="s">
        <v>288</v>
      </c>
      <c r="BG810" s="202" t="str">
        <f t="shared" si="120"/>
        <v>0075-0809</v>
      </c>
    </row>
    <row r="811" spans="1:59">
      <c r="A811" s="405">
        <v>4585</v>
      </c>
      <c r="B811" s="406">
        <v>4585</v>
      </c>
      <c r="C811" s="261" t="str">
        <f t="shared" si="121"/>
        <v>0001-0075</v>
      </c>
      <c r="D811" s="261" t="str">
        <f t="shared" si="122"/>
        <v>0001-0075-0015</v>
      </c>
      <c r="E811" s="407" t="s">
        <v>287</v>
      </c>
      <c r="F811" s="261" t="str">
        <f>TEXT(VLOOKUP(J811,'[3]1'!$B$2:$D$37,2,0),"0000")</f>
        <v>0001</v>
      </c>
      <c r="G811" s="261" t="str">
        <f t="shared" si="123"/>
        <v>0075</v>
      </c>
      <c r="H811" s="408">
        <f t="shared" si="124"/>
        <v>15</v>
      </c>
      <c r="I811" s="407" t="s">
        <v>287</v>
      </c>
      <c r="J811" s="413" t="s">
        <v>828</v>
      </c>
      <c r="K811" s="413" t="s">
        <v>2728</v>
      </c>
      <c r="L811" s="600" t="s">
        <v>3381</v>
      </c>
      <c r="M811" s="425">
        <v>63480000</v>
      </c>
      <c r="N811" s="394">
        <v>3470</v>
      </c>
      <c r="O811" s="258" t="s">
        <v>77</v>
      </c>
      <c r="P811" s="258" t="s">
        <v>1965</v>
      </c>
      <c r="Q811" s="413" t="s">
        <v>72</v>
      </c>
      <c r="R811" s="395">
        <v>7</v>
      </c>
      <c r="S811" s="424">
        <v>15</v>
      </c>
      <c r="T811" s="261">
        <v>6</v>
      </c>
      <c r="U811" s="261">
        <v>6</v>
      </c>
      <c r="V811" s="258" t="s">
        <v>1969</v>
      </c>
      <c r="W811" s="261" t="str">
        <f t="shared" si="126"/>
        <v>기아자동차카니발하이리무진 가솔린 3.5 시그니처 (7인승)63480000</v>
      </c>
      <c r="X811" s="411">
        <f t="shared" si="127"/>
        <v>4585</v>
      </c>
      <c r="Y811" s="261">
        <v>6</v>
      </c>
      <c r="Z811" s="261">
        <v>6</v>
      </c>
      <c r="AA811" s="407" t="s">
        <v>287</v>
      </c>
      <c r="AB811" s="258" t="s">
        <v>1965</v>
      </c>
      <c r="AC811" s="258"/>
      <c r="AD811" s="258">
        <v>5</v>
      </c>
      <c r="AE811" s="258" t="s">
        <v>2129</v>
      </c>
      <c r="AF811" s="259"/>
      <c r="AG811" s="260"/>
      <c r="AH811" s="259"/>
      <c r="AI811" s="259"/>
      <c r="AJ811" s="260"/>
      <c r="AK811" s="259">
        <v>26</v>
      </c>
      <c r="AL811" s="259"/>
      <c r="AM811" s="259" t="s">
        <v>3233</v>
      </c>
      <c r="AN811" s="449"/>
      <c r="AO811" s="449"/>
      <c r="AP811" s="449"/>
      <c r="AQ811" s="392" t="str">
        <f>IFERROR(VLOOKUP(BG811,#REF!,1,0),"")</f>
        <v/>
      </c>
      <c r="AS811" s="259" t="s">
        <v>3233</v>
      </c>
      <c r="BD811" s="202" t="str">
        <f t="shared" si="119"/>
        <v>카니발하이리무진 가솔린 3.5 시그니처 (7인승)</v>
      </c>
      <c r="BE811" s="261" t="str">
        <f t="shared" si="125"/>
        <v>0075</v>
      </c>
      <c r="BF811" s="407" t="s">
        <v>287</v>
      </c>
      <c r="BG811" s="202" t="str">
        <f t="shared" si="120"/>
        <v>0075-0810</v>
      </c>
    </row>
    <row r="812" spans="1:59">
      <c r="A812" s="405">
        <v>4586</v>
      </c>
      <c r="B812" s="406">
        <v>4586</v>
      </c>
      <c r="C812" s="261" t="str">
        <f t="shared" si="121"/>
        <v>0001-0075</v>
      </c>
      <c r="D812" s="261" t="str">
        <f t="shared" si="122"/>
        <v>0001-0075-0016</v>
      </c>
      <c r="E812" s="407" t="s">
        <v>286</v>
      </c>
      <c r="F812" s="261" t="str">
        <f>TEXT(VLOOKUP(J812,'[3]1'!$B$2:$D$37,2,0),"0000")</f>
        <v>0001</v>
      </c>
      <c r="G812" s="261" t="str">
        <f t="shared" si="123"/>
        <v>0075</v>
      </c>
      <c r="H812" s="408">
        <f t="shared" si="124"/>
        <v>16</v>
      </c>
      <c r="I812" s="407" t="s">
        <v>286</v>
      </c>
      <c r="J812" s="413" t="s">
        <v>828</v>
      </c>
      <c r="K812" s="413" t="s">
        <v>2728</v>
      </c>
      <c r="L812" s="600" t="s">
        <v>3483</v>
      </c>
      <c r="M812" s="425">
        <v>69450000</v>
      </c>
      <c r="N812" s="394">
        <v>1598</v>
      </c>
      <c r="O812" s="601" t="s">
        <v>3366</v>
      </c>
      <c r="P812" s="258" t="s">
        <v>1965</v>
      </c>
      <c r="Q812" s="413" t="s">
        <v>72</v>
      </c>
      <c r="R812" s="395">
        <v>9</v>
      </c>
      <c r="S812" s="424">
        <v>15</v>
      </c>
      <c r="T812" s="261">
        <v>6</v>
      </c>
      <c r="U812" s="261">
        <v>6</v>
      </c>
      <c r="V812" s="258" t="s">
        <v>1969</v>
      </c>
      <c r="W812" s="261" t="str">
        <f t="shared" si="126"/>
        <v>기아자동차카니발하이리무진 1.6터보 시그니처 (9인승) HEV69450000</v>
      </c>
      <c r="X812" s="411">
        <f t="shared" si="127"/>
        <v>4586</v>
      </c>
      <c r="Y812" s="261">
        <v>6</v>
      </c>
      <c r="Z812" s="261">
        <v>6</v>
      </c>
      <c r="AA812" s="407" t="s">
        <v>286</v>
      </c>
      <c r="AB812" s="258" t="s">
        <v>1965</v>
      </c>
      <c r="AC812" s="258"/>
      <c r="AD812" s="258">
        <v>5</v>
      </c>
      <c r="AE812" s="258" t="s">
        <v>2129</v>
      </c>
      <c r="AF812" s="259"/>
      <c r="AG812" s="260"/>
      <c r="AH812" s="259"/>
      <c r="AI812" s="259"/>
      <c r="AJ812" s="260"/>
      <c r="AK812" s="259">
        <v>26</v>
      </c>
      <c r="AL812" s="259"/>
      <c r="AM812" s="259" t="s">
        <v>3233</v>
      </c>
      <c r="AN812" s="449"/>
      <c r="AO812" s="449"/>
      <c r="AP812" s="449"/>
      <c r="AQ812" s="392" t="str">
        <f>IFERROR(VLOOKUP(BG812,#REF!,1,0),"")</f>
        <v/>
      </c>
      <c r="AS812" s="259" t="s">
        <v>3233</v>
      </c>
      <c r="AT812" s="392">
        <v>2024.02</v>
      </c>
      <c r="AW812" s="392" t="s">
        <v>3460</v>
      </c>
      <c r="BD812" s="202" t="str">
        <f t="shared" si="119"/>
        <v>카니발하이리무진 1.6터보 시그니처 (9인승) HEV</v>
      </c>
      <c r="BE812" s="261" t="str">
        <f t="shared" si="125"/>
        <v>0075</v>
      </c>
      <c r="BF812" s="407" t="s">
        <v>286</v>
      </c>
      <c r="BG812" s="202" t="str">
        <f t="shared" si="120"/>
        <v>0075-0811</v>
      </c>
    </row>
    <row r="813" spans="1:59">
      <c r="A813" s="405">
        <v>4587</v>
      </c>
      <c r="B813" s="406">
        <v>4587</v>
      </c>
      <c r="C813" s="261" t="str">
        <f t="shared" si="121"/>
        <v>0001-0075</v>
      </c>
      <c r="D813" s="261" t="str">
        <f t="shared" si="122"/>
        <v>0001-0075-0017</v>
      </c>
      <c r="E813" s="407" t="s">
        <v>285</v>
      </c>
      <c r="F813" s="261" t="str">
        <f>TEXT(VLOOKUP(J813,'[3]1'!$B$2:$D$37,2,0),"0000")</f>
        <v>0001</v>
      </c>
      <c r="G813" s="261" t="str">
        <f t="shared" si="123"/>
        <v>0075</v>
      </c>
      <c r="H813" s="408">
        <f t="shared" si="124"/>
        <v>17</v>
      </c>
      <c r="I813" s="407" t="s">
        <v>285</v>
      </c>
      <c r="J813" s="413" t="s">
        <v>828</v>
      </c>
      <c r="K813" s="413" t="s">
        <v>2728</v>
      </c>
      <c r="L813" s="600" t="s">
        <v>3484</v>
      </c>
      <c r="M813" s="425">
        <v>72700000</v>
      </c>
      <c r="N813" s="394">
        <v>1598</v>
      </c>
      <c r="O813" s="601" t="s">
        <v>3366</v>
      </c>
      <c r="P813" s="258" t="s">
        <v>1965</v>
      </c>
      <c r="Q813" s="413" t="s">
        <v>72</v>
      </c>
      <c r="R813" s="395">
        <v>7</v>
      </c>
      <c r="S813" s="424">
        <v>15</v>
      </c>
      <c r="T813" s="261">
        <v>6</v>
      </c>
      <c r="U813" s="261">
        <v>6</v>
      </c>
      <c r="V813" s="258" t="s">
        <v>1969</v>
      </c>
      <c r="W813" s="261" t="str">
        <f t="shared" si="126"/>
        <v>기아자동차카니발하이리무진 1.6터보 시그니처 (7인승) HEV72700000</v>
      </c>
      <c r="X813" s="411">
        <f t="shared" si="127"/>
        <v>4587</v>
      </c>
      <c r="Y813" s="261">
        <v>6</v>
      </c>
      <c r="Z813" s="261">
        <v>6</v>
      </c>
      <c r="AA813" s="407" t="s">
        <v>285</v>
      </c>
      <c r="AB813" s="258" t="s">
        <v>1965</v>
      </c>
      <c r="AC813" s="258"/>
      <c r="AD813" s="258">
        <v>5</v>
      </c>
      <c r="AE813" s="258" t="s">
        <v>2129</v>
      </c>
      <c r="AF813" s="259"/>
      <c r="AG813" s="260"/>
      <c r="AH813" s="259"/>
      <c r="AI813" s="259"/>
      <c r="AJ813" s="260"/>
      <c r="AK813" s="259">
        <v>26</v>
      </c>
      <c r="AL813" s="259"/>
      <c r="AM813" s="259" t="s">
        <v>3233</v>
      </c>
      <c r="AN813" s="449"/>
      <c r="AO813" s="449"/>
      <c r="AP813" s="449"/>
      <c r="AQ813" s="392" t="str">
        <f>IFERROR(VLOOKUP(BG813,#REF!,1,0),"")</f>
        <v/>
      </c>
      <c r="AS813" s="259" t="s">
        <v>3233</v>
      </c>
      <c r="AT813" s="392">
        <v>2024.02</v>
      </c>
      <c r="AW813" s="392" t="s">
        <v>3460</v>
      </c>
      <c r="BD813" s="202" t="str">
        <f t="shared" si="119"/>
        <v>카니발하이리무진 1.6터보 시그니처 (7인승) HEV</v>
      </c>
      <c r="BE813" s="261" t="str">
        <f t="shared" si="125"/>
        <v>0075</v>
      </c>
      <c r="BF813" s="407" t="s">
        <v>285</v>
      </c>
      <c r="BG813" s="202" t="str">
        <f t="shared" si="120"/>
        <v>0075-0812</v>
      </c>
    </row>
    <row r="814" spans="1:59">
      <c r="A814" s="405">
        <v>4588</v>
      </c>
      <c r="B814" s="406">
        <v>4588</v>
      </c>
      <c r="C814" s="261" t="str">
        <f t="shared" si="121"/>
        <v>0001-0075</v>
      </c>
      <c r="D814" s="261" t="str">
        <f t="shared" si="122"/>
        <v>0001-0075-0018</v>
      </c>
      <c r="E814" s="407" t="s">
        <v>284</v>
      </c>
      <c r="F814" s="261" t="str">
        <f>TEXT(VLOOKUP(J814,'[3]1'!$B$2:$D$37,2,0),"0000")</f>
        <v>0001</v>
      </c>
      <c r="G814" s="261" t="str">
        <f t="shared" si="123"/>
        <v>0075</v>
      </c>
      <c r="H814" s="408">
        <f t="shared" si="124"/>
        <v>18</v>
      </c>
      <c r="I814" s="407" t="s">
        <v>284</v>
      </c>
      <c r="J814" s="413" t="s">
        <v>828</v>
      </c>
      <c r="K814" s="413" t="s">
        <v>2728</v>
      </c>
      <c r="L814" s="600" t="s">
        <v>3485</v>
      </c>
      <c r="M814" s="425">
        <v>47000000</v>
      </c>
      <c r="N814" s="394">
        <v>1598</v>
      </c>
      <c r="O814" s="601" t="s">
        <v>1173</v>
      </c>
      <c r="P814" s="258" t="s">
        <v>1965</v>
      </c>
      <c r="Q814" s="413" t="s">
        <v>72</v>
      </c>
      <c r="R814" s="395">
        <v>9</v>
      </c>
      <c r="S814" s="424">
        <v>9</v>
      </c>
      <c r="T814" s="261">
        <v>6</v>
      </c>
      <c r="U814" s="261">
        <v>6</v>
      </c>
      <c r="V814" s="258" t="s">
        <v>1969</v>
      </c>
      <c r="W814" s="261" t="str">
        <f t="shared" si="126"/>
        <v>기아자동차카니발하이브리드 1.6터보 시그니처 (9인승) HEV47000000</v>
      </c>
      <c r="X814" s="411">
        <f t="shared" si="127"/>
        <v>4588</v>
      </c>
      <c r="Y814" s="261">
        <v>6</v>
      </c>
      <c r="Z814" s="261">
        <v>6</v>
      </c>
      <c r="AA814" s="407" t="s">
        <v>284</v>
      </c>
      <c r="AB814" s="258" t="s">
        <v>1965</v>
      </c>
      <c r="AC814" s="258"/>
      <c r="AD814" s="258">
        <v>5</v>
      </c>
      <c r="AE814" s="258" t="s">
        <v>2129</v>
      </c>
      <c r="AF814" s="259"/>
      <c r="AG814" s="260"/>
      <c r="AH814" s="259"/>
      <c r="AI814" s="259"/>
      <c r="AJ814" s="260"/>
      <c r="AK814" s="259">
        <v>26</v>
      </c>
      <c r="AL814" s="259"/>
      <c r="AM814" s="259" t="s">
        <v>3233</v>
      </c>
      <c r="AN814" s="449"/>
      <c r="AO814" s="449"/>
      <c r="AP814" s="449"/>
      <c r="AQ814" s="392" t="str">
        <f>IFERROR(VLOOKUP(BG814,#REF!,1,0),"")</f>
        <v/>
      </c>
      <c r="AS814" s="259" t="s">
        <v>3400</v>
      </c>
      <c r="AT814" s="392">
        <v>2024.02</v>
      </c>
      <c r="AW814" s="392" t="s">
        <v>3460</v>
      </c>
      <c r="BD814" s="202" t="str">
        <f t="shared" si="119"/>
        <v>카니발하이브리드 1.6터보 시그니처 (9인승) HEV</v>
      </c>
      <c r="BE814" s="261" t="str">
        <f t="shared" si="125"/>
        <v>0075</v>
      </c>
      <c r="BF814" s="407" t="s">
        <v>284</v>
      </c>
      <c r="BG814" s="202" t="str">
        <f t="shared" si="120"/>
        <v>0075-0813</v>
      </c>
    </row>
    <row r="815" spans="1:59">
      <c r="A815" s="405">
        <v>4589</v>
      </c>
      <c r="B815" s="406">
        <v>4589</v>
      </c>
      <c r="C815" s="261" t="str">
        <f t="shared" si="121"/>
        <v>0001-0075</v>
      </c>
      <c r="D815" s="261" t="str">
        <f t="shared" si="122"/>
        <v>0001-0075-0019</v>
      </c>
      <c r="E815" s="407" t="s">
        <v>283</v>
      </c>
      <c r="F815" s="261" t="str">
        <f>TEXT(VLOOKUP(J815,'[3]1'!$B$2:$D$37,2,0),"0000")</f>
        <v>0001</v>
      </c>
      <c r="G815" s="261" t="str">
        <f t="shared" si="123"/>
        <v>0075</v>
      </c>
      <c r="H815" s="408">
        <f t="shared" si="124"/>
        <v>19</v>
      </c>
      <c r="I815" s="407" t="s">
        <v>283</v>
      </c>
      <c r="J815" s="413" t="s">
        <v>828</v>
      </c>
      <c r="K815" s="413" t="s">
        <v>2728</v>
      </c>
      <c r="L815" s="397" t="s">
        <v>3383</v>
      </c>
      <c r="M815" s="425">
        <v>33000000</v>
      </c>
      <c r="N815" s="394">
        <v>2151</v>
      </c>
      <c r="O815" s="393" t="s">
        <v>78</v>
      </c>
      <c r="P815" s="258" t="s">
        <v>1965</v>
      </c>
      <c r="Q815" s="413" t="s">
        <v>72</v>
      </c>
      <c r="R815" s="395">
        <v>9</v>
      </c>
      <c r="S815" s="410">
        <v>1</v>
      </c>
      <c r="T815" s="261">
        <v>6</v>
      </c>
      <c r="U815" s="261">
        <v>6</v>
      </c>
      <c r="V815" s="258" t="s">
        <v>1969</v>
      </c>
      <c r="W815" s="261" t="str">
        <f t="shared" si="126"/>
        <v>기아자동차카니발2.2 디젤 프레스티지 (9인승)33000000</v>
      </c>
      <c r="X815" s="411">
        <f t="shared" si="127"/>
        <v>4589</v>
      </c>
      <c r="Y815" s="261">
        <v>6</v>
      </c>
      <c r="Z815" s="261">
        <v>6</v>
      </c>
      <c r="AA815" s="407" t="s">
        <v>283</v>
      </c>
      <c r="AB815" s="258" t="s">
        <v>1965</v>
      </c>
      <c r="AC815" s="258"/>
      <c r="AD815" s="258">
        <v>5</v>
      </c>
      <c r="AE815" s="258" t="s">
        <v>2129</v>
      </c>
      <c r="AF815" s="259"/>
      <c r="AG815" s="260"/>
      <c r="AH815" s="259"/>
      <c r="AI815" s="259"/>
      <c r="AJ815" s="260"/>
      <c r="AK815" s="259">
        <v>26</v>
      </c>
      <c r="AL815" s="259"/>
      <c r="AM815" s="259" t="s">
        <v>3189</v>
      </c>
      <c r="AN815" s="449"/>
      <c r="AO815" s="449"/>
      <c r="AP815" s="449"/>
      <c r="AQ815" s="392" t="str">
        <f>IFERROR(VLOOKUP(BG815,#REF!,1,0),"")</f>
        <v/>
      </c>
      <c r="AS815" s="259" t="s">
        <v>3189</v>
      </c>
      <c r="BD815" s="202" t="str">
        <f t="shared" si="119"/>
        <v>카니발2.2 디젤 프레스티지 (9인승)</v>
      </c>
      <c r="BE815" s="261" t="str">
        <f t="shared" si="125"/>
        <v>0075</v>
      </c>
      <c r="BF815" s="407" t="s">
        <v>283</v>
      </c>
      <c r="BG815" s="202" t="str">
        <f t="shared" si="120"/>
        <v>0075-0814</v>
      </c>
    </row>
    <row r="816" spans="1:59">
      <c r="A816" s="405">
        <v>4590</v>
      </c>
      <c r="B816" s="406">
        <v>4590</v>
      </c>
      <c r="C816" s="261" t="str">
        <f t="shared" si="121"/>
        <v>0001-0075</v>
      </c>
      <c r="D816" s="261" t="str">
        <f t="shared" si="122"/>
        <v>0001-0075-0020</v>
      </c>
      <c r="E816" s="407" t="s">
        <v>282</v>
      </c>
      <c r="F816" s="261" t="str">
        <f>TEXT(VLOOKUP(J816,'[3]1'!$B$2:$D$37,2,0),"0000")</f>
        <v>0001</v>
      </c>
      <c r="G816" s="261" t="str">
        <f t="shared" si="123"/>
        <v>0075</v>
      </c>
      <c r="H816" s="408">
        <f t="shared" si="124"/>
        <v>20</v>
      </c>
      <c r="I816" s="407" t="s">
        <v>282</v>
      </c>
      <c r="J816" s="413" t="s">
        <v>828</v>
      </c>
      <c r="K816" s="413" t="s">
        <v>2728</v>
      </c>
      <c r="L816" s="397" t="s">
        <v>3384</v>
      </c>
      <c r="M816" s="425">
        <v>33000000</v>
      </c>
      <c r="N816" s="394">
        <v>2151</v>
      </c>
      <c r="O816" s="393" t="s">
        <v>78</v>
      </c>
      <c r="P816" s="393" t="s">
        <v>2890</v>
      </c>
      <c r="Q816" s="413" t="s">
        <v>72</v>
      </c>
      <c r="R816" s="395">
        <v>11</v>
      </c>
      <c r="S816" s="410">
        <v>1</v>
      </c>
      <c r="T816" s="261">
        <v>6</v>
      </c>
      <c r="U816" s="261">
        <v>6</v>
      </c>
      <c r="V816" s="258" t="s">
        <v>1969</v>
      </c>
      <c r="W816" s="261" t="str">
        <f t="shared" si="126"/>
        <v>기아자동차카니발2.2 디젤 프레스티지 (11인승)33000000</v>
      </c>
      <c r="X816" s="411">
        <f t="shared" si="127"/>
        <v>4590</v>
      </c>
      <c r="Y816" s="261">
        <v>6</v>
      </c>
      <c r="Z816" s="261">
        <v>6</v>
      </c>
      <c r="AA816" s="407" t="s">
        <v>282</v>
      </c>
      <c r="AB816" s="393" t="s">
        <v>2890</v>
      </c>
      <c r="AC816" s="258"/>
      <c r="AD816" s="258">
        <v>5</v>
      </c>
      <c r="AE816" s="258" t="s">
        <v>2129</v>
      </c>
      <c r="AF816" s="259"/>
      <c r="AG816" s="260"/>
      <c r="AH816" s="259"/>
      <c r="AI816" s="259"/>
      <c r="AJ816" s="260"/>
      <c r="AK816" s="259">
        <v>26</v>
      </c>
      <c r="AL816" s="259"/>
      <c r="AM816" s="259" t="s">
        <v>3189</v>
      </c>
      <c r="AN816" s="449"/>
      <c r="AO816" s="449"/>
      <c r="AP816" s="449"/>
      <c r="AQ816" s="392" t="str">
        <f>IFERROR(VLOOKUP(BG816,#REF!,1,0),"")</f>
        <v/>
      </c>
      <c r="AS816" s="259" t="s">
        <v>3189</v>
      </c>
      <c r="BD816" s="202" t="str">
        <f t="shared" si="119"/>
        <v>카니발2.2 디젤 프레스티지 (11인승)</v>
      </c>
      <c r="BE816" s="261" t="str">
        <f t="shared" si="125"/>
        <v>0075</v>
      </c>
      <c r="BF816" s="407" t="s">
        <v>282</v>
      </c>
      <c r="BG816" s="202" t="str">
        <f t="shared" si="120"/>
        <v>0075-0815</v>
      </c>
    </row>
    <row r="817" spans="1:59">
      <c r="A817" s="405">
        <v>4591</v>
      </c>
      <c r="B817" s="406">
        <v>4591</v>
      </c>
      <c r="C817" s="261" t="str">
        <f t="shared" si="121"/>
        <v>0001-0075</v>
      </c>
      <c r="D817" s="261" t="str">
        <f t="shared" si="122"/>
        <v>0001-0075-0021</v>
      </c>
      <c r="E817" s="407" t="s">
        <v>281</v>
      </c>
      <c r="F817" s="261" t="str">
        <f>TEXT(VLOOKUP(J817,'[3]1'!$B$2:$D$37,2,0),"0000")</f>
        <v>0001</v>
      </c>
      <c r="G817" s="261" t="str">
        <f t="shared" si="123"/>
        <v>0075</v>
      </c>
      <c r="H817" s="408">
        <f t="shared" si="124"/>
        <v>21</v>
      </c>
      <c r="I817" s="407" t="s">
        <v>281</v>
      </c>
      <c r="J817" s="258" t="s">
        <v>828</v>
      </c>
      <c r="K817" s="258" t="s">
        <v>2728</v>
      </c>
      <c r="L817" s="397" t="s">
        <v>3385</v>
      </c>
      <c r="M817" s="425">
        <v>39400000</v>
      </c>
      <c r="N817" s="394">
        <v>2151</v>
      </c>
      <c r="O817" s="393" t="s">
        <v>78</v>
      </c>
      <c r="P817" s="258" t="s">
        <v>1965</v>
      </c>
      <c r="Q817" s="258" t="s">
        <v>72</v>
      </c>
      <c r="R817" s="395">
        <v>7</v>
      </c>
      <c r="S817" s="424">
        <v>2</v>
      </c>
      <c r="T817" s="261">
        <v>6</v>
      </c>
      <c r="U817" s="261">
        <v>6</v>
      </c>
      <c r="V817" s="258" t="s">
        <v>1969</v>
      </c>
      <c r="W817" s="261" t="str">
        <f t="shared" si="126"/>
        <v>기아자동차카니발KA4 2.2 디젤 아웃도어 노블레스 (7인승)39400000</v>
      </c>
      <c r="X817" s="411">
        <f t="shared" si="127"/>
        <v>4591</v>
      </c>
      <c r="Y817" s="261">
        <v>6</v>
      </c>
      <c r="Z817" s="261">
        <v>6</v>
      </c>
      <c r="AA817" s="407" t="s">
        <v>281</v>
      </c>
      <c r="AB817" s="258" t="s">
        <v>1965</v>
      </c>
      <c r="AC817" s="258"/>
      <c r="AD817" s="258" t="s">
        <v>2131</v>
      </c>
      <c r="AE817" s="258" t="s">
        <v>2129</v>
      </c>
      <c r="AF817" s="259"/>
      <c r="AG817" s="260"/>
      <c r="AH817" s="259"/>
      <c r="AI817" s="259"/>
      <c r="AJ817" s="260"/>
      <c r="AK817" s="259">
        <v>26</v>
      </c>
      <c r="AL817" s="259"/>
      <c r="AM817" s="259" t="s">
        <v>3233</v>
      </c>
      <c r="AN817" s="449"/>
      <c r="AO817" s="449"/>
      <c r="AP817" s="449"/>
      <c r="AQ817" s="392" t="str">
        <f>IFERROR(VLOOKUP(BG817,#REF!,1,0),"")</f>
        <v/>
      </c>
      <c r="AS817" s="259" t="s">
        <v>3372</v>
      </c>
      <c r="AX817" s="392">
        <v>2024.02</v>
      </c>
      <c r="BB817" s="202" t="s">
        <v>3382</v>
      </c>
      <c r="BD817" s="202" t="str">
        <f t="shared" si="119"/>
        <v>카니발KA4 2.2 디젤 아웃도어 노블레스 (7인승)</v>
      </c>
      <c r="BE817" s="261" t="str">
        <f t="shared" si="125"/>
        <v>0075</v>
      </c>
      <c r="BF817" s="407" t="s">
        <v>281</v>
      </c>
      <c r="BG817" s="202" t="str">
        <f t="shared" si="120"/>
        <v>0075-0816</v>
      </c>
    </row>
    <row r="818" spans="1:59">
      <c r="A818" s="405">
        <v>4592</v>
      </c>
      <c r="B818" s="406">
        <v>4592</v>
      </c>
      <c r="C818" s="261" t="str">
        <f t="shared" si="121"/>
        <v>0001-0075</v>
      </c>
      <c r="D818" s="261" t="str">
        <f t="shared" si="122"/>
        <v>0001-0075-0022</v>
      </c>
      <c r="E818" s="407" t="s">
        <v>280</v>
      </c>
      <c r="F818" s="261" t="str">
        <f>TEXT(VLOOKUP(J818,'[3]1'!$B$2:$D$37,2,0),"0000")</f>
        <v>0001</v>
      </c>
      <c r="G818" s="261" t="str">
        <f t="shared" si="123"/>
        <v>0075</v>
      </c>
      <c r="H818" s="408">
        <f t="shared" si="124"/>
        <v>22</v>
      </c>
      <c r="I818" s="407" t="s">
        <v>280</v>
      </c>
      <c r="J818" s="258" t="s">
        <v>828</v>
      </c>
      <c r="K818" s="258" t="s">
        <v>2728</v>
      </c>
      <c r="L818" s="397" t="s">
        <v>3401</v>
      </c>
      <c r="M818" s="425">
        <v>41300000</v>
      </c>
      <c r="N818" s="394">
        <v>2151</v>
      </c>
      <c r="O818" s="393" t="s">
        <v>78</v>
      </c>
      <c r="P818" s="258" t="s">
        <v>1965</v>
      </c>
      <c r="Q818" s="258" t="s">
        <v>72</v>
      </c>
      <c r="R818" s="395">
        <v>9</v>
      </c>
      <c r="S818" s="410">
        <v>1</v>
      </c>
      <c r="T818" s="261">
        <v>6</v>
      </c>
      <c r="U818" s="261">
        <v>6</v>
      </c>
      <c r="V818" s="258" t="s">
        <v>1969</v>
      </c>
      <c r="W818" s="261" t="str">
        <f t="shared" si="126"/>
        <v>기아자동차카니발2.2 디젤 시그니처 (9인승)41300000</v>
      </c>
      <c r="X818" s="411">
        <f t="shared" si="127"/>
        <v>4592</v>
      </c>
      <c r="Y818" s="261">
        <v>6</v>
      </c>
      <c r="Z818" s="261">
        <v>6</v>
      </c>
      <c r="AA818" s="407" t="s">
        <v>280</v>
      </c>
      <c r="AB818" s="258" t="s">
        <v>1965</v>
      </c>
      <c r="AC818" s="258"/>
      <c r="AD818" s="258" t="s">
        <v>2131</v>
      </c>
      <c r="AE818" s="258" t="s">
        <v>2129</v>
      </c>
      <c r="AF818" s="259"/>
      <c r="AG818" s="260"/>
      <c r="AH818" s="259"/>
      <c r="AI818" s="259"/>
      <c r="AJ818" s="260"/>
      <c r="AK818" s="259">
        <v>26</v>
      </c>
      <c r="AL818" s="259"/>
      <c r="AM818" s="259" t="s">
        <v>3189</v>
      </c>
      <c r="AN818" s="449"/>
      <c r="AO818" s="449"/>
      <c r="AP818" s="449"/>
      <c r="AQ818" s="392" t="str">
        <f>IFERROR(VLOOKUP(BG818,#REF!,1,0),"")</f>
        <v/>
      </c>
      <c r="AS818" s="259" t="s">
        <v>3189</v>
      </c>
      <c r="BD818" s="202" t="str">
        <f t="shared" si="119"/>
        <v>카니발2.2 디젤 시그니처 (9인승)</v>
      </c>
      <c r="BE818" s="261" t="str">
        <f t="shared" si="125"/>
        <v>0075</v>
      </c>
      <c r="BF818" s="407" t="s">
        <v>280</v>
      </c>
      <c r="BG818" s="202" t="str">
        <f t="shared" si="120"/>
        <v>0075-0817</v>
      </c>
    </row>
    <row r="819" spans="1:59">
      <c r="A819" s="405">
        <v>4593</v>
      </c>
      <c r="B819" s="406">
        <v>4593</v>
      </c>
      <c r="C819" s="261" t="str">
        <f t="shared" si="121"/>
        <v>0001-0075</v>
      </c>
      <c r="D819" s="261" t="str">
        <f t="shared" si="122"/>
        <v>0001-0075-0023</v>
      </c>
      <c r="E819" s="407" t="s">
        <v>279</v>
      </c>
      <c r="F819" s="261" t="str">
        <f>TEXT(VLOOKUP(J819,'[3]1'!$B$2:$D$37,2,0),"0000")</f>
        <v>0001</v>
      </c>
      <c r="G819" s="261" t="str">
        <f t="shared" si="123"/>
        <v>0075</v>
      </c>
      <c r="H819" s="408">
        <f t="shared" si="124"/>
        <v>23</v>
      </c>
      <c r="I819" s="407" t="s">
        <v>279</v>
      </c>
      <c r="J819" s="258" t="s">
        <v>828</v>
      </c>
      <c r="K819" s="258" t="s">
        <v>2728</v>
      </c>
      <c r="L819" s="397" t="s">
        <v>3402</v>
      </c>
      <c r="M819" s="425">
        <v>44600000</v>
      </c>
      <c r="N819" s="394">
        <v>2151</v>
      </c>
      <c r="O819" s="393" t="s">
        <v>78</v>
      </c>
      <c r="P819" s="258" t="s">
        <v>1965</v>
      </c>
      <c r="Q819" s="258" t="s">
        <v>72</v>
      </c>
      <c r="R819" s="395">
        <v>7</v>
      </c>
      <c r="S819" s="410">
        <v>2</v>
      </c>
      <c r="T819" s="261">
        <v>6</v>
      </c>
      <c r="U819" s="261">
        <v>6</v>
      </c>
      <c r="V819" s="258" t="s">
        <v>1969</v>
      </c>
      <c r="W819" s="261" t="str">
        <f t="shared" si="126"/>
        <v>기아자동차카니발2.2 디젤 시그니처 (7인승)44600000</v>
      </c>
      <c r="X819" s="411">
        <f t="shared" si="127"/>
        <v>4593</v>
      </c>
      <c r="Y819" s="261">
        <v>6</v>
      </c>
      <c r="Z819" s="261">
        <v>6</v>
      </c>
      <c r="AA819" s="407" t="s">
        <v>279</v>
      </c>
      <c r="AB819" s="258" t="s">
        <v>1965</v>
      </c>
      <c r="AC819" s="258"/>
      <c r="AD819" s="258" t="s">
        <v>2131</v>
      </c>
      <c r="AE819" s="258" t="s">
        <v>2129</v>
      </c>
      <c r="AF819" s="259"/>
      <c r="AG819" s="260"/>
      <c r="AH819" s="259"/>
      <c r="AI819" s="259"/>
      <c r="AJ819" s="260"/>
      <c r="AK819" s="259">
        <v>26</v>
      </c>
      <c r="AL819" s="259"/>
      <c r="AM819" s="259" t="s">
        <v>3223</v>
      </c>
      <c r="AN819" s="449"/>
      <c r="AO819" s="449"/>
      <c r="AP819" s="449"/>
      <c r="AQ819" s="392" t="str">
        <f>IFERROR(VLOOKUP(BG819,#REF!,1,0),"")</f>
        <v/>
      </c>
      <c r="AS819" s="259" t="s">
        <v>3223</v>
      </c>
      <c r="BD819" s="202" t="str">
        <f t="shared" si="119"/>
        <v>카니발2.2 디젤 시그니처 (7인승)</v>
      </c>
      <c r="BE819" s="261" t="str">
        <f t="shared" si="125"/>
        <v>0075</v>
      </c>
      <c r="BF819" s="407" t="s">
        <v>279</v>
      </c>
      <c r="BG819" s="202" t="str">
        <f t="shared" si="120"/>
        <v>0075-0818</v>
      </c>
    </row>
    <row r="820" spans="1:59">
      <c r="A820" s="405">
        <v>4594</v>
      </c>
      <c r="B820" s="406">
        <v>4594</v>
      </c>
      <c r="C820" s="261" t="str">
        <f t="shared" si="121"/>
        <v>0001-0075</v>
      </c>
      <c r="D820" s="261" t="str">
        <f t="shared" si="122"/>
        <v>0001-0075-0024</v>
      </c>
      <c r="E820" s="407" t="s">
        <v>278</v>
      </c>
      <c r="F820" s="261" t="str">
        <f>TEXT(VLOOKUP(J820,'[3]1'!$B$2:$D$37,2,0),"0000")</f>
        <v>0001</v>
      </c>
      <c r="G820" s="261" t="str">
        <f t="shared" si="123"/>
        <v>0075</v>
      </c>
      <c r="H820" s="408">
        <f t="shared" si="124"/>
        <v>24</v>
      </c>
      <c r="I820" s="407" t="s">
        <v>278</v>
      </c>
      <c r="J820" s="258" t="s">
        <v>828</v>
      </c>
      <c r="K820" s="258" t="s">
        <v>2728</v>
      </c>
      <c r="L820" s="397" t="s">
        <v>3120</v>
      </c>
      <c r="M820" s="425">
        <v>41300000</v>
      </c>
      <c r="N820" s="394">
        <v>2151</v>
      </c>
      <c r="O820" s="393" t="s">
        <v>78</v>
      </c>
      <c r="P820" s="393" t="s">
        <v>2890</v>
      </c>
      <c r="Q820" s="258" t="s">
        <v>72</v>
      </c>
      <c r="R820" s="395">
        <v>11</v>
      </c>
      <c r="S820" s="410">
        <v>1</v>
      </c>
      <c r="T820" s="261">
        <v>6</v>
      </c>
      <c r="U820" s="261">
        <v>6</v>
      </c>
      <c r="V820" s="258" t="s">
        <v>1969</v>
      </c>
      <c r="W820" s="261" t="str">
        <f t="shared" si="126"/>
        <v>기아자동차카니발KA4 2.2 디젤 시그니처 (11인승)41300000</v>
      </c>
      <c r="X820" s="411">
        <f t="shared" si="127"/>
        <v>4594</v>
      </c>
      <c r="Y820" s="261">
        <v>6</v>
      </c>
      <c r="Z820" s="261">
        <v>6</v>
      </c>
      <c r="AA820" s="407" t="s">
        <v>278</v>
      </c>
      <c r="AB820" s="393" t="s">
        <v>2890</v>
      </c>
      <c r="AC820" s="258"/>
      <c r="AD820" s="258" t="s">
        <v>2131</v>
      </c>
      <c r="AE820" s="258" t="s">
        <v>2129</v>
      </c>
      <c r="AF820" s="259"/>
      <c r="AG820" s="260"/>
      <c r="AH820" s="259"/>
      <c r="AI820" s="259"/>
      <c r="AJ820" s="260"/>
      <c r="AK820" s="259">
        <v>26</v>
      </c>
      <c r="AL820" s="259"/>
      <c r="AM820" s="259" t="s">
        <v>3189</v>
      </c>
      <c r="AN820" s="449"/>
      <c r="AO820" s="449"/>
      <c r="AP820" s="449"/>
      <c r="AQ820" s="392" t="str">
        <f>IFERROR(VLOOKUP(BG820,#REF!,1,0),"")</f>
        <v/>
      </c>
      <c r="AS820" s="259" t="s">
        <v>3189</v>
      </c>
      <c r="BD820" s="202" t="str">
        <f t="shared" si="119"/>
        <v>카니발KA4 2.2 디젤 시그니처 (11인승)</v>
      </c>
      <c r="BE820" s="261" t="str">
        <f t="shared" si="125"/>
        <v>0075</v>
      </c>
      <c r="BF820" s="407" t="s">
        <v>278</v>
      </c>
      <c r="BG820" s="202" t="str">
        <f t="shared" si="120"/>
        <v>0075-0819</v>
      </c>
    </row>
    <row r="821" spans="1:59">
      <c r="A821" s="405">
        <v>4595</v>
      </c>
      <c r="B821" s="406">
        <v>4595</v>
      </c>
      <c r="C821" s="261" t="str">
        <f t="shared" si="121"/>
        <v>0001-0075</v>
      </c>
      <c r="D821" s="261" t="str">
        <f t="shared" si="122"/>
        <v>0001-0075-0025</v>
      </c>
      <c r="E821" s="407" t="s">
        <v>277</v>
      </c>
      <c r="F821" s="261" t="str">
        <f>TEXT(VLOOKUP(J821,'[3]1'!$B$2:$D$37,2,0),"0000")</f>
        <v>0001</v>
      </c>
      <c r="G821" s="261" t="str">
        <f t="shared" si="123"/>
        <v>0075</v>
      </c>
      <c r="H821" s="408">
        <f t="shared" si="124"/>
        <v>25</v>
      </c>
      <c r="I821" s="407" t="s">
        <v>277</v>
      </c>
      <c r="J821" s="258" t="s">
        <v>828</v>
      </c>
      <c r="K821" s="258" t="s">
        <v>2728</v>
      </c>
      <c r="L821" s="397" t="s">
        <v>3121</v>
      </c>
      <c r="M821" s="425">
        <v>37350000</v>
      </c>
      <c r="N821" s="394">
        <v>2151</v>
      </c>
      <c r="O821" s="393" t="s">
        <v>78</v>
      </c>
      <c r="P821" s="258" t="s">
        <v>1965</v>
      </c>
      <c r="Q821" s="258" t="s">
        <v>72</v>
      </c>
      <c r="R821" s="395">
        <v>9</v>
      </c>
      <c r="S821" s="410">
        <v>1</v>
      </c>
      <c r="T821" s="261">
        <v>6</v>
      </c>
      <c r="U821" s="261">
        <v>6</v>
      </c>
      <c r="V821" s="258" t="s">
        <v>1969</v>
      </c>
      <c r="W821" s="261" t="str">
        <f t="shared" si="126"/>
        <v>기아자동차카니발KA4 2.2 디젤 노블레스 (9인승)37350000</v>
      </c>
      <c r="X821" s="411">
        <f t="shared" si="127"/>
        <v>4595</v>
      </c>
      <c r="Y821" s="261">
        <v>6</v>
      </c>
      <c r="Z821" s="261">
        <v>6</v>
      </c>
      <c r="AA821" s="407" t="s">
        <v>277</v>
      </c>
      <c r="AB821" s="258" t="s">
        <v>1965</v>
      </c>
      <c r="AC821" s="258"/>
      <c r="AD821" s="258" t="s">
        <v>2131</v>
      </c>
      <c r="AE821" s="258" t="s">
        <v>2129</v>
      </c>
      <c r="AF821" s="259"/>
      <c r="AG821" s="260"/>
      <c r="AH821" s="259"/>
      <c r="AI821" s="259"/>
      <c r="AJ821" s="260"/>
      <c r="AK821" s="259">
        <v>26</v>
      </c>
      <c r="AL821" s="259"/>
      <c r="AM821" s="259" t="s">
        <v>3189</v>
      </c>
      <c r="AN821" s="449"/>
      <c r="AO821" s="449"/>
      <c r="AP821" s="449"/>
      <c r="AQ821" s="392" t="str">
        <f>IFERROR(VLOOKUP(BG821,#REF!,1,0),"")</f>
        <v/>
      </c>
      <c r="AS821" s="259" t="s">
        <v>3189</v>
      </c>
      <c r="BD821" s="202" t="str">
        <f t="shared" si="119"/>
        <v>카니발KA4 2.2 디젤 노블레스 (9인승)</v>
      </c>
      <c r="BE821" s="261" t="str">
        <f t="shared" si="125"/>
        <v>0075</v>
      </c>
      <c r="BF821" s="407" t="s">
        <v>277</v>
      </c>
      <c r="BG821" s="202" t="str">
        <f t="shared" si="120"/>
        <v>0075-0820</v>
      </c>
    </row>
    <row r="822" spans="1:59">
      <c r="A822" s="405">
        <v>4596</v>
      </c>
      <c r="B822" s="406">
        <v>4596</v>
      </c>
      <c r="C822" s="261" t="str">
        <f t="shared" si="121"/>
        <v>0001-0075</v>
      </c>
      <c r="D822" s="261" t="str">
        <f t="shared" si="122"/>
        <v>0001-0075-0026</v>
      </c>
      <c r="E822" s="407" t="s">
        <v>276</v>
      </c>
      <c r="F822" s="261" t="str">
        <f>TEXT(VLOOKUP(J822,'[3]1'!$B$2:$D$37,2,0),"0000")</f>
        <v>0001</v>
      </c>
      <c r="G822" s="261" t="str">
        <f t="shared" si="123"/>
        <v>0075</v>
      </c>
      <c r="H822" s="408">
        <f t="shared" si="124"/>
        <v>26</v>
      </c>
      <c r="I822" s="407" t="s">
        <v>276</v>
      </c>
      <c r="J822" s="258" t="s">
        <v>828</v>
      </c>
      <c r="K822" s="258" t="s">
        <v>2728</v>
      </c>
      <c r="L822" s="397" t="s">
        <v>3122</v>
      </c>
      <c r="M822" s="425">
        <v>40400000</v>
      </c>
      <c r="N822" s="394">
        <v>2151</v>
      </c>
      <c r="O822" s="393" t="s">
        <v>78</v>
      </c>
      <c r="P822" s="258" t="s">
        <v>1965</v>
      </c>
      <c r="Q822" s="258" t="s">
        <v>72</v>
      </c>
      <c r="R822" s="395">
        <v>7</v>
      </c>
      <c r="S822" s="410">
        <v>2</v>
      </c>
      <c r="T822" s="261">
        <v>6</v>
      </c>
      <c r="U822" s="261">
        <v>6</v>
      </c>
      <c r="V822" s="258" t="s">
        <v>1969</v>
      </c>
      <c r="W822" s="261" t="str">
        <f t="shared" si="126"/>
        <v>기아자동차카니발KA4 2.2 디젤 노블레스 (7인승)40400000</v>
      </c>
      <c r="X822" s="411">
        <f t="shared" si="127"/>
        <v>4596</v>
      </c>
      <c r="Y822" s="261">
        <v>6</v>
      </c>
      <c r="Z822" s="261">
        <v>6</v>
      </c>
      <c r="AA822" s="407" t="s">
        <v>276</v>
      </c>
      <c r="AB822" s="258" t="s">
        <v>1965</v>
      </c>
      <c r="AC822" s="258"/>
      <c r="AD822" s="258" t="s">
        <v>2131</v>
      </c>
      <c r="AE822" s="258" t="s">
        <v>2129</v>
      </c>
      <c r="AF822" s="259"/>
      <c r="AG822" s="260"/>
      <c r="AH822" s="259"/>
      <c r="AI822" s="259"/>
      <c r="AJ822" s="260"/>
      <c r="AK822" s="259">
        <v>26</v>
      </c>
      <c r="AL822" s="259"/>
      <c r="AM822" s="259" t="s">
        <v>3223</v>
      </c>
      <c r="AN822" s="449"/>
      <c r="AO822" s="449"/>
      <c r="AP822" s="449"/>
      <c r="AQ822" s="392" t="str">
        <f>IFERROR(VLOOKUP(BG822,#REF!,1,0),"")</f>
        <v/>
      </c>
      <c r="AS822" s="259" t="s">
        <v>3223</v>
      </c>
      <c r="BD822" s="202" t="str">
        <f t="shared" si="119"/>
        <v>카니발KA4 2.2 디젤 노블레스 (7인승)</v>
      </c>
      <c r="BE822" s="261" t="str">
        <f t="shared" si="125"/>
        <v>0075</v>
      </c>
      <c r="BF822" s="407" t="s">
        <v>276</v>
      </c>
      <c r="BG822" s="202" t="str">
        <f t="shared" si="120"/>
        <v>0075-0821</v>
      </c>
    </row>
    <row r="823" spans="1:59">
      <c r="A823" s="405">
        <v>4597</v>
      </c>
      <c r="B823" s="406">
        <v>4597</v>
      </c>
      <c r="C823" s="261" t="str">
        <f t="shared" si="121"/>
        <v>0001-0075</v>
      </c>
      <c r="D823" s="261" t="str">
        <f t="shared" si="122"/>
        <v>0001-0075-0027</v>
      </c>
      <c r="E823" s="407" t="s">
        <v>275</v>
      </c>
      <c r="F823" s="261" t="str">
        <f>TEXT(VLOOKUP(J823,'[3]1'!$B$2:$D$37,2,0),"0000")</f>
        <v>0001</v>
      </c>
      <c r="G823" s="261" t="str">
        <f t="shared" si="123"/>
        <v>0075</v>
      </c>
      <c r="H823" s="408">
        <f t="shared" si="124"/>
        <v>27</v>
      </c>
      <c r="I823" s="407" t="s">
        <v>275</v>
      </c>
      <c r="J823" s="258" t="s">
        <v>828</v>
      </c>
      <c r="K823" s="258" t="s">
        <v>2728</v>
      </c>
      <c r="L823" s="397" t="s">
        <v>3123</v>
      </c>
      <c r="M823" s="425">
        <v>37350000</v>
      </c>
      <c r="N823" s="394">
        <v>2151</v>
      </c>
      <c r="O823" s="393" t="s">
        <v>78</v>
      </c>
      <c r="P823" s="393" t="s">
        <v>2890</v>
      </c>
      <c r="Q823" s="258" t="s">
        <v>72</v>
      </c>
      <c r="R823" s="395">
        <v>11</v>
      </c>
      <c r="S823" s="410">
        <v>1</v>
      </c>
      <c r="T823" s="261">
        <v>6</v>
      </c>
      <c r="U823" s="261">
        <v>6</v>
      </c>
      <c r="V823" s="258" t="s">
        <v>1969</v>
      </c>
      <c r="W823" s="261" t="str">
        <f t="shared" si="126"/>
        <v>기아자동차카니발KA4 2.2 디젤 노블레스 (11인승)37350000</v>
      </c>
      <c r="X823" s="411">
        <f t="shared" si="127"/>
        <v>4597</v>
      </c>
      <c r="Y823" s="261">
        <v>6</v>
      </c>
      <c r="Z823" s="261">
        <v>6</v>
      </c>
      <c r="AA823" s="407" t="s">
        <v>275</v>
      </c>
      <c r="AB823" s="393" t="s">
        <v>2890</v>
      </c>
      <c r="AC823" s="258"/>
      <c r="AD823" s="258" t="s">
        <v>2131</v>
      </c>
      <c r="AE823" s="258" t="s">
        <v>2129</v>
      </c>
      <c r="AF823" s="259"/>
      <c r="AG823" s="260"/>
      <c r="AH823" s="259"/>
      <c r="AI823" s="259"/>
      <c r="AJ823" s="260"/>
      <c r="AK823" s="259">
        <v>26</v>
      </c>
      <c r="AL823" s="259"/>
      <c r="AM823" s="259" t="s">
        <v>3189</v>
      </c>
      <c r="AN823" s="449"/>
      <c r="AO823" s="449"/>
      <c r="AP823" s="449"/>
      <c r="AQ823" s="392" t="str">
        <f>IFERROR(VLOOKUP(BG823,#REF!,1,0),"")</f>
        <v/>
      </c>
      <c r="AS823" s="259" t="s">
        <v>3189</v>
      </c>
      <c r="BD823" s="202" t="str">
        <f t="shared" si="119"/>
        <v>카니발KA4 2.2 디젤 노블레스 (11인승)</v>
      </c>
      <c r="BE823" s="261" t="str">
        <f t="shared" si="125"/>
        <v>0075</v>
      </c>
      <c r="BF823" s="407" t="s">
        <v>275</v>
      </c>
      <c r="BG823" s="202" t="str">
        <f t="shared" si="120"/>
        <v>0075-0822</v>
      </c>
    </row>
    <row r="824" spans="1:59">
      <c r="A824" s="405">
        <v>4598</v>
      </c>
      <c r="B824" s="406">
        <v>4598</v>
      </c>
      <c r="C824" s="261" t="str">
        <f t="shared" si="121"/>
        <v>0036-0076</v>
      </c>
      <c r="D824" s="261" t="str">
        <f t="shared" si="122"/>
        <v>0036-0076-0001</v>
      </c>
      <c r="E824" s="407" t="s">
        <v>274</v>
      </c>
      <c r="F824" s="261" t="str">
        <f>TEXT(VLOOKUP(J824,'[3]1'!$B$2:$D$37,2,0),"0000")</f>
        <v>0036</v>
      </c>
      <c r="G824" s="261" t="str">
        <f t="shared" si="123"/>
        <v>0076</v>
      </c>
      <c r="H824" s="408">
        <f t="shared" si="124"/>
        <v>1</v>
      </c>
      <c r="I824" s="407" t="s">
        <v>274</v>
      </c>
      <c r="J824" s="258" t="s">
        <v>76</v>
      </c>
      <c r="K824" s="258" t="s">
        <v>3564</v>
      </c>
      <c r="L824" s="258" t="s">
        <v>3565</v>
      </c>
      <c r="M824" s="409">
        <v>68650000</v>
      </c>
      <c r="N824" s="258"/>
      <c r="O824" s="258" t="s">
        <v>2117</v>
      </c>
      <c r="P824" s="258" t="s">
        <v>73</v>
      </c>
      <c r="Q824" s="258" t="s">
        <v>72</v>
      </c>
      <c r="R824" s="258">
        <v>5</v>
      </c>
      <c r="S824" s="410">
        <v>26</v>
      </c>
      <c r="T824" s="261">
        <v>6</v>
      </c>
      <c r="U824" s="261">
        <v>6</v>
      </c>
      <c r="V824" s="258" t="s">
        <v>71</v>
      </c>
      <c r="W824" s="261" t="str">
        <f t="shared" si="126"/>
        <v>VOLVOC40 리차지트윈 얼티메이트68650000</v>
      </c>
      <c r="X824" s="411">
        <f t="shared" si="127"/>
        <v>4598</v>
      </c>
      <c r="Y824" s="261">
        <v>6</v>
      </c>
      <c r="Z824" s="261">
        <v>6</v>
      </c>
      <c r="AA824" s="407" t="s">
        <v>274</v>
      </c>
      <c r="AB824" s="258" t="s">
        <v>1965</v>
      </c>
      <c r="AC824" s="258"/>
      <c r="AD824" s="258">
        <v>4</v>
      </c>
      <c r="AE824" s="258">
        <v>0</v>
      </c>
      <c r="AF824" s="259"/>
      <c r="AG824" s="260"/>
      <c r="AH824" s="259"/>
      <c r="AI824" s="259"/>
      <c r="AJ824" s="259"/>
      <c r="AK824" s="259">
        <v>10</v>
      </c>
      <c r="AL824" s="259"/>
      <c r="AM824" s="259" t="s">
        <v>3659</v>
      </c>
      <c r="AN824" s="449"/>
      <c r="AO824" s="449"/>
      <c r="AP824" s="449"/>
      <c r="AQ824" s="392" t="str">
        <f>IFERROR(VLOOKUP(BG824,#REF!,1,0),"")</f>
        <v/>
      </c>
      <c r="AS824" s="259" t="s">
        <v>3232</v>
      </c>
      <c r="BD824" s="202" t="str">
        <f t="shared" si="119"/>
        <v>C40 리차지트윈 얼티메이트</v>
      </c>
      <c r="BE824" s="261" t="str">
        <f t="shared" si="125"/>
        <v>0076</v>
      </c>
      <c r="BF824" s="407" t="s">
        <v>274</v>
      </c>
      <c r="BG824" s="202" t="str">
        <f t="shared" si="120"/>
        <v>0076-0823</v>
      </c>
    </row>
    <row r="825" spans="1:59">
      <c r="A825" s="405">
        <v>4599</v>
      </c>
      <c r="B825" s="406">
        <v>4599</v>
      </c>
      <c r="C825" s="261" t="str">
        <f t="shared" si="121"/>
        <v>0036-0077</v>
      </c>
      <c r="D825" s="261" t="str">
        <f t="shared" si="122"/>
        <v>0036-0077-0001</v>
      </c>
      <c r="E825" s="407" t="s">
        <v>273</v>
      </c>
      <c r="F825" s="261" t="str">
        <f>TEXT(VLOOKUP(J825,'[3]1'!$B$2:$D$37,2,0),"0000")</f>
        <v>0036</v>
      </c>
      <c r="G825" s="261" t="str">
        <f t="shared" si="123"/>
        <v>0077</v>
      </c>
      <c r="H825" s="408">
        <f t="shared" si="124"/>
        <v>1</v>
      </c>
      <c r="I825" s="407" t="s">
        <v>273</v>
      </c>
      <c r="J825" s="258" t="s">
        <v>76</v>
      </c>
      <c r="K825" s="258" t="s">
        <v>81</v>
      </c>
      <c r="L825" s="258" t="s">
        <v>3563</v>
      </c>
      <c r="M825" s="409">
        <v>56400000</v>
      </c>
      <c r="N825" s="258">
        <v>1969</v>
      </c>
      <c r="O825" s="258" t="s">
        <v>77</v>
      </c>
      <c r="P825" s="258" t="s">
        <v>73</v>
      </c>
      <c r="Q825" s="258" t="s">
        <v>72</v>
      </c>
      <c r="R825" s="258">
        <v>5</v>
      </c>
      <c r="S825" s="410">
        <v>26</v>
      </c>
      <c r="T825" s="261">
        <v>6</v>
      </c>
      <c r="U825" s="261">
        <v>6</v>
      </c>
      <c r="V825" s="258" t="s">
        <v>71</v>
      </c>
      <c r="W825" s="261" t="str">
        <f t="shared" si="126"/>
        <v>VOLVOS60B5 얼티메이트 브라이트56400000</v>
      </c>
      <c r="X825" s="411">
        <f t="shared" si="127"/>
        <v>4599</v>
      </c>
      <c r="Y825" s="261">
        <v>6</v>
      </c>
      <c r="Z825" s="261">
        <v>6</v>
      </c>
      <c r="AA825" s="407" t="s">
        <v>273</v>
      </c>
      <c r="AB825" s="258" t="s">
        <v>1965</v>
      </c>
      <c r="AC825" s="258"/>
      <c r="AD825" s="258">
        <v>4</v>
      </c>
      <c r="AE825" s="258">
        <v>0</v>
      </c>
      <c r="AF825" s="259"/>
      <c r="AG825" s="260"/>
      <c r="AH825" s="259"/>
      <c r="AI825" s="259"/>
      <c r="AJ825" s="259"/>
      <c r="AK825" s="259">
        <v>10</v>
      </c>
      <c r="AL825" s="259"/>
      <c r="AM825" s="259" t="s">
        <v>3659</v>
      </c>
      <c r="AN825" s="449"/>
      <c r="AO825" s="449"/>
      <c r="AP825" s="449"/>
      <c r="AQ825" s="392" t="str">
        <f>IFERROR(VLOOKUP(BG825,#REF!,1,0),"")</f>
        <v/>
      </c>
      <c r="AS825" s="259" t="s">
        <v>3232</v>
      </c>
      <c r="BD825" s="202" t="str">
        <f t="shared" si="119"/>
        <v>S60B5 얼티메이트 브라이트</v>
      </c>
      <c r="BE825" s="261" t="str">
        <f t="shared" si="125"/>
        <v>0077</v>
      </c>
      <c r="BF825" s="407" t="s">
        <v>273</v>
      </c>
      <c r="BG825" s="202" t="str">
        <f t="shared" si="120"/>
        <v>0077-0824</v>
      </c>
    </row>
    <row r="826" spans="1:59">
      <c r="A826" s="405">
        <v>4600</v>
      </c>
      <c r="B826" s="406">
        <v>4600</v>
      </c>
      <c r="C826" s="261" t="str">
        <f t="shared" si="121"/>
        <v>0036-0078</v>
      </c>
      <c r="D826" s="261" t="str">
        <f t="shared" si="122"/>
        <v>0036-0078-0001</v>
      </c>
      <c r="E826" s="407" t="s">
        <v>272</v>
      </c>
      <c r="F826" s="261" t="str">
        <f>TEXT(VLOOKUP(J826,'[3]1'!$B$2:$D$37,2,0),"0000")</f>
        <v>0036</v>
      </c>
      <c r="G826" s="261" t="str">
        <f t="shared" si="123"/>
        <v>0078</v>
      </c>
      <c r="H826" s="408">
        <f t="shared" si="124"/>
        <v>1</v>
      </c>
      <c r="I826" s="407" t="s">
        <v>272</v>
      </c>
      <c r="J826" s="258" t="s">
        <v>76</v>
      </c>
      <c r="K826" s="258" t="s">
        <v>80</v>
      </c>
      <c r="L826" s="258" t="s">
        <v>3563</v>
      </c>
      <c r="M826" s="409">
        <v>70000000</v>
      </c>
      <c r="N826" s="258">
        <v>1969</v>
      </c>
      <c r="O826" s="258" t="s">
        <v>77</v>
      </c>
      <c r="P826" s="258" t="s">
        <v>73</v>
      </c>
      <c r="Q826" s="258" t="s">
        <v>72</v>
      </c>
      <c r="R826" s="258">
        <v>5</v>
      </c>
      <c r="S826" s="410">
        <v>26</v>
      </c>
      <c r="T826" s="261">
        <v>6</v>
      </c>
      <c r="U826" s="261">
        <v>6</v>
      </c>
      <c r="V826" s="258" t="s">
        <v>71</v>
      </c>
      <c r="W826" s="261" t="str">
        <f t="shared" si="126"/>
        <v>VOLVOS90B5 얼티메이트 브라이트70000000</v>
      </c>
      <c r="X826" s="411">
        <f t="shared" si="127"/>
        <v>4600</v>
      </c>
      <c r="Y826" s="261">
        <v>6</v>
      </c>
      <c r="Z826" s="261">
        <v>6</v>
      </c>
      <c r="AA826" s="407" t="s">
        <v>272</v>
      </c>
      <c r="AB826" s="258" t="s">
        <v>73</v>
      </c>
      <c r="AC826" s="258"/>
      <c r="AD826" s="258">
        <v>5</v>
      </c>
      <c r="AE826" s="258">
        <v>0</v>
      </c>
      <c r="AF826" s="259"/>
      <c r="AG826" s="260"/>
      <c r="AH826" s="259"/>
      <c r="AI826" s="259"/>
      <c r="AJ826" s="259"/>
      <c r="AK826" s="259">
        <v>10</v>
      </c>
      <c r="AL826" s="259"/>
      <c r="AM826" s="259" t="s">
        <v>3659</v>
      </c>
      <c r="AN826" s="449"/>
      <c r="AO826" s="449"/>
      <c r="AP826" s="449"/>
      <c r="AS826" s="259" t="s">
        <v>3681</v>
      </c>
      <c r="BD826" s="202" t="str">
        <f t="shared" si="119"/>
        <v>S90B5 얼티메이트 브라이트</v>
      </c>
      <c r="BE826" s="261" t="str">
        <f t="shared" si="125"/>
        <v>0078</v>
      </c>
      <c r="BF826" s="407" t="s">
        <v>272</v>
      </c>
      <c r="BG826" s="202" t="str">
        <f t="shared" si="120"/>
        <v>0078-0825</v>
      </c>
    </row>
    <row r="827" spans="1:59">
      <c r="A827" s="405">
        <v>4601</v>
      </c>
      <c r="B827" s="406">
        <v>4601</v>
      </c>
      <c r="C827" s="261" t="str">
        <f t="shared" si="121"/>
        <v>0036-0078</v>
      </c>
      <c r="D827" s="261" t="str">
        <f t="shared" si="122"/>
        <v>0036-0078-0002</v>
      </c>
      <c r="E827" s="407" t="s">
        <v>271</v>
      </c>
      <c r="F827" s="261" t="str">
        <f>TEXT(VLOOKUP(J827,'[3]1'!$B$2:$D$37,2,0),"0000")</f>
        <v>0036</v>
      </c>
      <c r="G827" s="261" t="str">
        <f t="shared" si="123"/>
        <v>0078</v>
      </c>
      <c r="H827" s="408">
        <f t="shared" si="124"/>
        <v>2</v>
      </c>
      <c r="I827" s="407" t="s">
        <v>271</v>
      </c>
      <c r="J827" s="258" t="s">
        <v>76</v>
      </c>
      <c r="K827" s="258" t="s">
        <v>80</v>
      </c>
      <c r="L827" s="258" t="s">
        <v>3560</v>
      </c>
      <c r="M827" s="409">
        <v>74000000</v>
      </c>
      <c r="N827" s="258">
        <v>1969</v>
      </c>
      <c r="O827" s="258" t="s">
        <v>77</v>
      </c>
      <c r="P827" s="258" t="s">
        <v>73</v>
      </c>
      <c r="Q827" s="258" t="s">
        <v>72</v>
      </c>
      <c r="R827" s="258">
        <v>5</v>
      </c>
      <c r="S827" s="410">
        <v>26</v>
      </c>
      <c r="T827" s="261">
        <v>6</v>
      </c>
      <c r="U827" s="261">
        <v>6</v>
      </c>
      <c r="V827" s="258" t="s">
        <v>71</v>
      </c>
      <c r="W827" s="261" t="str">
        <f t="shared" si="126"/>
        <v>VOLVOS90B6 AWD 얼티메이트 브라이트74000000</v>
      </c>
      <c r="X827" s="411">
        <f t="shared" si="127"/>
        <v>4601</v>
      </c>
      <c r="Y827" s="261">
        <v>6</v>
      </c>
      <c r="Z827" s="261">
        <v>6</v>
      </c>
      <c r="AA827" s="407" t="s">
        <v>271</v>
      </c>
      <c r="AB827" s="258" t="s">
        <v>73</v>
      </c>
      <c r="AC827" s="258"/>
      <c r="AD827" s="258">
        <v>5</v>
      </c>
      <c r="AE827" s="258">
        <v>0</v>
      </c>
      <c r="AF827" s="259"/>
      <c r="AG827" s="260"/>
      <c r="AH827" s="259"/>
      <c r="AI827" s="259"/>
      <c r="AJ827" s="259"/>
      <c r="AK827" s="259">
        <v>10</v>
      </c>
      <c r="AL827" s="259"/>
      <c r="AM827" s="259" t="s">
        <v>3659</v>
      </c>
      <c r="AN827" s="449"/>
      <c r="AO827" s="449"/>
      <c r="AP827" s="449"/>
      <c r="AS827" s="259" t="s">
        <v>3681</v>
      </c>
      <c r="BD827" s="202" t="str">
        <f t="shared" si="119"/>
        <v>S90B6 AWD 얼티메이트 브라이트</v>
      </c>
      <c r="BE827" s="261" t="str">
        <f t="shared" si="125"/>
        <v>0078</v>
      </c>
      <c r="BF827" s="407" t="s">
        <v>271</v>
      </c>
      <c r="BG827" s="202" t="str">
        <f t="shared" si="120"/>
        <v>0078-0826</v>
      </c>
    </row>
    <row r="828" spans="1:59">
      <c r="A828" s="405">
        <v>4602</v>
      </c>
      <c r="B828" s="406">
        <v>4602</v>
      </c>
      <c r="C828" s="261" t="str">
        <f t="shared" si="121"/>
        <v>0036-0078</v>
      </c>
      <c r="D828" s="261" t="str">
        <f t="shared" si="122"/>
        <v>0036-0078-0003</v>
      </c>
      <c r="E828" s="407" t="s">
        <v>270</v>
      </c>
      <c r="F828" s="261" t="str">
        <f>TEXT(VLOOKUP(J828,'[3]1'!$B$2:$D$37,2,0),"0000")</f>
        <v>0036</v>
      </c>
      <c r="G828" s="261" t="str">
        <f t="shared" si="123"/>
        <v>0078</v>
      </c>
      <c r="H828" s="408">
        <f t="shared" si="124"/>
        <v>3</v>
      </c>
      <c r="I828" s="407" t="s">
        <v>270</v>
      </c>
      <c r="J828" s="258" t="s">
        <v>76</v>
      </c>
      <c r="K828" s="258" t="s">
        <v>80</v>
      </c>
      <c r="L828" s="258" t="s">
        <v>3561</v>
      </c>
      <c r="M828" s="409">
        <v>86470000</v>
      </c>
      <c r="N828" s="258">
        <v>1969</v>
      </c>
      <c r="O828" s="258" t="s">
        <v>1173</v>
      </c>
      <c r="P828" s="258" t="s">
        <v>73</v>
      </c>
      <c r="Q828" s="258" t="s">
        <v>72</v>
      </c>
      <c r="R828" s="258">
        <v>5</v>
      </c>
      <c r="S828" s="410">
        <v>26</v>
      </c>
      <c r="T828" s="261">
        <v>6</v>
      </c>
      <c r="U828" s="261">
        <v>6</v>
      </c>
      <c r="V828" s="258" t="s">
        <v>71</v>
      </c>
      <c r="W828" s="261" t="str">
        <f t="shared" si="126"/>
        <v>VOLVOS90T8 AWD 얼티메이트 브라이트86470000</v>
      </c>
      <c r="X828" s="411">
        <f t="shared" si="127"/>
        <v>4602</v>
      </c>
      <c r="Y828" s="261">
        <v>6</v>
      </c>
      <c r="Z828" s="261">
        <v>6</v>
      </c>
      <c r="AA828" s="407" t="s">
        <v>270</v>
      </c>
      <c r="AB828" s="258" t="s">
        <v>73</v>
      </c>
      <c r="AC828" s="258"/>
      <c r="AD828" s="258">
        <v>5</v>
      </c>
      <c r="AE828" s="258">
        <v>0</v>
      </c>
      <c r="AF828" s="259"/>
      <c r="AG828" s="260"/>
      <c r="AH828" s="259"/>
      <c r="AI828" s="259"/>
      <c r="AJ828" s="259"/>
      <c r="AK828" s="259">
        <v>10</v>
      </c>
      <c r="AL828" s="259"/>
      <c r="AM828" s="259" t="s">
        <v>3659</v>
      </c>
      <c r="AN828" s="449"/>
      <c r="AO828" s="449"/>
      <c r="AP828" s="449"/>
      <c r="AS828" s="259" t="s">
        <v>3681</v>
      </c>
      <c r="BD828" s="202" t="str">
        <f t="shared" si="119"/>
        <v>S90T8 AWD 얼티메이트 브라이트</v>
      </c>
      <c r="BE828" s="261" t="str">
        <f t="shared" si="125"/>
        <v>0078</v>
      </c>
      <c r="BF828" s="407" t="s">
        <v>270</v>
      </c>
      <c r="BG828" s="202" t="str">
        <f t="shared" si="120"/>
        <v>0078-0827</v>
      </c>
    </row>
    <row r="829" spans="1:59">
      <c r="A829" s="405">
        <v>4603</v>
      </c>
      <c r="B829" s="406">
        <v>4603</v>
      </c>
      <c r="C829" s="261" t="str">
        <f t="shared" si="121"/>
        <v>0036-0079</v>
      </c>
      <c r="D829" s="261" t="str">
        <f t="shared" si="122"/>
        <v>0036-0079-0001</v>
      </c>
      <c r="E829" s="407" t="s">
        <v>269</v>
      </c>
      <c r="F829" s="261" t="str">
        <f>TEXT(VLOOKUP(J829,'[3]1'!$B$2:$D$37,2,0),"0000")</f>
        <v>0036</v>
      </c>
      <c r="G829" s="261" t="str">
        <f t="shared" si="123"/>
        <v>0079</v>
      </c>
      <c r="H829" s="408">
        <f t="shared" si="124"/>
        <v>1</v>
      </c>
      <c r="I829" s="407" t="s">
        <v>269</v>
      </c>
      <c r="J829" s="258" t="s">
        <v>76</v>
      </c>
      <c r="K829" s="258" t="s">
        <v>3903</v>
      </c>
      <c r="L829" s="258" t="s">
        <v>3904</v>
      </c>
      <c r="M829" s="409">
        <v>55500000</v>
      </c>
      <c r="N829" s="258">
        <v>1969</v>
      </c>
      <c r="O829" s="258" t="s">
        <v>3800</v>
      </c>
      <c r="P829" s="258" t="s">
        <v>73</v>
      </c>
      <c r="Q829" s="258" t="s">
        <v>72</v>
      </c>
      <c r="R829" s="258">
        <v>5</v>
      </c>
      <c r="S829" s="410">
        <v>15</v>
      </c>
      <c r="T829" s="261">
        <v>6</v>
      </c>
      <c r="U829" s="261">
        <v>6</v>
      </c>
      <c r="V829" s="258" t="s">
        <v>71</v>
      </c>
      <c r="W829" s="261" t="str">
        <f t="shared" si="126"/>
        <v>VOLVOV60크로스컨트리 B5 플러스55500000</v>
      </c>
      <c r="X829" s="411">
        <f t="shared" si="127"/>
        <v>4603</v>
      </c>
      <c r="Y829" s="261">
        <v>6</v>
      </c>
      <c r="Z829" s="261">
        <v>6</v>
      </c>
      <c r="AA829" s="407" t="s">
        <v>269</v>
      </c>
      <c r="AB829" s="258" t="s">
        <v>3682</v>
      </c>
      <c r="AC829" s="258"/>
      <c r="AD829" s="258">
        <v>4</v>
      </c>
      <c r="AE829" s="258">
        <v>0</v>
      </c>
      <c r="AF829" s="259"/>
      <c r="AG829" s="260"/>
      <c r="AH829" s="259"/>
      <c r="AI829" s="259"/>
      <c r="AJ829" s="259"/>
      <c r="AK829" s="259">
        <v>13</v>
      </c>
      <c r="AL829" s="259"/>
      <c r="AM829" s="259" t="s">
        <v>3780</v>
      </c>
      <c r="AN829" s="449"/>
      <c r="AO829" s="449"/>
      <c r="AP829" s="449"/>
      <c r="AQ829" s="392" t="str">
        <f>IFERROR(VLOOKUP(BG829,#REF!,1,0),"")</f>
        <v/>
      </c>
      <c r="AS829" s="259" t="s">
        <v>3233</v>
      </c>
      <c r="BD829" s="202" t="str">
        <f t="shared" si="119"/>
        <v>V60크로스컨트리 B5 플러스</v>
      </c>
      <c r="BE829" s="261" t="str">
        <f t="shared" si="125"/>
        <v>0079</v>
      </c>
      <c r="BF829" s="407" t="s">
        <v>269</v>
      </c>
      <c r="BG829" s="202" t="str">
        <f t="shared" si="120"/>
        <v>0079-0828</v>
      </c>
    </row>
    <row r="830" spans="1:59">
      <c r="A830" s="405">
        <v>4604</v>
      </c>
      <c r="B830" s="406">
        <v>4604</v>
      </c>
      <c r="C830" s="261" t="str">
        <f t="shared" si="121"/>
        <v>0036-0079</v>
      </c>
      <c r="D830" s="261" t="str">
        <f t="shared" si="122"/>
        <v>0036-0079-0002</v>
      </c>
      <c r="E830" s="407" t="s">
        <v>268</v>
      </c>
      <c r="F830" s="261" t="str">
        <f>TEXT(VLOOKUP(J830,'[3]1'!$B$2:$D$37,2,0),"0000")</f>
        <v>0036</v>
      </c>
      <c r="G830" s="261" t="str">
        <f t="shared" si="123"/>
        <v>0079</v>
      </c>
      <c r="H830" s="408">
        <f t="shared" si="124"/>
        <v>2</v>
      </c>
      <c r="I830" s="407" t="s">
        <v>268</v>
      </c>
      <c r="J830" s="258" t="s">
        <v>76</v>
      </c>
      <c r="K830" s="258" t="s">
        <v>3903</v>
      </c>
      <c r="L830" s="258" t="s">
        <v>3905</v>
      </c>
      <c r="M830" s="409">
        <v>60000000</v>
      </c>
      <c r="N830" s="258">
        <v>1969</v>
      </c>
      <c r="O830" s="258" t="s">
        <v>3800</v>
      </c>
      <c r="P830" s="258" t="s">
        <v>73</v>
      </c>
      <c r="Q830" s="258" t="s">
        <v>72</v>
      </c>
      <c r="R830" s="258">
        <v>5</v>
      </c>
      <c r="S830" s="410">
        <v>15</v>
      </c>
      <c r="T830" s="261">
        <v>6</v>
      </c>
      <c r="U830" s="261">
        <v>6</v>
      </c>
      <c r="V830" s="258" t="s">
        <v>71</v>
      </c>
      <c r="W830" s="261" t="str">
        <f t="shared" si="126"/>
        <v>VOLVOV60크로스컨트리 B5 얼티메이트60000000</v>
      </c>
      <c r="X830" s="411">
        <f t="shared" si="127"/>
        <v>4604</v>
      </c>
      <c r="Y830" s="261">
        <v>6</v>
      </c>
      <c r="Z830" s="261">
        <v>6</v>
      </c>
      <c r="AA830" s="407" t="s">
        <v>268</v>
      </c>
      <c r="AB830" s="258" t="s">
        <v>3682</v>
      </c>
      <c r="AC830" s="258"/>
      <c r="AD830" s="258">
        <v>4</v>
      </c>
      <c r="AE830" s="258">
        <v>0</v>
      </c>
      <c r="AF830" s="259"/>
      <c r="AG830" s="260"/>
      <c r="AH830" s="259"/>
      <c r="AI830" s="259"/>
      <c r="AJ830" s="259"/>
      <c r="AK830" s="259">
        <v>13</v>
      </c>
      <c r="AL830" s="259"/>
      <c r="AM830" s="259" t="s">
        <v>3780</v>
      </c>
      <c r="AN830" s="449"/>
      <c r="AO830" s="449"/>
      <c r="AP830" s="449"/>
      <c r="AQ830" s="392" t="str">
        <f>IFERROR(VLOOKUP(BG830,#REF!,1,0),"")</f>
        <v/>
      </c>
      <c r="AS830" s="259" t="s">
        <v>3233</v>
      </c>
      <c r="BD830" s="202" t="str">
        <f t="shared" si="119"/>
        <v>V60크로스컨트리 B5 얼티메이트</v>
      </c>
      <c r="BE830" s="261" t="str">
        <f t="shared" si="125"/>
        <v>0079</v>
      </c>
      <c r="BF830" s="407" t="s">
        <v>268</v>
      </c>
      <c r="BG830" s="202" t="str">
        <f t="shared" si="120"/>
        <v>0079-0829</v>
      </c>
    </row>
    <row r="831" spans="1:59">
      <c r="A831" s="405">
        <v>4605</v>
      </c>
      <c r="B831" s="406">
        <v>4605</v>
      </c>
      <c r="C831" s="261" t="str">
        <f t="shared" si="121"/>
        <v>0036-0080</v>
      </c>
      <c r="D831" s="261" t="str">
        <f t="shared" si="122"/>
        <v>0036-0080-0001</v>
      </c>
      <c r="E831" s="407" t="s">
        <v>267</v>
      </c>
      <c r="F831" s="261" t="str">
        <f>TEXT(VLOOKUP(J831,'[3]1'!$B$2:$D$37,2,0),"0000")</f>
        <v>0036</v>
      </c>
      <c r="G831" s="261" t="str">
        <f t="shared" si="123"/>
        <v>0080</v>
      </c>
      <c r="H831" s="408">
        <f t="shared" si="124"/>
        <v>1</v>
      </c>
      <c r="I831" s="407" t="s">
        <v>267</v>
      </c>
      <c r="J831" s="258" t="s">
        <v>76</v>
      </c>
      <c r="K831" s="258" t="s">
        <v>3906</v>
      </c>
      <c r="L831" s="258" t="s">
        <v>3908</v>
      </c>
      <c r="M831" s="409">
        <v>78200000</v>
      </c>
      <c r="N831" s="258">
        <v>1969</v>
      </c>
      <c r="O831" s="258" t="s">
        <v>77</v>
      </c>
      <c r="P831" s="258" t="s">
        <v>73</v>
      </c>
      <c r="Q831" s="258" t="s">
        <v>72</v>
      </c>
      <c r="R831" s="258">
        <v>5</v>
      </c>
      <c r="S831" s="410">
        <v>26</v>
      </c>
      <c r="T831" s="261">
        <v>6</v>
      </c>
      <c r="U831" s="261">
        <v>6</v>
      </c>
      <c r="V831" s="258" t="s">
        <v>71</v>
      </c>
      <c r="W831" s="261" t="str">
        <f t="shared" si="126"/>
        <v>VOLVOV90클로스컨트리 B5 AWD 플러스78200000</v>
      </c>
      <c r="X831" s="411">
        <f t="shared" si="127"/>
        <v>4605</v>
      </c>
      <c r="Y831" s="261">
        <v>6</v>
      </c>
      <c r="Z831" s="261">
        <v>6</v>
      </c>
      <c r="AA831" s="407" t="s">
        <v>267</v>
      </c>
      <c r="AB831" s="258" t="s">
        <v>70</v>
      </c>
      <c r="AC831" s="258"/>
      <c r="AD831" s="258">
        <v>6</v>
      </c>
      <c r="AE831" s="258">
        <v>0</v>
      </c>
      <c r="AF831" s="259"/>
      <c r="AG831" s="260"/>
      <c r="AH831" s="259"/>
      <c r="AI831" s="259"/>
      <c r="AJ831" s="259"/>
      <c r="AK831" s="259">
        <v>13</v>
      </c>
      <c r="AL831" s="259"/>
      <c r="AM831" s="259" t="s">
        <v>3662</v>
      </c>
      <c r="AN831" s="449"/>
      <c r="AO831" s="449"/>
      <c r="AP831" s="449"/>
      <c r="AQ831" s="392" t="str">
        <f>IFERROR(VLOOKUP(BG831,#REF!,1,0),"")</f>
        <v/>
      </c>
      <c r="AS831" s="259" t="s">
        <v>3233</v>
      </c>
      <c r="BD831" s="202" t="str">
        <f t="shared" si="119"/>
        <v>V90클로스컨트리 B5 AWD 플러스</v>
      </c>
      <c r="BE831" s="261" t="str">
        <f t="shared" si="125"/>
        <v>0080</v>
      </c>
      <c r="BF831" s="407" t="s">
        <v>267</v>
      </c>
      <c r="BG831" s="202" t="str">
        <f t="shared" si="120"/>
        <v>0080-0830</v>
      </c>
    </row>
    <row r="832" spans="1:59">
      <c r="A832" s="405">
        <v>4606</v>
      </c>
      <c r="B832" s="406">
        <v>4606</v>
      </c>
      <c r="C832" s="261" t="str">
        <f t="shared" si="121"/>
        <v>0036-0080</v>
      </c>
      <c r="D832" s="261" t="str">
        <f t="shared" si="122"/>
        <v>0036-0080-0002</v>
      </c>
      <c r="E832" s="407" t="s">
        <v>266</v>
      </c>
      <c r="F832" s="261" t="str">
        <f>TEXT(VLOOKUP(J832,'[3]1'!$B$2:$D$37,2,0),"0000")</f>
        <v>0036</v>
      </c>
      <c r="G832" s="261" t="str">
        <f t="shared" si="123"/>
        <v>0080</v>
      </c>
      <c r="H832" s="408">
        <f t="shared" si="124"/>
        <v>2</v>
      </c>
      <c r="I832" s="407" t="s">
        <v>266</v>
      </c>
      <c r="J832" s="258" t="s">
        <v>76</v>
      </c>
      <c r="K832" s="258" t="s">
        <v>3906</v>
      </c>
      <c r="L832" s="258" t="s">
        <v>3907</v>
      </c>
      <c r="M832" s="409">
        <v>78200000</v>
      </c>
      <c r="N832" s="258">
        <v>1969</v>
      </c>
      <c r="O832" s="258" t="s">
        <v>77</v>
      </c>
      <c r="P832" s="258" t="s">
        <v>73</v>
      </c>
      <c r="Q832" s="258" t="s">
        <v>72</v>
      </c>
      <c r="R832" s="258">
        <v>5</v>
      </c>
      <c r="S832" s="410">
        <v>26</v>
      </c>
      <c r="T832" s="261">
        <v>6</v>
      </c>
      <c r="U832" s="261">
        <v>6</v>
      </c>
      <c r="V832" s="258" t="s">
        <v>71</v>
      </c>
      <c r="W832" s="261" t="str">
        <f t="shared" si="126"/>
        <v>VOLVOV90크로스컨트리 B5 AWD 얼티메이트78200000</v>
      </c>
      <c r="X832" s="411">
        <f t="shared" si="127"/>
        <v>4606</v>
      </c>
      <c r="Y832" s="261">
        <v>6</v>
      </c>
      <c r="Z832" s="261">
        <v>6</v>
      </c>
      <c r="AA832" s="407" t="s">
        <v>266</v>
      </c>
      <c r="AB832" s="258" t="s">
        <v>70</v>
      </c>
      <c r="AC832" s="258"/>
      <c r="AD832" s="258">
        <v>6</v>
      </c>
      <c r="AE832" s="258">
        <v>0</v>
      </c>
      <c r="AF832" s="259"/>
      <c r="AG832" s="260"/>
      <c r="AH832" s="259"/>
      <c r="AI832" s="259"/>
      <c r="AJ832" s="259"/>
      <c r="AK832" s="259">
        <v>13</v>
      </c>
      <c r="AL832" s="259"/>
      <c r="AM832" s="259" t="s">
        <v>3662</v>
      </c>
      <c r="AN832" s="449"/>
      <c r="AO832" s="449"/>
      <c r="AP832" s="449"/>
      <c r="AQ832" s="392" t="str">
        <f>IFERROR(VLOOKUP(BG832,#REF!,1,0),"")</f>
        <v/>
      </c>
      <c r="AS832" s="259" t="s">
        <v>3233</v>
      </c>
      <c r="BD832" s="202" t="str">
        <f t="shared" si="119"/>
        <v>V90크로스컨트리 B5 AWD 얼티메이트</v>
      </c>
      <c r="BE832" s="261" t="str">
        <f t="shared" si="125"/>
        <v>0080</v>
      </c>
      <c r="BF832" s="407" t="s">
        <v>266</v>
      </c>
      <c r="BG832" s="202" t="str">
        <f t="shared" si="120"/>
        <v>0080-0831</v>
      </c>
    </row>
    <row r="833" spans="1:59">
      <c r="A833" s="405">
        <v>4607</v>
      </c>
      <c r="B833" s="406">
        <v>4607</v>
      </c>
      <c r="C833" s="261" t="str">
        <f t="shared" si="121"/>
        <v>0036-0081</v>
      </c>
      <c r="D833" s="261" t="str">
        <f t="shared" si="122"/>
        <v>0036-0081-0001</v>
      </c>
      <c r="E833" s="407" t="s">
        <v>265</v>
      </c>
      <c r="F833" s="261" t="str">
        <f>TEXT(VLOOKUP(J833,'[3]1'!$B$2:$D$37,2,0),"0000")</f>
        <v>0036</v>
      </c>
      <c r="G833" s="261" t="str">
        <f t="shared" si="123"/>
        <v>0081</v>
      </c>
      <c r="H833" s="408">
        <f t="shared" si="124"/>
        <v>1</v>
      </c>
      <c r="I833" s="407" t="s">
        <v>265</v>
      </c>
      <c r="J833" s="258" t="s">
        <v>76</v>
      </c>
      <c r="K833" s="258" t="s">
        <v>1276</v>
      </c>
      <c r="L833" s="258" t="s">
        <v>2872</v>
      </c>
      <c r="M833" s="409">
        <v>50800000</v>
      </c>
      <c r="N833" s="258">
        <v>1969</v>
      </c>
      <c r="O833" s="258" t="s">
        <v>77</v>
      </c>
      <c r="P833" s="258" t="s">
        <v>73</v>
      </c>
      <c r="Q833" s="258" t="s">
        <v>72</v>
      </c>
      <c r="R833" s="258">
        <v>5</v>
      </c>
      <c r="S833" s="410">
        <v>8</v>
      </c>
      <c r="T833" s="261">
        <v>6</v>
      </c>
      <c r="U833" s="261">
        <v>6</v>
      </c>
      <c r="V833" s="258" t="s">
        <v>71</v>
      </c>
      <c r="W833" s="261" t="str">
        <f t="shared" si="126"/>
        <v>VOLVOXC40B4 AWD Inscription50800000</v>
      </c>
      <c r="X833" s="411">
        <f t="shared" si="127"/>
        <v>4607</v>
      </c>
      <c r="Y833" s="261">
        <v>6</v>
      </c>
      <c r="Z833" s="261">
        <v>6</v>
      </c>
      <c r="AA833" s="407" t="s">
        <v>265</v>
      </c>
      <c r="AB833" s="258" t="s">
        <v>70</v>
      </c>
      <c r="AC833" s="258"/>
      <c r="AD833" s="258">
        <v>5</v>
      </c>
      <c r="AE833" s="258">
        <v>0</v>
      </c>
      <c r="AF833" s="259"/>
      <c r="AG833" s="260"/>
      <c r="AH833" s="259"/>
      <c r="AI833" s="259"/>
      <c r="AJ833" s="259"/>
      <c r="AK833" s="259">
        <v>10</v>
      </c>
      <c r="AL833" s="259"/>
      <c r="AM833" s="259" t="s">
        <v>3659</v>
      </c>
      <c r="AN833" s="449"/>
      <c r="AO833" s="449"/>
      <c r="AP833" s="449"/>
      <c r="AQ833" s="392" t="str">
        <f>IFERROR(VLOOKUP(BG833,#REF!,1,0),"")</f>
        <v/>
      </c>
      <c r="AS833" s="259" t="s">
        <v>3231</v>
      </c>
      <c r="BD833" s="202" t="str">
        <f t="shared" si="119"/>
        <v>XC40B4 AWD Inscription</v>
      </c>
      <c r="BE833" s="261" t="str">
        <f t="shared" si="125"/>
        <v>0081</v>
      </c>
      <c r="BF833" s="407" t="s">
        <v>265</v>
      </c>
      <c r="BG833" s="202" t="str">
        <f t="shared" si="120"/>
        <v>0081-0832</v>
      </c>
    </row>
    <row r="834" spans="1:59">
      <c r="A834" s="405">
        <v>4608</v>
      </c>
      <c r="B834" s="406">
        <v>4608</v>
      </c>
      <c r="C834" s="261" t="str">
        <f t="shared" si="121"/>
        <v>0036-0081</v>
      </c>
      <c r="D834" s="261" t="str">
        <f t="shared" si="122"/>
        <v>0036-0081-0002</v>
      </c>
      <c r="E834" s="407" t="s">
        <v>264</v>
      </c>
      <c r="F834" s="261" t="str">
        <f>TEXT(VLOOKUP(J834,'[3]1'!$B$2:$D$37,2,0),"0000")</f>
        <v>0036</v>
      </c>
      <c r="G834" s="261" t="str">
        <f t="shared" si="123"/>
        <v>0081</v>
      </c>
      <c r="H834" s="408">
        <f t="shared" si="124"/>
        <v>2</v>
      </c>
      <c r="I834" s="407" t="s">
        <v>264</v>
      </c>
      <c r="J834" s="258" t="s">
        <v>76</v>
      </c>
      <c r="K834" s="258" t="s">
        <v>1276</v>
      </c>
      <c r="L834" s="258" t="s">
        <v>2873</v>
      </c>
      <c r="M834" s="409">
        <v>46110000</v>
      </c>
      <c r="N834" s="258">
        <v>1969</v>
      </c>
      <c r="O834" s="258" t="s">
        <v>77</v>
      </c>
      <c r="P834" s="258" t="s">
        <v>73</v>
      </c>
      <c r="Q834" s="258" t="s">
        <v>72</v>
      </c>
      <c r="R834" s="258">
        <v>5</v>
      </c>
      <c r="S834" s="410">
        <v>8</v>
      </c>
      <c r="T834" s="261">
        <v>6</v>
      </c>
      <c r="U834" s="261">
        <v>6</v>
      </c>
      <c r="V834" s="258" t="s">
        <v>71</v>
      </c>
      <c r="W834" s="261" t="str">
        <f t="shared" si="126"/>
        <v>VOLVOXC40B4 AWD Momentum46110000</v>
      </c>
      <c r="X834" s="411">
        <f t="shared" si="127"/>
        <v>4608</v>
      </c>
      <c r="Y834" s="261">
        <v>6</v>
      </c>
      <c r="Z834" s="261">
        <v>6</v>
      </c>
      <c r="AA834" s="407" t="s">
        <v>264</v>
      </c>
      <c r="AB834" s="258" t="s">
        <v>70</v>
      </c>
      <c r="AC834" s="258"/>
      <c r="AD834" s="258">
        <v>5</v>
      </c>
      <c r="AE834" s="258">
        <v>0</v>
      </c>
      <c r="AF834" s="259"/>
      <c r="AG834" s="260"/>
      <c r="AH834" s="259"/>
      <c r="AI834" s="259"/>
      <c r="AJ834" s="259"/>
      <c r="AK834" s="259">
        <v>10</v>
      </c>
      <c r="AL834" s="259"/>
      <c r="AM834" s="259" t="s">
        <v>3659</v>
      </c>
      <c r="AN834" s="449"/>
      <c r="AO834" s="449"/>
      <c r="AP834" s="449"/>
      <c r="AQ834" s="392" t="str">
        <f>IFERROR(VLOOKUP(BG834,#REF!,1,0),"")</f>
        <v/>
      </c>
      <c r="AS834" s="259" t="s">
        <v>3231</v>
      </c>
      <c r="BD834" s="202" t="str">
        <f t="shared" si="119"/>
        <v>XC40B4 AWD Momentum</v>
      </c>
      <c r="BE834" s="261" t="str">
        <f t="shared" si="125"/>
        <v>0081</v>
      </c>
      <c r="BF834" s="407" t="s">
        <v>264</v>
      </c>
      <c r="BG834" s="202" t="str">
        <f t="shared" si="120"/>
        <v>0081-0833</v>
      </c>
    </row>
    <row r="835" spans="1:59">
      <c r="A835" s="405">
        <v>4609</v>
      </c>
      <c r="B835" s="406">
        <v>4609</v>
      </c>
      <c r="C835" s="261" t="str">
        <f t="shared" si="121"/>
        <v>0036-0081</v>
      </c>
      <c r="D835" s="261" t="str">
        <f t="shared" si="122"/>
        <v>0036-0081-0003</v>
      </c>
      <c r="E835" s="407" t="s">
        <v>263</v>
      </c>
      <c r="F835" s="261" t="str">
        <f>TEXT(VLOOKUP(J835,'[3]1'!$B$2:$D$37,2,0),"0000")</f>
        <v>0036</v>
      </c>
      <c r="G835" s="261" t="str">
        <f t="shared" si="123"/>
        <v>0081</v>
      </c>
      <c r="H835" s="408">
        <f t="shared" si="124"/>
        <v>3</v>
      </c>
      <c r="I835" s="407" t="s">
        <v>263</v>
      </c>
      <c r="J835" s="258" t="s">
        <v>76</v>
      </c>
      <c r="K835" s="258" t="s">
        <v>1276</v>
      </c>
      <c r="L835" s="258" t="s">
        <v>2874</v>
      </c>
      <c r="M835" s="409">
        <v>48680000</v>
      </c>
      <c r="N835" s="258">
        <v>1969</v>
      </c>
      <c r="O835" s="258" t="s">
        <v>77</v>
      </c>
      <c r="P835" s="258" t="s">
        <v>73</v>
      </c>
      <c r="Q835" s="258" t="s">
        <v>72</v>
      </c>
      <c r="R835" s="258">
        <v>5</v>
      </c>
      <c r="S835" s="410">
        <v>8</v>
      </c>
      <c r="T835" s="261">
        <v>6</v>
      </c>
      <c r="U835" s="261">
        <v>6</v>
      </c>
      <c r="V835" s="258" t="s">
        <v>71</v>
      </c>
      <c r="W835" s="261" t="str">
        <f t="shared" si="126"/>
        <v>VOLVOXC40B4 AWD R-Design48680000</v>
      </c>
      <c r="X835" s="411">
        <f t="shared" si="127"/>
        <v>4609</v>
      </c>
      <c r="Y835" s="261">
        <v>6</v>
      </c>
      <c r="Z835" s="261">
        <v>6</v>
      </c>
      <c r="AA835" s="407" t="s">
        <v>263</v>
      </c>
      <c r="AB835" s="258" t="s">
        <v>70</v>
      </c>
      <c r="AC835" s="258"/>
      <c r="AD835" s="258">
        <v>5</v>
      </c>
      <c r="AE835" s="258">
        <v>0</v>
      </c>
      <c r="AF835" s="259"/>
      <c r="AG835" s="260"/>
      <c r="AH835" s="259"/>
      <c r="AI835" s="259"/>
      <c r="AJ835" s="259"/>
      <c r="AK835" s="259">
        <v>10</v>
      </c>
      <c r="AL835" s="259"/>
      <c r="AM835" s="259" t="s">
        <v>3659</v>
      </c>
      <c r="AN835" s="449"/>
      <c r="AO835" s="449"/>
      <c r="AP835" s="449"/>
      <c r="AQ835" s="392" t="str">
        <f>IFERROR(VLOOKUP(BG835,#REF!,1,0),"")</f>
        <v/>
      </c>
      <c r="AS835" s="259" t="s">
        <v>3231</v>
      </c>
      <c r="BD835" s="202" t="str">
        <f t="shared" si="119"/>
        <v>XC40B4 AWD R-Design</v>
      </c>
      <c r="BE835" s="261" t="str">
        <f t="shared" si="125"/>
        <v>0081</v>
      </c>
      <c r="BF835" s="407" t="s">
        <v>263</v>
      </c>
      <c r="BG835" s="202" t="str">
        <f t="shared" si="120"/>
        <v>0081-0834</v>
      </c>
    </row>
    <row r="836" spans="1:59">
      <c r="A836" s="405">
        <v>4610</v>
      </c>
      <c r="B836" s="406">
        <v>4610</v>
      </c>
      <c r="C836" s="261" t="str">
        <f t="shared" si="121"/>
        <v>0036-0081</v>
      </c>
      <c r="D836" s="261" t="str">
        <f t="shared" si="122"/>
        <v>0036-0081-0004</v>
      </c>
      <c r="E836" s="407" t="s">
        <v>262</v>
      </c>
      <c r="F836" s="261" t="str">
        <f>TEXT(VLOOKUP(J836,'[3]1'!$B$2:$D$37,2,0),"0000")</f>
        <v>0036</v>
      </c>
      <c r="G836" s="261" t="str">
        <f t="shared" si="123"/>
        <v>0081</v>
      </c>
      <c r="H836" s="408">
        <f t="shared" si="124"/>
        <v>4</v>
      </c>
      <c r="I836" s="407" t="s">
        <v>262</v>
      </c>
      <c r="J836" s="258" t="s">
        <v>76</v>
      </c>
      <c r="K836" s="258" t="s">
        <v>1276</v>
      </c>
      <c r="L836" s="258" t="s">
        <v>3555</v>
      </c>
      <c r="M836" s="409">
        <v>48680000</v>
      </c>
      <c r="N836" s="258">
        <v>1969</v>
      </c>
      <c r="O836" s="258" t="s">
        <v>77</v>
      </c>
      <c r="P836" s="258" t="s">
        <v>73</v>
      </c>
      <c r="Q836" s="258" t="s">
        <v>72</v>
      </c>
      <c r="R836" s="258">
        <v>5</v>
      </c>
      <c r="S836" s="410">
        <v>8</v>
      </c>
      <c r="T836" s="261">
        <v>6</v>
      </c>
      <c r="U836" s="261">
        <v>6</v>
      </c>
      <c r="V836" s="258" t="s">
        <v>71</v>
      </c>
      <c r="W836" s="261" t="str">
        <f t="shared" si="126"/>
        <v>VOLVOXC40B4 AWD 플러스 브라이트48680000</v>
      </c>
      <c r="X836" s="411">
        <f t="shared" si="127"/>
        <v>4610</v>
      </c>
      <c r="Y836" s="261">
        <v>6</v>
      </c>
      <c r="Z836" s="261">
        <v>6</v>
      </c>
      <c r="AA836" s="407" t="s">
        <v>262</v>
      </c>
      <c r="AB836" s="258" t="s">
        <v>70</v>
      </c>
      <c r="AC836" s="258"/>
      <c r="AD836" s="258">
        <v>5</v>
      </c>
      <c r="AE836" s="258">
        <v>0</v>
      </c>
      <c r="AF836" s="259"/>
      <c r="AG836" s="260"/>
      <c r="AH836" s="259"/>
      <c r="AI836" s="259"/>
      <c r="AJ836" s="259"/>
      <c r="AK836" s="259">
        <v>10</v>
      </c>
      <c r="AL836" s="259"/>
      <c r="AM836" s="259" t="s">
        <v>3659</v>
      </c>
      <c r="AN836" s="449"/>
      <c r="AO836" s="449"/>
      <c r="AP836" s="449"/>
      <c r="AQ836" s="392" t="str">
        <f>IFERROR(VLOOKUP(BG836,#REF!,1,0),"")</f>
        <v/>
      </c>
      <c r="AS836" s="259" t="s">
        <v>3231</v>
      </c>
      <c r="BD836" s="202" t="str">
        <f t="shared" si="119"/>
        <v>XC40B4 AWD 플러스 브라이트</v>
      </c>
      <c r="BE836" s="261" t="str">
        <f t="shared" si="125"/>
        <v>0081</v>
      </c>
      <c r="BF836" s="407" t="s">
        <v>262</v>
      </c>
      <c r="BG836" s="202" t="str">
        <f t="shared" si="120"/>
        <v>0081-0835</v>
      </c>
    </row>
    <row r="837" spans="1:59">
      <c r="A837" s="405">
        <v>4611</v>
      </c>
      <c r="B837" s="406">
        <v>4611</v>
      </c>
      <c r="C837" s="261" t="str">
        <f t="shared" si="121"/>
        <v>0036-0081</v>
      </c>
      <c r="D837" s="261" t="str">
        <f t="shared" si="122"/>
        <v>0036-0081-0005</v>
      </c>
      <c r="E837" s="407" t="s">
        <v>261</v>
      </c>
      <c r="F837" s="261" t="str">
        <f>TEXT(VLOOKUP(J837,'[3]1'!$B$2:$D$37,2,0),"0000")</f>
        <v>0036</v>
      </c>
      <c r="G837" s="261" t="str">
        <f t="shared" si="123"/>
        <v>0081</v>
      </c>
      <c r="H837" s="408">
        <f t="shared" si="124"/>
        <v>5</v>
      </c>
      <c r="I837" s="407" t="s">
        <v>261</v>
      </c>
      <c r="J837" s="258" t="s">
        <v>76</v>
      </c>
      <c r="K837" s="258" t="s">
        <v>1276</v>
      </c>
      <c r="L837" s="258" t="s">
        <v>3556</v>
      </c>
      <c r="M837" s="409">
        <v>48680000</v>
      </c>
      <c r="N837" s="258">
        <v>1969</v>
      </c>
      <c r="O837" s="258" t="s">
        <v>77</v>
      </c>
      <c r="P837" s="258" t="s">
        <v>73</v>
      </c>
      <c r="Q837" s="258" t="s">
        <v>72</v>
      </c>
      <c r="R837" s="258">
        <v>5</v>
      </c>
      <c r="S837" s="410">
        <v>8</v>
      </c>
      <c r="T837" s="261">
        <v>6</v>
      </c>
      <c r="U837" s="261">
        <v>6</v>
      </c>
      <c r="V837" s="258" t="s">
        <v>71</v>
      </c>
      <c r="W837" s="261" t="str">
        <f t="shared" si="126"/>
        <v>VOLVOXC40B4 AWD 얼티메이트 브라이트48680000</v>
      </c>
      <c r="X837" s="411">
        <f t="shared" si="127"/>
        <v>4611</v>
      </c>
      <c r="Y837" s="261">
        <v>6</v>
      </c>
      <c r="Z837" s="261">
        <v>6</v>
      </c>
      <c r="AA837" s="407" t="s">
        <v>261</v>
      </c>
      <c r="AB837" s="258" t="s">
        <v>70</v>
      </c>
      <c r="AC837" s="258"/>
      <c r="AD837" s="258">
        <v>5</v>
      </c>
      <c r="AE837" s="258">
        <v>0</v>
      </c>
      <c r="AF837" s="259"/>
      <c r="AG837" s="260"/>
      <c r="AH837" s="259"/>
      <c r="AI837" s="259"/>
      <c r="AJ837" s="259"/>
      <c r="AK837" s="259">
        <v>10</v>
      </c>
      <c r="AL837" s="259"/>
      <c r="AM837" s="259" t="s">
        <v>3659</v>
      </c>
      <c r="AN837" s="449"/>
      <c r="AO837" s="449"/>
      <c r="AP837" s="449"/>
      <c r="AQ837" s="392" t="str">
        <f>IFERROR(VLOOKUP(BG837,#REF!,1,0),"")</f>
        <v/>
      </c>
      <c r="AS837" s="259" t="s">
        <v>3231</v>
      </c>
      <c r="BD837" s="202" t="str">
        <f t="shared" ref="BD837:BD900" si="128">K837&amp;L837</f>
        <v>XC40B4 AWD 얼티메이트 브라이트</v>
      </c>
      <c r="BE837" s="261" t="str">
        <f t="shared" si="125"/>
        <v>0081</v>
      </c>
      <c r="BF837" s="407" t="s">
        <v>261</v>
      </c>
      <c r="BG837" s="202" t="str">
        <f t="shared" ref="BG837:BG900" si="129">BE837&amp;"-"&amp;BF837</f>
        <v>0081-0836</v>
      </c>
    </row>
    <row r="838" spans="1:59">
      <c r="A838" s="405">
        <v>4612</v>
      </c>
      <c r="B838" s="406">
        <v>4612</v>
      </c>
      <c r="C838" s="261" t="str">
        <f t="shared" ref="C838:C901" si="130">TEXT(F838,"0000")&amp;"-"&amp;TEXT(G838,"0000")</f>
        <v>0036-0081</v>
      </c>
      <c r="D838" s="261" t="str">
        <f t="shared" ref="D838:D901" si="131">TEXT(F838,"0000")&amp;"-"&amp;TEXT(G838,"0000")&amp;"-"&amp;TEXT(H838,"0000")</f>
        <v>0036-0081-0006</v>
      </c>
      <c r="E838" s="407" t="s">
        <v>260</v>
      </c>
      <c r="F838" s="261" t="str">
        <f>TEXT(VLOOKUP(J838,'[3]1'!$B$2:$D$37,2,0),"0000")</f>
        <v>0036</v>
      </c>
      <c r="G838" s="261" t="str">
        <f t="shared" ref="G838:G901" si="132">IF(K838=K837,TEXT(G837,"0000"),TEXT(G837+1,"0000"))</f>
        <v>0081</v>
      </c>
      <c r="H838" s="408">
        <f t="shared" ref="H838:H901" si="133">IF(F838&amp;G838=F837&amp;G837,H837+1,1)</f>
        <v>6</v>
      </c>
      <c r="I838" s="407" t="s">
        <v>260</v>
      </c>
      <c r="J838" s="258" t="s">
        <v>76</v>
      </c>
      <c r="K838" s="258" t="s">
        <v>1276</v>
      </c>
      <c r="L838" s="258" t="s">
        <v>3557</v>
      </c>
      <c r="M838" s="409">
        <v>48680000</v>
      </c>
      <c r="N838" s="258">
        <v>1969</v>
      </c>
      <c r="O838" s="258" t="s">
        <v>77</v>
      </c>
      <c r="P838" s="258" t="s">
        <v>73</v>
      </c>
      <c r="Q838" s="258" t="s">
        <v>72</v>
      </c>
      <c r="R838" s="258">
        <v>5</v>
      </c>
      <c r="S838" s="410">
        <v>26</v>
      </c>
      <c r="T838" s="261">
        <v>6</v>
      </c>
      <c r="U838" s="261">
        <v>6</v>
      </c>
      <c r="V838" s="258" t="s">
        <v>71</v>
      </c>
      <c r="W838" s="261" t="str">
        <f t="shared" si="126"/>
        <v>VOLVOXC40B4 AWD 다크에디션48680000</v>
      </c>
      <c r="X838" s="411">
        <f t="shared" si="127"/>
        <v>4612</v>
      </c>
      <c r="Y838" s="261">
        <v>6</v>
      </c>
      <c r="Z838" s="261">
        <v>6</v>
      </c>
      <c r="AA838" s="407" t="s">
        <v>260</v>
      </c>
      <c r="AB838" s="258" t="s">
        <v>70</v>
      </c>
      <c r="AC838" s="258"/>
      <c r="AD838" s="258">
        <v>5</v>
      </c>
      <c r="AE838" s="258">
        <v>0</v>
      </c>
      <c r="AF838" s="259"/>
      <c r="AG838" s="260"/>
      <c r="AH838" s="259"/>
      <c r="AI838" s="259"/>
      <c r="AJ838" s="259"/>
      <c r="AK838" s="259">
        <v>10</v>
      </c>
      <c r="AL838" s="259"/>
      <c r="AM838" s="259" t="s">
        <v>3659</v>
      </c>
      <c r="AN838" s="449"/>
      <c r="AO838" s="449"/>
      <c r="AP838" s="449"/>
      <c r="AQ838" s="392" t="str">
        <f>IFERROR(VLOOKUP(BG838,#REF!,1,0),"")</f>
        <v/>
      </c>
      <c r="AS838" s="259" t="s">
        <v>3231</v>
      </c>
      <c r="BD838" s="202" t="str">
        <f t="shared" si="128"/>
        <v>XC40B4 AWD 다크에디션</v>
      </c>
      <c r="BE838" s="261" t="str">
        <f t="shared" ref="BE838:BE901" si="134">IF(K837=K838,TEXT(G837,"0000"),TEXT(G837+1,"0000"))</f>
        <v>0081</v>
      </c>
      <c r="BF838" s="407" t="s">
        <v>260</v>
      </c>
      <c r="BG838" s="202" t="str">
        <f t="shared" si="129"/>
        <v>0081-0837</v>
      </c>
    </row>
    <row r="839" spans="1:59">
      <c r="A839" s="405">
        <v>4613</v>
      </c>
      <c r="B839" s="406">
        <v>4613</v>
      </c>
      <c r="C839" s="261" t="str">
        <f t="shared" si="130"/>
        <v>0036-0082</v>
      </c>
      <c r="D839" s="261" t="str">
        <f t="shared" si="131"/>
        <v>0036-0082-0001</v>
      </c>
      <c r="E839" s="407" t="s">
        <v>259</v>
      </c>
      <c r="F839" s="261" t="str">
        <f>TEXT(VLOOKUP(J839,'[3]1'!$B$2:$D$37,2,0),"0000")</f>
        <v>0036</v>
      </c>
      <c r="G839" s="261" t="str">
        <f t="shared" si="132"/>
        <v>0082</v>
      </c>
      <c r="H839" s="408">
        <f t="shared" si="133"/>
        <v>1</v>
      </c>
      <c r="I839" s="407" t="s">
        <v>259</v>
      </c>
      <c r="J839" s="258" t="s">
        <v>76</v>
      </c>
      <c r="K839" s="258" t="s">
        <v>79</v>
      </c>
      <c r="L839" s="258" t="s">
        <v>3558</v>
      </c>
      <c r="M839" s="409">
        <v>63400000</v>
      </c>
      <c r="N839" s="258">
        <v>1969</v>
      </c>
      <c r="O839" s="258" t="s">
        <v>77</v>
      </c>
      <c r="P839" s="258" t="s">
        <v>73</v>
      </c>
      <c r="Q839" s="258" t="s">
        <v>72</v>
      </c>
      <c r="R839" s="258">
        <v>5</v>
      </c>
      <c r="S839" s="410">
        <v>26</v>
      </c>
      <c r="T839" s="261">
        <v>6</v>
      </c>
      <c r="U839" s="261">
        <v>6</v>
      </c>
      <c r="V839" s="258" t="s">
        <v>71</v>
      </c>
      <c r="W839" s="261" t="str">
        <f t="shared" ref="W839:W902" si="135">J839&amp;K839&amp;L839&amp;M839</f>
        <v>VOLVOXC60B5 AWD 플러스 브라이트63400000</v>
      </c>
      <c r="X839" s="411">
        <f t="shared" ref="X839:X902" si="136">B839</f>
        <v>4613</v>
      </c>
      <c r="Y839" s="261">
        <v>6</v>
      </c>
      <c r="Z839" s="261">
        <v>6</v>
      </c>
      <c r="AA839" s="407" t="s">
        <v>259</v>
      </c>
      <c r="AB839" s="258" t="s">
        <v>70</v>
      </c>
      <c r="AC839" s="258"/>
      <c r="AD839" s="258">
        <v>3</v>
      </c>
      <c r="AE839" s="258">
        <v>0</v>
      </c>
      <c r="AF839" s="259"/>
      <c r="AG839" s="260"/>
      <c r="AH839" s="259"/>
      <c r="AI839" s="259"/>
      <c r="AJ839" s="259"/>
      <c r="AK839" s="259">
        <v>10</v>
      </c>
      <c r="AL839" s="259"/>
      <c r="AM839" s="259" t="s">
        <v>3659</v>
      </c>
      <c r="AN839" s="449"/>
      <c r="AO839" s="449"/>
      <c r="AP839" s="449"/>
      <c r="AQ839" s="392" t="str">
        <f>IFERROR(VLOOKUP(BG839,#REF!,1,0),"")</f>
        <v/>
      </c>
      <c r="AS839" s="259" t="s">
        <v>3222</v>
      </c>
      <c r="BD839" s="202" t="str">
        <f t="shared" si="128"/>
        <v>XC60B5 AWD 플러스 브라이트</v>
      </c>
      <c r="BE839" s="261" t="str">
        <f t="shared" si="134"/>
        <v>0082</v>
      </c>
      <c r="BF839" s="407" t="s">
        <v>259</v>
      </c>
      <c r="BG839" s="202" t="str">
        <f t="shared" si="129"/>
        <v>0082-0838</v>
      </c>
    </row>
    <row r="840" spans="1:59">
      <c r="A840" s="405">
        <v>4614</v>
      </c>
      <c r="B840" s="406">
        <v>4614</v>
      </c>
      <c r="C840" s="261" t="str">
        <f t="shared" si="130"/>
        <v>0036-0082</v>
      </c>
      <c r="D840" s="261" t="str">
        <f t="shared" si="131"/>
        <v>0036-0082-0002</v>
      </c>
      <c r="E840" s="407" t="s">
        <v>258</v>
      </c>
      <c r="F840" s="261" t="str">
        <f>TEXT(VLOOKUP(J840,'[3]1'!$B$2:$D$37,2,0),"0000")</f>
        <v>0036</v>
      </c>
      <c r="G840" s="261" t="str">
        <f t="shared" si="132"/>
        <v>0082</v>
      </c>
      <c r="H840" s="408">
        <f t="shared" si="133"/>
        <v>2</v>
      </c>
      <c r="I840" s="407" t="s">
        <v>258</v>
      </c>
      <c r="J840" s="258" t="s">
        <v>76</v>
      </c>
      <c r="K840" s="258" t="s">
        <v>79</v>
      </c>
      <c r="L840" s="258" t="s">
        <v>3559</v>
      </c>
      <c r="M840" s="409">
        <v>70000000</v>
      </c>
      <c r="N840" s="258">
        <v>1969</v>
      </c>
      <c r="O840" s="258" t="s">
        <v>77</v>
      </c>
      <c r="P840" s="258" t="s">
        <v>73</v>
      </c>
      <c r="Q840" s="258" t="s">
        <v>72</v>
      </c>
      <c r="R840" s="258">
        <v>5</v>
      </c>
      <c r="S840" s="410">
        <v>26</v>
      </c>
      <c r="T840" s="261">
        <v>6</v>
      </c>
      <c r="U840" s="261">
        <v>6</v>
      </c>
      <c r="V840" s="258" t="s">
        <v>71</v>
      </c>
      <c r="W840" s="261" t="str">
        <f t="shared" si="135"/>
        <v>VOLVOXC60B5 AWD 얼티메이트 브라이트70000000</v>
      </c>
      <c r="X840" s="411">
        <f t="shared" si="136"/>
        <v>4614</v>
      </c>
      <c r="Y840" s="261">
        <v>6</v>
      </c>
      <c r="Z840" s="261">
        <v>6</v>
      </c>
      <c r="AA840" s="407" t="s">
        <v>258</v>
      </c>
      <c r="AB840" s="258" t="s">
        <v>70</v>
      </c>
      <c r="AC840" s="258"/>
      <c r="AD840" s="258">
        <v>3</v>
      </c>
      <c r="AE840" s="258">
        <v>0</v>
      </c>
      <c r="AF840" s="259"/>
      <c r="AG840" s="260"/>
      <c r="AH840" s="259"/>
      <c r="AI840" s="259"/>
      <c r="AJ840" s="259"/>
      <c r="AK840" s="259">
        <v>10</v>
      </c>
      <c r="AL840" s="259"/>
      <c r="AM840" s="259" t="s">
        <v>3659</v>
      </c>
      <c r="AN840" s="449"/>
      <c r="AO840" s="449"/>
      <c r="AP840" s="449"/>
      <c r="AQ840" s="392" t="str">
        <f>IFERROR(VLOOKUP(BG840,#REF!,1,0),"")</f>
        <v/>
      </c>
      <c r="AS840" s="259" t="s">
        <v>3222</v>
      </c>
      <c r="BD840" s="202" t="str">
        <f t="shared" si="128"/>
        <v>XC60B5 AWD 얼티메이트 브라이트</v>
      </c>
      <c r="BE840" s="261" t="str">
        <f t="shared" si="134"/>
        <v>0082</v>
      </c>
      <c r="BF840" s="407" t="s">
        <v>258</v>
      </c>
      <c r="BG840" s="202" t="str">
        <f t="shared" si="129"/>
        <v>0082-0839</v>
      </c>
    </row>
    <row r="841" spans="1:59">
      <c r="A841" s="405">
        <v>4615</v>
      </c>
      <c r="B841" s="406">
        <v>4615</v>
      </c>
      <c r="C841" s="261" t="str">
        <f t="shared" si="130"/>
        <v>0036-0082</v>
      </c>
      <c r="D841" s="261" t="str">
        <f t="shared" si="131"/>
        <v>0036-0082-0003</v>
      </c>
      <c r="E841" s="407" t="s">
        <v>257</v>
      </c>
      <c r="F841" s="261" t="str">
        <f>TEXT(VLOOKUP(J841,'[3]1'!$B$2:$D$37,2,0),"0000")</f>
        <v>0036</v>
      </c>
      <c r="G841" s="261" t="str">
        <f t="shared" si="132"/>
        <v>0082</v>
      </c>
      <c r="H841" s="408">
        <f t="shared" si="133"/>
        <v>3</v>
      </c>
      <c r="I841" s="407" t="s">
        <v>257</v>
      </c>
      <c r="J841" s="258" t="s">
        <v>76</v>
      </c>
      <c r="K841" s="258" t="s">
        <v>79</v>
      </c>
      <c r="L841" s="258" t="s">
        <v>3560</v>
      </c>
      <c r="M841" s="409">
        <v>74000000</v>
      </c>
      <c r="N841" s="258">
        <v>1969</v>
      </c>
      <c r="O841" s="258" t="s">
        <v>77</v>
      </c>
      <c r="P841" s="258" t="s">
        <v>73</v>
      </c>
      <c r="Q841" s="258" t="s">
        <v>72</v>
      </c>
      <c r="R841" s="258">
        <v>5</v>
      </c>
      <c r="S841" s="410">
        <v>26</v>
      </c>
      <c r="T841" s="261">
        <v>6</v>
      </c>
      <c r="U841" s="261">
        <v>6</v>
      </c>
      <c r="V841" s="258" t="s">
        <v>71</v>
      </c>
      <c r="W841" s="261" t="str">
        <f t="shared" si="135"/>
        <v>VOLVOXC60B6 AWD 얼티메이트 브라이트74000000</v>
      </c>
      <c r="X841" s="411">
        <f t="shared" si="136"/>
        <v>4615</v>
      </c>
      <c r="Y841" s="261">
        <v>6</v>
      </c>
      <c r="Z841" s="261">
        <v>6</v>
      </c>
      <c r="AA841" s="407" t="s">
        <v>257</v>
      </c>
      <c r="AB841" s="258" t="s">
        <v>70</v>
      </c>
      <c r="AC841" s="258"/>
      <c r="AD841" s="258">
        <v>3</v>
      </c>
      <c r="AE841" s="258">
        <v>0</v>
      </c>
      <c r="AF841" s="259"/>
      <c r="AG841" s="260"/>
      <c r="AH841" s="259"/>
      <c r="AI841" s="259"/>
      <c r="AJ841" s="259"/>
      <c r="AK841" s="259">
        <v>10</v>
      </c>
      <c r="AL841" s="259"/>
      <c r="AM841" s="259" t="s">
        <v>3659</v>
      </c>
      <c r="AN841" s="449"/>
      <c r="AO841" s="449"/>
      <c r="AP841" s="449"/>
      <c r="AQ841" s="392" t="str">
        <f>IFERROR(VLOOKUP(BG841,#REF!,1,0),"")</f>
        <v/>
      </c>
      <c r="AS841" s="259" t="s">
        <v>3222</v>
      </c>
      <c r="BD841" s="202" t="str">
        <f t="shared" si="128"/>
        <v>XC60B6 AWD 얼티메이트 브라이트</v>
      </c>
      <c r="BE841" s="261" t="str">
        <f t="shared" si="134"/>
        <v>0082</v>
      </c>
      <c r="BF841" s="407" t="s">
        <v>257</v>
      </c>
      <c r="BG841" s="202" t="str">
        <f t="shared" si="129"/>
        <v>0082-0840</v>
      </c>
    </row>
    <row r="842" spans="1:59">
      <c r="A842" s="405">
        <v>4616</v>
      </c>
      <c r="B842" s="406">
        <v>4616</v>
      </c>
      <c r="C842" s="261" t="str">
        <f t="shared" si="130"/>
        <v>0036-0082</v>
      </c>
      <c r="D842" s="261" t="str">
        <f t="shared" si="131"/>
        <v>0036-0082-0004</v>
      </c>
      <c r="E842" s="407" t="s">
        <v>256</v>
      </c>
      <c r="F842" s="261" t="str">
        <f>TEXT(VLOOKUP(J842,'[3]1'!$B$2:$D$37,2,0),"0000")</f>
        <v>0036</v>
      </c>
      <c r="G842" s="261" t="str">
        <f t="shared" si="132"/>
        <v>0082</v>
      </c>
      <c r="H842" s="408">
        <f t="shared" si="133"/>
        <v>4</v>
      </c>
      <c r="I842" s="407" t="s">
        <v>256</v>
      </c>
      <c r="J842" s="258" t="s">
        <v>76</v>
      </c>
      <c r="K842" s="258" t="s">
        <v>79</v>
      </c>
      <c r="L842" s="258" t="s">
        <v>3561</v>
      </c>
      <c r="M842" s="409">
        <v>86400000</v>
      </c>
      <c r="N842" s="258">
        <v>1969</v>
      </c>
      <c r="O842" s="258" t="s">
        <v>1173</v>
      </c>
      <c r="P842" s="258" t="s">
        <v>73</v>
      </c>
      <c r="Q842" s="258" t="s">
        <v>72</v>
      </c>
      <c r="R842" s="258">
        <v>5</v>
      </c>
      <c r="S842" s="410">
        <v>26</v>
      </c>
      <c r="T842" s="261">
        <v>6</v>
      </c>
      <c r="U842" s="261">
        <v>6</v>
      </c>
      <c r="V842" s="258" t="s">
        <v>71</v>
      </c>
      <c r="W842" s="261" t="str">
        <f t="shared" si="135"/>
        <v>VOLVOXC60T8 AWD 얼티메이트 브라이트86400000</v>
      </c>
      <c r="X842" s="411">
        <f t="shared" si="136"/>
        <v>4616</v>
      </c>
      <c r="Y842" s="261">
        <v>6</v>
      </c>
      <c r="Z842" s="261">
        <v>6</v>
      </c>
      <c r="AA842" s="407" t="s">
        <v>256</v>
      </c>
      <c r="AB842" s="258" t="s">
        <v>70</v>
      </c>
      <c r="AC842" s="258"/>
      <c r="AD842" s="258">
        <v>3</v>
      </c>
      <c r="AE842" s="258">
        <v>0</v>
      </c>
      <c r="AF842" s="259"/>
      <c r="AG842" s="260"/>
      <c r="AH842" s="259"/>
      <c r="AI842" s="259"/>
      <c r="AJ842" s="259"/>
      <c r="AK842" s="259">
        <v>10</v>
      </c>
      <c r="AL842" s="259"/>
      <c r="AM842" s="259" t="s">
        <v>3659</v>
      </c>
      <c r="AN842" s="449"/>
      <c r="AO842" s="449"/>
      <c r="AP842" s="449"/>
      <c r="AQ842" s="392" t="str">
        <f>IFERROR(VLOOKUP(BG842,#REF!,1,0),"")</f>
        <v/>
      </c>
      <c r="AS842" s="259" t="s">
        <v>3222</v>
      </c>
      <c r="BD842" s="202" t="str">
        <f t="shared" si="128"/>
        <v>XC60T8 AWD 얼티메이트 브라이트</v>
      </c>
      <c r="BE842" s="261" t="str">
        <f t="shared" si="134"/>
        <v>0082</v>
      </c>
      <c r="BF842" s="407" t="s">
        <v>256</v>
      </c>
      <c r="BG842" s="202" t="str">
        <f t="shared" si="129"/>
        <v>0082-0841</v>
      </c>
    </row>
    <row r="843" spans="1:59">
      <c r="A843" s="405">
        <v>4617</v>
      </c>
      <c r="B843" s="406">
        <v>4617</v>
      </c>
      <c r="C843" s="261" t="str">
        <f t="shared" si="130"/>
        <v>0036-0083</v>
      </c>
      <c r="D843" s="261" t="str">
        <f t="shared" si="131"/>
        <v>0036-0083-0001</v>
      </c>
      <c r="E843" s="407" t="s">
        <v>255</v>
      </c>
      <c r="F843" s="261" t="str">
        <f>TEXT(VLOOKUP(J843,'[3]1'!$B$2:$D$37,2,0),"0000")</f>
        <v>0036</v>
      </c>
      <c r="G843" s="261" t="str">
        <f t="shared" si="132"/>
        <v>0083</v>
      </c>
      <c r="H843" s="408">
        <f t="shared" si="133"/>
        <v>1</v>
      </c>
      <c r="I843" s="407" t="s">
        <v>255</v>
      </c>
      <c r="J843" s="258" t="s">
        <v>76</v>
      </c>
      <c r="K843" s="258" t="s">
        <v>75</v>
      </c>
      <c r="L843" s="258" t="s">
        <v>3562</v>
      </c>
      <c r="M843" s="409">
        <v>87200000</v>
      </c>
      <c r="N843" s="258">
        <v>1969</v>
      </c>
      <c r="O843" s="258" t="s">
        <v>77</v>
      </c>
      <c r="P843" s="258" t="s">
        <v>73</v>
      </c>
      <c r="Q843" s="258" t="s">
        <v>72</v>
      </c>
      <c r="R843" s="258">
        <v>7</v>
      </c>
      <c r="S843" s="410">
        <v>26</v>
      </c>
      <c r="T843" s="261">
        <v>6</v>
      </c>
      <c r="U843" s="261">
        <v>6</v>
      </c>
      <c r="V843" s="258" t="s">
        <v>71</v>
      </c>
      <c r="W843" s="261" t="str">
        <f t="shared" si="135"/>
        <v>VOLVOXC90B6 AWD 플러스 브라이트87200000</v>
      </c>
      <c r="X843" s="411">
        <f t="shared" si="136"/>
        <v>4617</v>
      </c>
      <c r="Y843" s="261">
        <v>6</v>
      </c>
      <c r="Z843" s="261">
        <v>6</v>
      </c>
      <c r="AA843" s="407" t="s">
        <v>255</v>
      </c>
      <c r="AB843" s="258" t="s">
        <v>70</v>
      </c>
      <c r="AC843" s="258"/>
      <c r="AD843" s="258">
        <v>5</v>
      </c>
      <c r="AE843" s="258">
        <v>2</v>
      </c>
      <c r="AF843" s="259"/>
      <c r="AG843" s="260"/>
      <c r="AH843" s="259"/>
      <c r="AI843" s="259"/>
      <c r="AJ843" s="259"/>
      <c r="AK843" s="259">
        <v>10</v>
      </c>
      <c r="AL843" s="259"/>
      <c r="AM843" s="259" t="s">
        <v>3659</v>
      </c>
      <c r="AN843" s="449"/>
      <c r="AO843" s="449"/>
      <c r="AP843" s="449"/>
      <c r="AQ843" s="392" t="str">
        <f>IFERROR(VLOOKUP(BG843,#REF!,1,0),"")</f>
        <v/>
      </c>
      <c r="AS843" s="259" t="s">
        <v>3227</v>
      </c>
      <c r="BD843" s="202" t="str">
        <f t="shared" si="128"/>
        <v>XC90B6 AWD 플러스 브라이트</v>
      </c>
      <c r="BE843" s="261" t="str">
        <f t="shared" si="134"/>
        <v>0083</v>
      </c>
      <c r="BF843" s="407" t="s">
        <v>255</v>
      </c>
      <c r="BG843" s="202" t="str">
        <f t="shared" si="129"/>
        <v>0083-0842</v>
      </c>
    </row>
    <row r="844" spans="1:59">
      <c r="A844" s="405">
        <v>4618</v>
      </c>
      <c r="B844" s="406">
        <v>4618</v>
      </c>
      <c r="C844" s="261" t="str">
        <f t="shared" si="130"/>
        <v>0036-0083</v>
      </c>
      <c r="D844" s="261" t="str">
        <f t="shared" si="131"/>
        <v>0036-0083-0002</v>
      </c>
      <c r="E844" s="407" t="s">
        <v>254</v>
      </c>
      <c r="F844" s="261" t="str">
        <f>TEXT(VLOOKUP(J844,'[3]1'!$B$2:$D$37,2,0),"0000")</f>
        <v>0036</v>
      </c>
      <c r="G844" s="261" t="str">
        <f t="shared" si="132"/>
        <v>0083</v>
      </c>
      <c r="H844" s="408">
        <f t="shared" si="133"/>
        <v>2</v>
      </c>
      <c r="I844" s="407" t="s">
        <v>254</v>
      </c>
      <c r="J844" s="258" t="s">
        <v>76</v>
      </c>
      <c r="K844" s="258" t="s">
        <v>75</v>
      </c>
      <c r="L844" s="258" t="s">
        <v>3560</v>
      </c>
      <c r="M844" s="409">
        <v>96500000</v>
      </c>
      <c r="N844" s="258">
        <v>1969</v>
      </c>
      <c r="O844" s="258" t="s">
        <v>77</v>
      </c>
      <c r="P844" s="258" t="s">
        <v>73</v>
      </c>
      <c r="Q844" s="258" t="s">
        <v>72</v>
      </c>
      <c r="R844" s="258">
        <v>7</v>
      </c>
      <c r="S844" s="410">
        <v>26</v>
      </c>
      <c r="T844" s="261">
        <v>6</v>
      </c>
      <c r="U844" s="261">
        <v>6</v>
      </c>
      <c r="V844" s="258" t="s">
        <v>71</v>
      </c>
      <c r="W844" s="261" t="str">
        <f t="shared" si="135"/>
        <v>VOLVOXC90B6 AWD 얼티메이트 브라이트96500000</v>
      </c>
      <c r="X844" s="411">
        <f t="shared" si="136"/>
        <v>4618</v>
      </c>
      <c r="Y844" s="261">
        <v>6</v>
      </c>
      <c r="Z844" s="261">
        <v>6</v>
      </c>
      <c r="AA844" s="407" t="s">
        <v>254</v>
      </c>
      <c r="AB844" s="258" t="s">
        <v>70</v>
      </c>
      <c r="AC844" s="258"/>
      <c r="AD844" s="258">
        <v>5</v>
      </c>
      <c r="AE844" s="258">
        <v>2</v>
      </c>
      <c r="AF844" s="259"/>
      <c r="AG844" s="260"/>
      <c r="AH844" s="259"/>
      <c r="AI844" s="259"/>
      <c r="AJ844" s="259"/>
      <c r="AK844" s="259">
        <v>10</v>
      </c>
      <c r="AL844" s="259"/>
      <c r="AM844" s="259" t="s">
        <v>3659</v>
      </c>
      <c r="AN844" s="449"/>
      <c r="AO844" s="449"/>
      <c r="AP844" s="449"/>
      <c r="AQ844" s="392" t="str">
        <f>IFERROR(VLOOKUP(BG844,#REF!,1,0),"")</f>
        <v/>
      </c>
      <c r="AS844" s="259" t="s">
        <v>3227</v>
      </c>
      <c r="BD844" s="202" t="str">
        <f t="shared" si="128"/>
        <v>XC90B6 AWD 얼티메이트 브라이트</v>
      </c>
      <c r="BE844" s="261" t="str">
        <f t="shared" si="134"/>
        <v>0083</v>
      </c>
      <c r="BF844" s="407" t="s">
        <v>254</v>
      </c>
      <c r="BG844" s="202" t="str">
        <f t="shared" si="129"/>
        <v>0083-0843</v>
      </c>
    </row>
    <row r="845" spans="1:59">
      <c r="A845" s="405">
        <v>4619</v>
      </c>
      <c r="B845" s="406">
        <v>4619</v>
      </c>
      <c r="C845" s="261" t="str">
        <f t="shared" si="130"/>
        <v>0036-0083</v>
      </c>
      <c r="D845" s="261" t="str">
        <f t="shared" si="131"/>
        <v>0036-0083-0003</v>
      </c>
      <c r="E845" s="407" t="s">
        <v>253</v>
      </c>
      <c r="F845" s="261" t="str">
        <f>TEXT(VLOOKUP(J845,'[3]1'!$B$2:$D$37,2,0),"0000")</f>
        <v>0036</v>
      </c>
      <c r="G845" s="261" t="str">
        <f t="shared" si="132"/>
        <v>0083</v>
      </c>
      <c r="H845" s="408">
        <f t="shared" si="133"/>
        <v>3</v>
      </c>
      <c r="I845" s="407" t="s">
        <v>253</v>
      </c>
      <c r="J845" s="258" t="s">
        <v>76</v>
      </c>
      <c r="K845" s="258" t="s">
        <v>75</v>
      </c>
      <c r="L845" s="258" t="s">
        <v>3561</v>
      </c>
      <c r="M845" s="409">
        <v>115200000</v>
      </c>
      <c r="N845" s="258">
        <v>1969</v>
      </c>
      <c r="O845" s="258" t="s">
        <v>1173</v>
      </c>
      <c r="P845" s="258" t="s">
        <v>73</v>
      </c>
      <c r="Q845" s="258" t="s">
        <v>72</v>
      </c>
      <c r="R845" s="258">
        <v>7</v>
      </c>
      <c r="S845" s="410">
        <v>26</v>
      </c>
      <c r="T845" s="261">
        <v>6</v>
      </c>
      <c r="U845" s="261">
        <v>6</v>
      </c>
      <c r="V845" s="258" t="s">
        <v>71</v>
      </c>
      <c r="W845" s="261" t="str">
        <f t="shared" si="135"/>
        <v>VOLVOXC90T8 AWD 얼티메이트 브라이트115200000</v>
      </c>
      <c r="X845" s="411">
        <f t="shared" si="136"/>
        <v>4619</v>
      </c>
      <c r="Y845" s="261">
        <v>6</v>
      </c>
      <c r="Z845" s="261">
        <v>6</v>
      </c>
      <c r="AA845" s="407" t="s">
        <v>253</v>
      </c>
      <c r="AB845" s="258" t="s">
        <v>70</v>
      </c>
      <c r="AC845" s="258"/>
      <c r="AD845" s="258">
        <v>5</v>
      </c>
      <c r="AE845" s="258">
        <v>2</v>
      </c>
      <c r="AF845" s="259"/>
      <c r="AG845" s="260"/>
      <c r="AH845" s="259"/>
      <c r="AI845" s="259"/>
      <c r="AJ845" s="259"/>
      <c r="AK845" s="259">
        <v>10</v>
      </c>
      <c r="AL845" s="259"/>
      <c r="AM845" s="259" t="s">
        <v>3659</v>
      </c>
      <c r="AN845" s="449"/>
      <c r="AO845" s="449"/>
      <c r="AP845" s="449"/>
      <c r="AQ845" s="392" t="str">
        <f>IFERROR(VLOOKUP(BG845,#REF!,1,0),"")</f>
        <v/>
      </c>
      <c r="AS845" s="259" t="s">
        <v>3227</v>
      </c>
      <c r="BD845" s="202" t="str">
        <f t="shared" si="128"/>
        <v>XC90T8 AWD 얼티메이트 브라이트</v>
      </c>
      <c r="BE845" s="261" t="str">
        <f t="shared" si="134"/>
        <v>0083</v>
      </c>
      <c r="BF845" s="407" t="s">
        <v>253</v>
      </c>
      <c r="BG845" s="202" t="str">
        <f t="shared" si="129"/>
        <v>0083-0844</v>
      </c>
    </row>
    <row r="846" spans="1:59">
      <c r="A846" s="405">
        <v>4620</v>
      </c>
      <c r="B846" s="406">
        <v>4620</v>
      </c>
      <c r="C846" s="261" t="str">
        <f t="shared" si="130"/>
        <v>0035-0084</v>
      </c>
      <c r="D846" s="261" t="str">
        <f t="shared" si="131"/>
        <v>0035-0084-0001</v>
      </c>
      <c r="E846" s="407" t="s">
        <v>252</v>
      </c>
      <c r="F846" s="261" t="str">
        <f>TEXT(VLOOKUP(J846,'[3]1'!$B$2:$D$37,2,0),"0000")</f>
        <v>0035</v>
      </c>
      <c r="G846" s="261" t="str">
        <f t="shared" si="132"/>
        <v>0084</v>
      </c>
      <c r="H846" s="408">
        <f t="shared" si="133"/>
        <v>1</v>
      </c>
      <c r="I846" s="407" t="s">
        <v>252</v>
      </c>
      <c r="J846" s="258" t="s">
        <v>82</v>
      </c>
      <c r="K846" s="258" t="s">
        <v>1292</v>
      </c>
      <c r="L846" s="258" t="s">
        <v>1293</v>
      </c>
      <c r="M846" s="409">
        <v>52900000</v>
      </c>
      <c r="N846" s="258">
        <v>1968</v>
      </c>
      <c r="O846" s="258" t="s">
        <v>78</v>
      </c>
      <c r="P846" s="258" t="s">
        <v>73</v>
      </c>
      <c r="Q846" s="258" t="s">
        <v>72</v>
      </c>
      <c r="R846" s="258">
        <v>5</v>
      </c>
      <c r="S846" s="410">
        <v>10</v>
      </c>
      <c r="T846" s="261">
        <v>6</v>
      </c>
      <c r="U846" s="261">
        <v>6</v>
      </c>
      <c r="V846" s="258" t="s">
        <v>71</v>
      </c>
      <c r="W846" s="261" t="str">
        <f t="shared" si="135"/>
        <v>VOLKSWAGENArteon2.0 TDI Elegance Premium52900000</v>
      </c>
      <c r="X846" s="411">
        <f t="shared" si="136"/>
        <v>4620</v>
      </c>
      <c r="Y846" s="261">
        <v>6</v>
      </c>
      <c r="Z846" s="261">
        <v>6</v>
      </c>
      <c r="AA846" s="407" t="s">
        <v>252</v>
      </c>
      <c r="AB846" s="258" t="s">
        <v>73</v>
      </c>
      <c r="AC846" s="258"/>
      <c r="AD846" s="258">
        <v>4</v>
      </c>
      <c r="AE846" s="258">
        <v>0</v>
      </c>
      <c r="AF846" s="259"/>
      <c r="AG846" s="260"/>
      <c r="AH846" s="259"/>
      <c r="AI846" s="259"/>
      <c r="AJ846" s="259"/>
      <c r="AK846" s="259">
        <v>17</v>
      </c>
      <c r="AL846" s="259"/>
      <c r="AM846" s="259" t="s">
        <v>3719</v>
      </c>
      <c r="AN846" s="449"/>
      <c r="AO846" s="449"/>
      <c r="AP846" s="449"/>
      <c r="AQ846" s="392" t="str">
        <f>IFERROR(VLOOKUP(BG846,#REF!,1,0),"")</f>
        <v/>
      </c>
      <c r="AS846" s="259" t="s">
        <v>3224</v>
      </c>
      <c r="BD846" s="202" t="str">
        <f t="shared" si="128"/>
        <v>Arteon2.0 TDI Elegance Premium</v>
      </c>
      <c r="BE846" s="261" t="str">
        <f t="shared" si="134"/>
        <v>0084</v>
      </c>
      <c r="BF846" s="407" t="s">
        <v>252</v>
      </c>
      <c r="BG846" s="202" t="str">
        <f t="shared" si="129"/>
        <v>0084-0845</v>
      </c>
    </row>
    <row r="847" spans="1:59">
      <c r="A847" s="405">
        <v>4621</v>
      </c>
      <c r="B847" s="406">
        <v>4621</v>
      </c>
      <c r="C847" s="261" t="str">
        <f t="shared" si="130"/>
        <v>0035-0084</v>
      </c>
      <c r="D847" s="261" t="str">
        <f t="shared" si="131"/>
        <v>0035-0084-0002</v>
      </c>
      <c r="E847" s="407" t="s">
        <v>250</v>
      </c>
      <c r="F847" s="261" t="str">
        <f>TEXT(VLOOKUP(J847,'[3]1'!$B$2:$D$37,2,0),"0000")</f>
        <v>0035</v>
      </c>
      <c r="G847" s="261" t="str">
        <f t="shared" si="132"/>
        <v>0084</v>
      </c>
      <c r="H847" s="408">
        <f t="shared" si="133"/>
        <v>2</v>
      </c>
      <c r="I847" s="407" t="s">
        <v>250</v>
      </c>
      <c r="J847" s="258" t="s">
        <v>82</v>
      </c>
      <c r="K847" s="258" t="s">
        <v>1292</v>
      </c>
      <c r="L847" s="258" t="s">
        <v>1294</v>
      </c>
      <c r="M847" s="409">
        <v>57188000</v>
      </c>
      <c r="N847" s="258">
        <v>1968</v>
      </c>
      <c r="O847" s="258" t="s">
        <v>78</v>
      </c>
      <c r="P847" s="258" t="s">
        <v>73</v>
      </c>
      <c r="Q847" s="258" t="s">
        <v>72</v>
      </c>
      <c r="R847" s="258">
        <v>5</v>
      </c>
      <c r="S847" s="410">
        <v>10</v>
      </c>
      <c r="T847" s="261">
        <v>6</v>
      </c>
      <c r="U847" s="261">
        <v>6</v>
      </c>
      <c r="V847" s="258" t="s">
        <v>71</v>
      </c>
      <c r="W847" s="261" t="str">
        <f t="shared" si="135"/>
        <v>VOLKSWAGENArteon2.0 TDI Elegance Prestige57188000</v>
      </c>
      <c r="X847" s="411">
        <f t="shared" si="136"/>
        <v>4621</v>
      </c>
      <c r="Y847" s="261">
        <v>6</v>
      </c>
      <c r="Z847" s="261">
        <v>6</v>
      </c>
      <c r="AA847" s="407" t="s">
        <v>250</v>
      </c>
      <c r="AB847" s="258" t="s">
        <v>73</v>
      </c>
      <c r="AC847" s="258"/>
      <c r="AD847" s="258">
        <v>4</v>
      </c>
      <c r="AE847" s="258">
        <v>0</v>
      </c>
      <c r="AF847" s="259"/>
      <c r="AG847" s="260"/>
      <c r="AH847" s="259"/>
      <c r="AI847" s="259"/>
      <c r="AJ847" s="259"/>
      <c r="AK847" s="259">
        <v>17</v>
      </c>
      <c r="AL847" s="259"/>
      <c r="AM847" s="259" t="s">
        <v>3719</v>
      </c>
      <c r="AN847" s="449"/>
      <c r="AO847" s="449"/>
      <c r="AP847" s="449"/>
      <c r="AQ847" s="392" t="str">
        <f>IFERROR(VLOOKUP(BG847,#REF!,1,0),"")</f>
        <v/>
      </c>
      <c r="AS847" s="259" t="s">
        <v>3224</v>
      </c>
      <c r="BD847" s="202" t="str">
        <f t="shared" si="128"/>
        <v>Arteon2.0 TDI Elegance Prestige</v>
      </c>
      <c r="BE847" s="261" t="str">
        <f t="shared" si="134"/>
        <v>0084</v>
      </c>
      <c r="BF847" s="407" t="s">
        <v>250</v>
      </c>
      <c r="BG847" s="202" t="str">
        <f t="shared" si="129"/>
        <v>0084-0846</v>
      </c>
    </row>
    <row r="848" spans="1:59">
      <c r="A848" s="405">
        <v>4622</v>
      </c>
      <c r="B848" s="406">
        <v>4622</v>
      </c>
      <c r="C848" s="261" t="str">
        <f t="shared" si="130"/>
        <v>0035-0085</v>
      </c>
      <c r="D848" s="261" t="str">
        <f t="shared" si="131"/>
        <v>0035-0085-0001</v>
      </c>
      <c r="E848" s="407" t="s">
        <v>249</v>
      </c>
      <c r="F848" s="261" t="str">
        <f>TEXT(VLOOKUP(J848,'[3]1'!$B$2:$D$37,2,0),"0000")</f>
        <v>0035</v>
      </c>
      <c r="G848" s="261" t="str">
        <f t="shared" si="132"/>
        <v>0085</v>
      </c>
      <c r="H848" s="408">
        <f t="shared" si="133"/>
        <v>1</v>
      </c>
      <c r="I848" s="407" t="s">
        <v>249</v>
      </c>
      <c r="J848" s="258" t="s">
        <v>82</v>
      </c>
      <c r="K848" s="258" t="s">
        <v>3180</v>
      </c>
      <c r="L848" s="258" t="s">
        <v>3181</v>
      </c>
      <c r="M848" s="409">
        <v>36900000</v>
      </c>
      <c r="N848" s="258">
        <v>1968</v>
      </c>
      <c r="O848" s="258" t="s">
        <v>78</v>
      </c>
      <c r="P848" s="258" t="s">
        <v>73</v>
      </c>
      <c r="Q848" s="258" t="s">
        <v>72</v>
      </c>
      <c r="R848" s="258">
        <v>5</v>
      </c>
      <c r="S848" s="410">
        <v>6</v>
      </c>
      <c r="T848" s="261">
        <v>6</v>
      </c>
      <c r="U848" s="261">
        <v>6</v>
      </c>
      <c r="V848" s="258" t="s">
        <v>71</v>
      </c>
      <c r="W848" s="261" t="str">
        <f t="shared" si="135"/>
        <v>VOLKSWAGENGolf2.0 TDI Premium36900000</v>
      </c>
      <c r="X848" s="411">
        <f t="shared" si="136"/>
        <v>4622</v>
      </c>
      <c r="Y848" s="261">
        <v>6</v>
      </c>
      <c r="Z848" s="261">
        <v>6</v>
      </c>
      <c r="AA848" s="407" t="s">
        <v>249</v>
      </c>
      <c r="AB848" s="258" t="s">
        <v>73</v>
      </c>
      <c r="AC848" s="258"/>
      <c r="AD848" s="258">
        <v>7</v>
      </c>
      <c r="AE848" s="258">
        <v>0</v>
      </c>
      <c r="AF848" s="259"/>
      <c r="AG848" s="260"/>
      <c r="AH848" s="259"/>
      <c r="AI848" s="259"/>
      <c r="AJ848" s="259"/>
      <c r="AK848" s="259">
        <v>13</v>
      </c>
      <c r="AL848" s="259"/>
      <c r="AM848" s="259" t="s">
        <v>3722</v>
      </c>
      <c r="AN848" s="449"/>
      <c r="AO848" s="449"/>
      <c r="AP848" s="449"/>
      <c r="AQ848" s="392" t="str">
        <f>IFERROR(VLOOKUP(BG848,#REF!,1,0),"")</f>
        <v/>
      </c>
      <c r="AS848" s="259" t="s">
        <v>150</v>
      </c>
      <c r="AT848" s="392" t="s">
        <v>3184</v>
      </c>
      <c r="AW848" s="392" t="s">
        <v>3183</v>
      </c>
      <c r="BD848" s="202" t="str">
        <f t="shared" si="128"/>
        <v>Golf2.0 TDI Premium</v>
      </c>
      <c r="BE848" s="261" t="str">
        <f t="shared" si="134"/>
        <v>0085</v>
      </c>
      <c r="BF848" s="407" t="s">
        <v>249</v>
      </c>
      <c r="BG848" s="202" t="str">
        <f t="shared" si="129"/>
        <v>0085-0847</v>
      </c>
    </row>
    <row r="849" spans="1:59">
      <c r="A849" s="405">
        <v>4623</v>
      </c>
      <c r="B849" s="406">
        <v>4623</v>
      </c>
      <c r="C849" s="261" t="str">
        <f t="shared" si="130"/>
        <v>0035-0085</v>
      </c>
      <c r="D849" s="261" t="str">
        <f t="shared" si="131"/>
        <v>0035-0085-0002</v>
      </c>
      <c r="E849" s="407" t="s">
        <v>248</v>
      </c>
      <c r="F849" s="261" t="str">
        <f>TEXT(VLOOKUP(J849,'[3]1'!$B$2:$D$37,2,0),"0000")</f>
        <v>0035</v>
      </c>
      <c r="G849" s="261" t="str">
        <f t="shared" si="132"/>
        <v>0085</v>
      </c>
      <c r="H849" s="408">
        <f t="shared" si="133"/>
        <v>2</v>
      </c>
      <c r="I849" s="407" t="s">
        <v>248</v>
      </c>
      <c r="J849" s="258" t="s">
        <v>82</v>
      </c>
      <c r="K849" s="258" t="s">
        <v>3180</v>
      </c>
      <c r="L849" s="258" t="s">
        <v>3182</v>
      </c>
      <c r="M849" s="409">
        <v>38500000</v>
      </c>
      <c r="N849" s="258">
        <v>1968</v>
      </c>
      <c r="O849" s="258" t="s">
        <v>78</v>
      </c>
      <c r="P849" s="258" t="s">
        <v>73</v>
      </c>
      <c r="Q849" s="258" t="s">
        <v>72</v>
      </c>
      <c r="R849" s="258">
        <v>5</v>
      </c>
      <c r="S849" s="410">
        <v>6</v>
      </c>
      <c r="T849" s="261">
        <v>6</v>
      </c>
      <c r="U849" s="261">
        <v>6</v>
      </c>
      <c r="V849" s="258" t="s">
        <v>71</v>
      </c>
      <c r="W849" s="261" t="str">
        <f t="shared" si="135"/>
        <v>VOLKSWAGENGolf2.0 TDI Prestige38500000</v>
      </c>
      <c r="X849" s="411">
        <f t="shared" si="136"/>
        <v>4623</v>
      </c>
      <c r="Y849" s="261">
        <v>6</v>
      </c>
      <c r="Z849" s="261">
        <v>6</v>
      </c>
      <c r="AA849" s="407" t="s">
        <v>248</v>
      </c>
      <c r="AB849" s="258" t="s">
        <v>73</v>
      </c>
      <c r="AC849" s="258"/>
      <c r="AD849" s="258">
        <v>7</v>
      </c>
      <c r="AE849" s="258">
        <v>0</v>
      </c>
      <c r="AF849" s="259"/>
      <c r="AG849" s="260"/>
      <c r="AH849" s="259"/>
      <c r="AI849" s="259"/>
      <c r="AJ849" s="259"/>
      <c r="AK849" s="259">
        <v>13</v>
      </c>
      <c r="AL849" s="259"/>
      <c r="AM849" s="259" t="s">
        <v>3722</v>
      </c>
      <c r="AN849" s="449"/>
      <c r="AO849" s="449"/>
      <c r="AP849" s="449"/>
      <c r="AQ849" s="392" t="str">
        <f>IFERROR(VLOOKUP(BG849,#REF!,1,0),"")</f>
        <v/>
      </c>
      <c r="AS849" s="259" t="s">
        <v>150</v>
      </c>
      <c r="AT849" s="392" t="s">
        <v>3184</v>
      </c>
      <c r="AW849" s="392" t="s">
        <v>3183</v>
      </c>
      <c r="BD849" s="202" t="str">
        <f t="shared" si="128"/>
        <v>Golf2.0 TDI Prestige</v>
      </c>
      <c r="BE849" s="261" t="str">
        <f t="shared" si="134"/>
        <v>0085</v>
      </c>
      <c r="BF849" s="407" t="s">
        <v>248</v>
      </c>
      <c r="BG849" s="202" t="str">
        <f t="shared" si="129"/>
        <v>0085-0848</v>
      </c>
    </row>
    <row r="850" spans="1:59">
      <c r="A850" s="405">
        <v>4624</v>
      </c>
      <c r="B850" s="406">
        <v>4624</v>
      </c>
      <c r="C850" s="261" t="str">
        <f t="shared" si="130"/>
        <v>0035-0085</v>
      </c>
      <c r="D850" s="261" t="str">
        <f t="shared" si="131"/>
        <v>0035-0085-0003</v>
      </c>
      <c r="E850" s="407" t="s">
        <v>247</v>
      </c>
      <c r="F850" s="261" t="str">
        <f>TEXT(VLOOKUP(J850,'[3]1'!$B$2:$D$37,2,0),"0000")</f>
        <v>0035</v>
      </c>
      <c r="G850" s="261" t="str">
        <f t="shared" si="132"/>
        <v>0085</v>
      </c>
      <c r="H850" s="408">
        <f t="shared" si="133"/>
        <v>3</v>
      </c>
      <c r="I850" s="407" t="s">
        <v>247</v>
      </c>
      <c r="J850" s="258" t="s">
        <v>82</v>
      </c>
      <c r="K850" s="258" t="s">
        <v>3180</v>
      </c>
      <c r="L850" s="258" t="s">
        <v>3720</v>
      </c>
      <c r="M850" s="409">
        <v>49700000</v>
      </c>
      <c r="N850" s="258">
        <v>1984</v>
      </c>
      <c r="O850" s="258" t="s">
        <v>3721</v>
      </c>
      <c r="P850" s="258" t="s">
        <v>73</v>
      </c>
      <c r="Q850" s="258" t="s">
        <v>72</v>
      </c>
      <c r="R850" s="258">
        <v>5</v>
      </c>
      <c r="S850" s="410">
        <v>6</v>
      </c>
      <c r="T850" s="261">
        <v>6</v>
      </c>
      <c r="U850" s="261">
        <v>6</v>
      </c>
      <c r="V850" s="258" t="s">
        <v>71</v>
      </c>
      <c r="W850" s="261" t="str">
        <f t="shared" si="135"/>
        <v>VOLKSWAGENGolf2.0 GTI49700000</v>
      </c>
      <c r="X850" s="411">
        <f t="shared" si="136"/>
        <v>4624</v>
      </c>
      <c r="Y850" s="261">
        <v>6</v>
      </c>
      <c r="Z850" s="261">
        <v>6</v>
      </c>
      <c r="AA850" s="407" t="s">
        <v>247</v>
      </c>
      <c r="AB850" s="258" t="s">
        <v>73</v>
      </c>
      <c r="AC850" s="258"/>
      <c r="AD850" s="258">
        <v>7</v>
      </c>
      <c r="AE850" s="258">
        <v>0</v>
      </c>
      <c r="AF850" s="259"/>
      <c r="AG850" s="260"/>
      <c r="AH850" s="259"/>
      <c r="AI850" s="259"/>
      <c r="AJ850" s="259"/>
      <c r="AK850" s="259">
        <v>13</v>
      </c>
      <c r="AL850" s="259"/>
      <c r="AM850" s="259" t="s">
        <v>3722</v>
      </c>
      <c r="AN850" s="449"/>
      <c r="AO850" s="449"/>
      <c r="AP850" s="449"/>
      <c r="AQ850" s="392" t="str">
        <f>IFERROR(VLOOKUP(BG850,#REF!,1,0),"")</f>
        <v/>
      </c>
      <c r="AS850" s="259" t="s">
        <v>150</v>
      </c>
      <c r="AT850" s="392" t="s">
        <v>3179</v>
      </c>
      <c r="AW850" s="392" t="s">
        <v>1914</v>
      </c>
      <c r="BD850" s="202" t="str">
        <f t="shared" si="128"/>
        <v>Golf2.0 GTI</v>
      </c>
      <c r="BE850" s="261" t="str">
        <f t="shared" si="134"/>
        <v>0085</v>
      </c>
      <c r="BF850" s="407" t="s">
        <v>247</v>
      </c>
      <c r="BG850" s="202" t="str">
        <f t="shared" si="129"/>
        <v>0085-0849</v>
      </c>
    </row>
    <row r="851" spans="1:59">
      <c r="A851" s="405">
        <v>4625</v>
      </c>
      <c r="B851" s="406">
        <v>4625</v>
      </c>
      <c r="C851" s="261" t="str">
        <f t="shared" si="130"/>
        <v>0035-0086</v>
      </c>
      <c r="D851" s="261" t="str">
        <f t="shared" si="131"/>
        <v>0035-0086-0001</v>
      </c>
      <c r="E851" s="407" t="s">
        <v>246</v>
      </c>
      <c r="F851" s="261" t="str">
        <f>TEXT(VLOOKUP(J851,'[3]1'!$B$2:$D$37,2,0),"0000")</f>
        <v>0035</v>
      </c>
      <c r="G851" s="261" t="str">
        <f t="shared" si="132"/>
        <v>0086</v>
      </c>
      <c r="H851" s="408">
        <f t="shared" si="133"/>
        <v>1</v>
      </c>
      <c r="I851" s="407" t="s">
        <v>246</v>
      </c>
      <c r="J851" s="413" t="s">
        <v>82</v>
      </c>
      <c r="K851" s="413" t="s">
        <v>2868</v>
      </c>
      <c r="L851" s="413" t="s">
        <v>3723</v>
      </c>
      <c r="M851" s="415">
        <v>32900000</v>
      </c>
      <c r="N851" s="416">
        <v>1498</v>
      </c>
      <c r="O851" s="258" t="s">
        <v>77</v>
      </c>
      <c r="P851" s="413" t="s">
        <v>73</v>
      </c>
      <c r="Q851" s="413" t="s">
        <v>72</v>
      </c>
      <c r="R851" s="416">
        <v>5</v>
      </c>
      <c r="S851" s="410">
        <v>10</v>
      </c>
      <c r="T851" s="261">
        <v>6</v>
      </c>
      <c r="U851" s="261">
        <v>6</v>
      </c>
      <c r="V851" s="258" t="s">
        <v>71</v>
      </c>
      <c r="W851" s="261" t="str">
        <f t="shared" si="135"/>
        <v>VOLKSWAGENJetta1.5 TSI Premium32900000</v>
      </c>
      <c r="X851" s="411">
        <f t="shared" si="136"/>
        <v>4625</v>
      </c>
      <c r="Y851" s="261">
        <v>6</v>
      </c>
      <c r="Z851" s="261">
        <v>6</v>
      </c>
      <c r="AA851" s="407" t="s">
        <v>246</v>
      </c>
      <c r="AB851" s="258" t="s">
        <v>73</v>
      </c>
      <c r="AC851" s="258"/>
      <c r="AD851" s="258">
        <v>4</v>
      </c>
      <c r="AE851" s="258">
        <v>0</v>
      </c>
      <c r="AF851" s="259"/>
      <c r="AG851" s="260"/>
      <c r="AH851" s="259"/>
      <c r="AI851" s="259"/>
      <c r="AJ851" s="259"/>
      <c r="AK851" s="259">
        <v>15</v>
      </c>
      <c r="AL851" s="259"/>
      <c r="AM851" s="259" t="s">
        <v>3725</v>
      </c>
      <c r="AN851" s="449"/>
      <c r="AO851" s="449"/>
      <c r="AP851" s="449"/>
      <c r="AQ851" s="392" t="str">
        <f>IFERROR(VLOOKUP(BG851,#REF!,1,0),"")</f>
        <v/>
      </c>
      <c r="AS851" s="259" t="s">
        <v>3224</v>
      </c>
      <c r="BD851" s="202" t="str">
        <f t="shared" si="128"/>
        <v>Jetta1.5 TSI Premium</v>
      </c>
      <c r="BE851" s="261" t="str">
        <f t="shared" si="134"/>
        <v>0086</v>
      </c>
      <c r="BF851" s="407" t="s">
        <v>246</v>
      </c>
      <c r="BG851" s="202" t="str">
        <f t="shared" si="129"/>
        <v>0086-0850</v>
      </c>
    </row>
    <row r="852" spans="1:59">
      <c r="A852" s="405">
        <v>4626</v>
      </c>
      <c r="B852" s="406">
        <v>4626</v>
      </c>
      <c r="C852" s="261" t="str">
        <f t="shared" si="130"/>
        <v>0035-0086</v>
      </c>
      <c r="D852" s="261" t="str">
        <f t="shared" si="131"/>
        <v>0035-0086-0002</v>
      </c>
      <c r="E852" s="407" t="s">
        <v>245</v>
      </c>
      <c r="F852" s="261" t="str">
        <f>TEXT(VLOOKUP(J852,'[3]1'!$B$2:$D$37,2,0),"0000")</f>
        <v>0035</v>
      </c>
      <c r="G852" s="261" t="str">
        <f t="shared" si="132"/>
        <v>0086</v>
      </c>
      <c r="H852" s="408">
        <f t="shared" si="133"/>
        <v>2</v>
      </c>
      <c r="I852" s="407" t="s">
        <v>245</v>
      </c>
      <c r="J852" s="413" t="s">
        <v>82</v>
      </c>
      <c r="K852" s="413" t="s">
        <v>2868</v>
      </c>
      <c r="L852" s="413" t="s">
        <v>3724</v>
      </c>
      <c r="M852" s="415">
        <v>36600000</v>
      </c>
      <c r="N852" s="416">
        <v>1498</v>
      </c>
      <c r="O852" s="258" t="s">
        <v>77</v>
      </c>
      <c r="P852" s="413" t="s">
        <v>73</v>
      </c>
      <c r="Q852" s="413" t="s">
        <v>72</v>
      </c>
      <c r="R852" s="416">
        <v>5</v>
      </c>
      <c r="S852" s="410">
        <v>10</v>
      </c>
      <c r="T852" s="261">
        <v>6</v>
      </c>
      <c r="U852" s="261">
        <v>6</v>
      </c>
      <c r="V852" s="258" t="s">
        <v>71</v>
      </c>
      <c r="W852" s="261" t="str">
        <f t="shared" si="135"/>
        <v>VOLKSWAGENJetta1.5 TSI Prestige36600000</v>
      </c>
      <c r="X852" s="411">
        <f t="shared" si="136"/>
        <v>4626</v>
      </c>
      <c r="Y852" s="261">
        <v>6</v>
      </c>
      <c r="Z852" s="261">
        <v>6</v>
      </c>
      <c r="AA852" s="407" t="s">
        <v>245</v>
      </c>
      <c r="AB852" s="258" t="s">
        <v>73</v>
      </c>
      <c r="AC852" s="258"/>
      <c r="AD852" s="258">
        <v>4</v>
      </c>
      <c r="AE852" s="258">
        <v>0</v>
      </c>
      <c r="AF852" s="259"/>
      <c r="AG852" s="260"/>
      <c r="AH852" s="259"/>
      <c r="AI852" s="259"/>
      <c r="AJ852" s="259"/>
      <c r="AK852" s="259">
        <v>15</v>
      </c>
      <c r="AL852" s="259"/>
      <c r="AM852" s="259" t="s">
        <v>3725</v>
      </c>
      <c r="AN852" s="449"/>
      <c r="AO852" s="449"/>
      <c r="AP852" s="449"/>
      <c r="AQ852" s="392" t="str">
        <f>IFERROR(VLOOKUP(BG852,#REF!,1,0),"")</f>
        <v/>
      </c>
      <c r="AS852" s="259" t="s">
        <v>3224</v>
      </c>
      <c r="BD852" s="202" t="str">
        <f t="shared" si="128"/>
        <v>Jetta1.5 TSI Prestige</v>
      </c>
      <c r="BE852" s="261" t="str">
        <f t="shared" si="134"/>
        <v>0086</v>
      </c>
      <c r="BF852" s="407" t="s">
        <v>245</v>
      </c>
      <c r="BG852" s="202" t="str">
        <f t="shared" si="129"/>
        <v>0086-0851</v>
      </c>
    </row>
    <row r="853" spans="1:59">
      <c r="A853" s="405">
        <v>4627</v>
      </c>
      <c r="B853" s="406">
        <v>4627</v>
      </c>
      <c r="C853" s="261" t="str">
        <f t="shared" si="130"/>
        <v>0035-0087</v>
      </c>
      <c r="D853" s="261" t="str">
        <f t="shared" si="131"/>
        <v>0035-0087-0001</v>
      </c>
      <c r="E853" s="407" t="s">
        <v>244</v>
      </c>
      <c r="F853" s="261" t="str">
        <f>TEXT(VLOOKUP(J853,'[3]1'!$B$2:$D$37,2,0),"0000")</f>
        <v>0035</v>
      </c>
      <c r="G853" s="261" t="str">
        <f t="shared" si="132"/>
        <v>0087</v>
      </c>
      <c r="H853" s="408">
        <f t="shared" si="133"/>
        <v>1</v>
      </c>
      <c r="I853" s="407" t="s">
        <v>244</v>
      </c>
      <c r="J853" s="258" t="s">
        <v>82</v>
      </c>
      <c r="K853" s="258" t="s">
        <v>83</v>
      </c>
      <c r="L853" s="258" t="s">
        <v>85</v>
      </c>
      <c r="M853" s="409">
        <v>38048000</v>
      </c>
      <c r="N853" s="258">
        <v>1968</v>
      </c>
      <c r="O853" s="258" t="s">
        <v>78</v>
      </c>
      <c r="P853" s="258" t="s">
        <v>73</v>
      </c>
      <c r="Q853" s="258" t="s">
        <v>72</v>
      </c>
      <c r="R853" s="258">
        <v>5</v>
      </c>
      <c r="S853" s="410">
        <v>8</v>
      </c>
      <c r="T853" s="261">
        <v>6</v>
      </c>
      <c r="U853" s="261">
        <v>6</v>
      </c>
      <c r="V853" s="258" t="s">
        <v>71</v>
      </c>
      <c r="W853" s="261" t="str">
        <f t="shared" si="135"/>
        <v>VOLKSWAGENTiguan2.0 TDI38048000</v>
      </c>
      <c r="X853" s="411">
        <f t="shared" si="136"/>
        <v>4627</v>
      </c>
      <c r="Y853" s="261">
        <v>6</v>
      </c>
      <c r="Z853" s="261">
        <v>6</v>
      </c>
      <c r="AA853" s="407" t="s">
        <v>244</v>
      </c>
      <c r="AB853" s="258" t="s">
        <v>70</v>
      </c>
      <c r="AC853" s="258"/>
      <c r="AD853" s="258">
        <v>3</v>
      </c>
      <c r="AE853" s="258">
        <v>0</v>
      </c>
      <c r="AF853" s="259"/>
      <c r="AG853" s="260"/>
      <c r="AH853" s="259"/>
      <c r="AI853" s="259"/>
      <c r="AJ853" s="259"/>
      <c r="AK853" s="259">
        <v>10</v>
      </c>
      <c r="AL853" s="259"/>
      <c r="AM853" s="259" t="s">
        <v>3727</v>
      </c>
      <c r="AN853" s="449"/>
      <c r="AO853" s="449"/>
      <c r="AP853" s="449"/>
      <c r="AQ853" s="392" t="str">
        <f>IFERROR(VLOOKUP(BG853,#REF!,1,0),"")</f>
        <v/>
      </c>
      <c r="AS853" s="259" t="s">
        <v>3231</v>
      </c>
      <c r="BD853" s="202" t="str">
        <f t="shared" si="128"/>
        <v>Tiguan2.0 TDI</v>
      </c>
      <c r="BE853" s="261" t="str">
        <f t="shared" si="134"/>
        <v>0087</v>
      </c>
      <c r="BF853" s="407" t="s">
        <v>244</v>
      </c>
      <c r="BG853" s="202" t="str">
        <f t="shared" si="129"/>
        <v>0087-0852</v>
      </c>
    </row>
    <row r="854" spans="1:59">
      <c r="A854" s="405">
        <v>4628</v>
      </c>
      <c r="B854" s="406">
        <v>4628</v>
      </c>
      <c r="C854" s="261" t="str">
        <f t="shared" si="130"/>
        <v>0035-0087</v>
      </c>
      <c r="D854" s="261" t="str">
        <f t="shared" si="131"/>
        <v>0035-0087-0002</v>
      </c>
      <c r="E854" s="407" t="s">
        <v>243</v>
      </c>
      <c r="F854" s="261" t="str">
        <f>TEXT(VLOOKUP(J854,'[3]1'!$B$2:$D$37,2,0),"0000")</f>
        <v>0035</v>
      </c>
      <c r="G854" s="261" t="str">
        <f t="shared" si="132"/>
        <v>0087</v>
      </c>
      <c r="H854" s="408">
        <f t="shared" si="133"/>
        <v>2</v>
      </c>
      <c r="I854" s="407" t="s">
        <v>243</v>
      </c>
      <c r="J854" s="258" t="s">
        <v>82</v>
      </c>
      <c r="K854" s="258" t="s">
        <v>83</v>
      </c>
      <c r="L854" s="258" t="s">
        <v>1264</v>
      </c>
      <c r="M854" s="409">
        <v>46877000</v>
      </c>
      <c r="N854" s="258">
        <v>1968</v>
      </c>
      <c r="O854" s="258" t="s">
        <v>78</v>
      </c>
      <c r="P854" s="258" t="s">
        <v>73</v>
      </c>
      <c r="Q854" s="258" t="s">
        <v>72</v>
      </c>
      <c r="R854" s="258">
        <v>5</v>
      </c>
      <c r="S854" s="410">
        <v>8</v>
      </c>
      <c r="T854" s="261">
        <v>6</v>
      </c>
      <c r="U854" s="261">
        <v>6</v>
      </c>
      <c r="V854" s="258" t="s">
        <v>71</v>
      </c>
      <c r="W854" s="261" t="str">
        <f t="shared" si="135"/>
        <v>VOLKSWAGENTiguan2.0 TDI 4Motion Prestige46877000</v>
      </c>
      <c r="X854" s="411">
        <f t="shared" si="136"/>
        <v>4628</v>
      </c>
      <c r="Y854" s="261">
        <v>6</v>
      </c>
      <c r="Z854" s="261">
        <v>6</v>
      </c>
      <c r="AA854" s="407" t="s">
        <v>243</v>
      </c>
      <c r="AB854" s="258" t="s">
        <v>70</v>
      </c>
      <c r="AC854" s="258"/>
      <c r="AD854" s="258">
        <v>3</v>
      </c>
      <c r="AE854" s="258">
        <v>0</v>
      </c>
      <c r="AF854" s="259"/>
      <c r="AG854" s="260"/>
      <c r="AH854" s="259"/>
      <c r="AI854" s="259"/>
      <c r="AJ854" s="259"/>
      <c r="AK854" s="259">
        <v>10</v>
      </c>
      <c r="AL854" s="259"/>
      <c r="AM854" s="259" t="s">
        <v>3727</v>
      </c>
      <c r="AN854" s="449"/>
      <c r="AO854" s="449"/>
      <c r="AP854" s="449"/>
      <c r="AQ854" s="392" t="str">
        <f>IFERROR(VLOOKUP(BG854,#REF!,1,0),"")</f>
        <v/>
      </c>
      <c r="AS854" s="259" t="s">
        <v>3231</v>
      </c>
      <c r="BD854" s="202" t="str">
        <f t="shared" si="128"/>
        <v>Tiguan2.0 TDI 4Motion Prestige</v>
      </c>
      <c r="BE854" s="261" t="str">
        <f t="shared" si="134"/>
        <v>0087</v>
      </c>
      <c r="BF854" s="407" t="s">
        <v>243</v>
      </c>
      <c r="BG854" s="202" t="str">
        <f t="shared" si="129"/>
        <v>0087-0853</v>
      </c>
    </row>
    <row r="855" spans="1:59">
      <c r="A855" s="405">
        <v>4629</v>
      </c>
      <c r="B855" s="406">
        <v>4629</v>
      </c>
      <c r="C855" s="261" t="str">
        <f t="shared" si="130"/>
        <v>0035-0087</v>
      </c>
      <c r="D855" s="261" t="str">
        <f t="shared" si="131"/>
        <v>0035-0087-0003</v>
      </c>
      <c r="E855" s="407" t="s">
        <v>242</v>
      </c>
      <c r="F855" s="261" t="str">
        <f>TEXT(VLOOKUP(J855,'[3]1'!$B$2:$D$37,2,0),"0000")</f>
        <v>0035</v>
      </c>
      <c r="G855" s="261" t="str">
        <f t="shared" si="132"/>
        <v>0087</v>
      </c>
      <c r="H855" s="408">
        <f t="shared" si="133"/>
        <v>3</v>
      </c>
      <c r="I855" s="407" t="s">
        <v>242</v>
      </c>
      <c r="J855" s="258" t="s">
        <v>82</v>
      </c>
      <c r="K855" s="258" t="s">
        <v>83</v>
      </c>
      <c r="L855" s="258" t="s">
        <v>84</v>
      </c>
      <c r="M855" s="409">
        <v>40146000</v>
      </c>
      <c r="N855" s="258">
        <v>1968</v>
      </c>
      <c r="O855" s="258" t="s">
        <v>78</v>
      </c>
      <c r="P855" s="258" t="s">
        <v>73</v>
      </c>
      <c r="Q855" s="258" t="s">
        <v>72</v>
      </c>
      <c r="R855" s="258">
        <v>5</v>
      </c>
      <c r="S855" s="410">
        <v>8</v>
      </c>
      <c r="T855" s="261">
        <v>6</v>
      </c>
      <c r="U855" s="261">
        <v>6</v>
      </c>
      <c r="V855" s="258" t="s">
        <v>71</v>
      </c>
      <c r="W855" s="261" t="str">
        <f t="shared" si="135"/>
        <v>VOLKSWAGENTiguan2.0 TDI Premium40146000</v>
      </c>
      <c r="X855" s="411">
        <f t="shared" si="136"/>
        <v>4629</v>
      </c>
      <c r="Y855" s="261">
        <v>6</v>
      </c>
      <c r="Z855" s="261">
        <v>6</v>
      </c>
      <c r="AA855" s="407" t="s">
        <v>242</v>
      </c>
      <c r="AB855" s="258" t="s">
        <v>70</v>
      </c>
      <c r="AC855" s="258"/>
      <c r="AD855" s="258">
        <v>3</v>
      </c>
      <c r="AE855" s="258">
        <v>0</v>
      </c>
      <c r="AF855" s="259"/>
      <c r="AG855" s="260"/>
      <c r="AH855" s="259"/>
      <c r="AI855" s="259"/>
      <c r="AJ855" s="259"/>
      <c r="AK855" s="259">
        <v>10</v>
      </c>
      <c r="AL855" s="259"/>
      <c r="AM855" s="259" t="s">
        <v>3727</v>
      </c>
      <c r="AN855" s="449"/>
      <c r="AO855" s="449"/>
      <c r="AP855" s="449"/>
      <c r="AQ855" s="392" t="str">
        <f>IFERROR(VLOOKUP(BG855,#REF!,1,0),"")</f>
        <v/>
      </c>
      <c r="AS855" s="259" t="s">
        <v>3231</v>
      </c>
      <c r="BD855" s="202" t="str">
        <f t="shared" si="128"/>
        <v>Tiguan2.0 TDI Premium</v>
      </c>
      <c r="BE855" s="261" t="str">
        <f t="shared" si="134"/>
        <v>0087</v>
      </c>
      <c r="BF855" s="407" t="s">
        <v>242</v>
      </c>
      <c r="BG855" s="202" t="str">
        <f t="shared" si="129"/>
        <v>0087-0854</v>
      </c>
    </row>
    <row r="856" spans="1:59">
      <c r="A856" s="405">
        <v>4630</v>
      </c>
      <c r="B856" s="406">
        <v>4630</v>
      </c>
      <c r="C856" s="261" t="str">
        <f t="shared" si="130"/>
        <v>0035-0087</v>
      </c>
      <c r="D856" s="261" t="str">
        <f t="shared" si="131"/>
        <v>0035-0087-0004</v>
      </c>
      <c r="E856" s="407" t="s">
        <v>241</v>
      </c>
      <c r="F856" s="261" t="str">
        <f>TEXT(VLOOKUP(J856,'[3]1'!$B$2:$D$37,2,0),"0000")</f>
        <v>0035</v>
      </c>
      <c r="G856" s="261" t="str">
        <f t="shared" si="132"/>
        <v>0087</v>
      </c>
      <c r="H856" s="408">
        <f t="shared" si="133"/>
        <v>4</v>
      </c>
      <c r="I856" s="407" t="s">
        <v>241</v>
      </c>
      <c r="J856" s="258" t="s">
        <v>82</v>
      </c>
      <c r="K856" s="258" t="s">
        <v>83</v>
      </c>
      <c r="L856" s="258" t="s">
        <v>1265</v>
      </c>
      <c r="M856" s="409">
        <v>43919000</v>
      </c>
      <c r="N856" s="258">
        <v>1968</v>
      </c>
      <c r="O856" s="258" t="s">
        <v>78</v>
      </c>
      <c r="P856" s="258" t="s">
        <v>73</v>
      </c>
      <c r="Q856" s="258" t="s">
        <v>72</v>
      </c>
      <c r="R856" s="258">
        <v>5</v>
      </c>
      <c r="S856" s="410">
        <v>8</v>
      </c>
      <c r="T856" s="261">
        <v>6</v>
      </c>
      <c r="U856" s="261">
        <v>6</v>
      </c>
      <c r="V856" s="258" t="s">
        <v>71</v>
      </c>
      <c r="W856" s="261" t="str">
        <f t="shared" si="135"/>
        <v>VOLKSWAGENTiguan2.0 TDI Prestige43919000</v>
      </c>
      <c r="X856" s="411">
        <f t="shared" si="136"/>
        <v>4630</v>
      </c>
      <c r="Y856" s="261">
        <v>6</v>
      </c>
      <c r="Z856" s="261">
        <v>6</v>
      </c>
      <c r="AA856" s="407" t="s">
        <v>241</v>
      </c>
      <c r="AB856" s="258" t="s">
        <v>70</v>
      </c>
      <c r="AC856" s="258"/>
      <c r="AD856" s="258">
        <v>3</v>
      </c>
      <c r="AE856" s="258">
        <v>0</v>
      </c>
      <c r="AF856" s="259"/>
      <c r="AG856" s="260"/>
      <c r="AH856" s="259"/>
      <c r="AI856" s="259"/>
      <c r="AJ856" s="259"/>
      <c r="AK856" s="259">
        <v>10</v>
      </c>
      <c r="AL856" s="259"/>
      <c r="AM856" s="259" t="s">
        <v>3727</v>
      </c>
      <c r="AN856" s="449"/>
      <c r="AO856" s="449"/>
      <c r="AP856" s="449"/>
      <c r="AQ856" s="392" t="str">
        <f>IFERROR(VLOOKUP(BG856,#REF!,1,0),"")</f>
        <v/>
      </c>
      <c r="AS856" s="259" t="s">
        <v>3231</v>
      </c>
      <c r="BD856" s="202" t="str">
        <f t="shared" si="128"/>
        <v>Tiguan2.0 TDI Prestige</v>
      </c>
      <c r="BE856" s="261" t="str">
        <f t="shared" si="134"/>
        <v>0087</v>
      </c>
      <c r="BF856" s="407" t="s">
        <v>241</v>
      </c>
      <c r="BG856" s="202" t="str">
        <f t="shared" si="129"/>
        <v>0087-0855</v>
      </c>
    </row>
    <row r="857" spans="1:59">
      <c r="A857" s="405">
        <v>4631</v>
      </c>
      <c r="B857" s="406">
        <v>4631</v>
      </c>
      <c r="C857" s="261" t="str">
        <f t="shared" si="130"/>
        <v>0035-0087</v>
      </c>
      <c r="D857" s="261" t="str">
        <f t="shared" si="131"/>
        <v>0035-0087-0005</v>
      </c>
      <c r="E857" s="407" t="s">
        <v>240</v>
      </c>
      <c r="F857" s="261" t="str">
        <f>TEXT(VLOOKUP(J857,'[3]1'!$B$2:$D$37,2,0),"0000")</f>
        <v>0035</v>
      </c>
      <c r="G857" s="261" t="str">
        <f t="shared" si="132"/>
        <v>0087</v>
      </c>
      <c r="H857" s="408">
        <f t="shared" si="133"/>
        <v>5</v>
      </c>
      <c r="I857" s="407" t="s">
        <v>240</v>
      </c>
      <c r="J857" s="258" t="s">
        <v>82</v>
      </c>
      <c r="K857" s="258" t="s">
        <v>83</v>
      </c>
      <c r="L857" s="258" t="s">
        <v>3726</v>
      </c>
      <c r="M857" s="409">
        <v>53740000</v>
      </c>
      <c r="N857" s="258">
        <v>1984</v>
      </c>
      <c r="O857" s="258" t="s">
        <v>3721</v>
      </c>
      <c r="P857" s="258" t="s">
        <v>73</v>
      </c>
      <c r="Q857" s="258" t="s">
        <v>72</v>
      </c>
      <c r="R857" s="258">
        <v>5</v>
      </c>
      <c r="S857" s="410">
        <v>8</v>
      </c>
      <c r="T857" s="261">
        <v>6</v>
      </c>
      <c r="U857" s="261">
        <v>6</v>
      </c>
      <c r="V857" s="258" t="s">
        <v>71</v>
      </c>
      <c r="W857" s="261" t="str">
        <f t="shared" si="135"/>
        <v>VOLKSWAGENTiguan2.0 TSI53740000</v>
      </c>
      <c r="X857" s="411">
        <f t="shared" si="136"/>
        <v>4631</v>
      </c>
      <c r="Y857" s="261">
        <v>6</v>
      </c>
      <c r="Z857" s="261">
        <v>6</v>
      </c>
      <c r="AA857" s="407" t="s">
        <v>240</v>
      </c>
      <c r="AB857" s="258" t="s">
        <v>70</v>
      </c>
      <c r="AC857" s="258"/>
      <c r="AD857" s="258">
        <v>3</v>
      </c>
      <c r="AE857" s="258">
        <v>0</v>
      </c>
      <c r="AF857" s="259"/>
      <c r="AG857" s="260"/>
      <c r="AH857" s="259"/>
      <c r="AI857" s="259"/>
      <c r="AJ857" s="259"/>
      <c r="AK857" s="259">
        <v>10</v>
      </c>
      <c r="AL857" s="259"/>
      <c r="AM857" s="259" t="s">
        <v>3727</v>
      </c>
      <c r="AN857" s="449"/>
      <c r="AO857" s="449"/>
      <c r="AP857" s="449"/>
      <c r="AQ857" s="392" t="str">
        <f>IFERROR(VLOOKUP(BG857,#REF!,1,0),"")</f>
        <v/>
      </c>
      <c r="AS857" s="259" t="s">
        <v>3231</v>
      </c>
      <c r="BD857" s="202" t="str">
        <f t="shared" si="128"/>
        <v>Tiguan2.0 TSI</v>
      </c>
      <c r="BE857" s="261" t="str">
        <f t="shared" si="134"/>
        <v>0087</v>
      </c>
      <c r="BF857" s="407" t="s">
        <v>240</v>
      </c>
      <c r="BG857" s="202" t="str">
        <f t="shared" si="129"/>
        <v>0087-0856</v>
      </c>
    </row>
    <row r="858" spans="1:59">
      <c r="A858" s="405">
        <v>4632</v>
      </c>
      <c r="B858" s="406">
        <v>4632</v>
      </c>
      <c r="C858" s="261" t="str">
        <f t="shared" si="130"/>
        <v>0035-0088</v>
      </c>
      <c r="D858" s="261" t="str">
        <f t="shared" si="131"/>
        <v>0035-0088-0001</v>
      </c>
      <c r="E858" s="407" t="s">
        <v>3909</v>
      </c>
      <c r="F858" s="261" t="str">
        <f>TEXT(VLOOKUP(J858,'[3]1'!$B$2:$D$37,2,0),"0000")</f>
        <v>0035</v>
      </c>
      <c r="G858" s="261" t="str">
        <f t="shared" si="132"/>
        <v>0088</v>
      </c>
      <c r="H858" s="408">
        <f t="shared" si="133"/>
        <v>1</v>
      </c>
      <c r="I858" s="407" t="s">
        <v>3909</v>
      </c>
      <c r="J858" s="258" t="s">
        <v>82</v>
      </c>
      <c r="K858" s="258" t="s">
        <v>1923</v>
      </c>
      <c r="L858" s="258" t="s">
        <v>1924</v>
      </c>
      <c r="M858" s="409">
        <v>88900000</v>
      </c>
      <c r="N858" s="258">
        <v>2967</v>
      </c>
      <c r="O858" s="258" t="s">
        <v>78</v>
      </c>
      <c r="P858" s="258" t="s">
        <v>73</v>
      </c>
      <c r="Q858" s="258" t="s">
        <v>72</v>
      </c>
      <c r="R858" s="258">
        <v>5</v>
      </c>
      <c r="S858" s="410">
        <v>11</v>
      </c>
      <c r="T858" s="261">
        <v>6</v>
      </c>
      <c r="U858" s="261">
        <v>6</v>
      </c>
      <c r="V858" s="258" t="s">
        <v>71</v>
      </c>
      <c r="W858" s="261" t="str">
        <f t="shared" si="135"/>
        <v>VOLKSWAGENTouareg3.0 TDI Premium88900000</v>
      </c>
      <c r="X858" s="411">
        <f t="shared" si="136"/>
        <v>4632</v>
      </c>
      <c r="Y858" s="261">
        <v>6</v>
      </c>
      <c r="Z858" s="261">
        <v>6</v>
      </c>
      <c r="AA858" s="407" t="s">
        <v>3909</v>
      </c>
      <c r="AB858" s="258" t="s">
        <v>70</v>
      </c>
      <c r="AC858" s="258"/>
      <c r="AD858" s="258">
        <v>5</v>
      </c>
      <c r="AE858" s="258">
        <v>0</v>
      </c>
      <c r="AF858" s="259"/>
      <c r="AG858" s="260"/>
      <c r="AH858" s="259"/>
      <c r="AI858" s="259"/>
      <c r="AJ858" s="259"/>
      <c r="AK858" s="259">
        <v>14</v>
      </c>
      <c r="AL858" s="259"/>
      <c r="AM858" s="259" t="s">
        <v>3728</v>
      </c>
      <c r="AN858" s="449"/>
      <c r="AO858" s="449"/>
      <c r="AP858" s="449"/>
      <c r="AQ858" s="392" t="str">
        <f>IFERROR(VLOOKUP(BG858,#REF!,1,0),"")</f>
        <v/>
      </c>
      <c r="AS858" s="259" t="s">
        <v>3232</v>
      </c>
      <c r="BD858" s="202" t="str">
        <f t="shared" si="128"/>
        <v>Touareg3.0 TDI Premium</v>
      </c>
      <c r="BE858" s="261" t="str">
        <f t="shared" si="134"/>
        <v>0088</v>
      </c>
      <c r="BF858" s="407" t="s">
        <v>3909</v>
      </c>
      <c r="BG858" s="202" t="str">
        <f t="shared" si="129"/>
        <v>0088-0857</v>
      </c>
    </row>
    <row r="859" spans="1:59">
      <c r="A859" s="405">
        <v>4633</v>
      </c>
      <c r="B859" s="406">
        <v>4633</v>
      </c>
      <c r="C859" s="261" t="str">
        <f t="shared" si="130"/>
        <v>0035-0088</v>
      </c>
      <c r="D859" s="261" t="str">
        <f t="shared" si="131"/>
        <v>0035-0088-0002</v>
      </c>
      <c r="E859" s="407" t="s">
        <v>3910</v>
      </c>
      <c r="F859" s="261" t="str">
        <f>TEXT(VLOOKUP(J859,'[3]1'!$B$2:$D$37,2,0),"0000")</f>
        <v>0035</v>
      </c>
      <c r="G859" s="261" t="str">
        <f t="shared" si="132"/>
        <v>0088</v>
      </c>
      <c r="H859" s="408">
        <f t="shared" si="133"/>
        <v>2</v>
      </c>
      <c r="I859" s="407" t="s">
        <v>3910</v>
      </c>
      <c r="J859" s="258" t="s">
        <v>82</v>
      </c>
      <c r="K859" s="258" t="s">
        <v>1923</v>
      </c>
      <c r="L859" s="258" t="s">
        <v>1925</v>
      </c>
      <c r="M859" s="409">
        <v>96900000</v>
      </c>
      <c r="N859" s="258">
        <v>2967</v>
      </c>
      <c r="O859" s="258" t="s">
        <v>78</v>
      </c>
      <c r="P859" s="258" t="s">
        <v>73</v>
      </c>
      <c r="Q859" s="258" t="s">
        <v>72</v>
      </c>
      <c r="R859" s="258">
        <v>5</v>
      </c>
      <c r="S859" s="410">
        <v>11</v>
      </c>
      <c r="T859" s="261">
        <v>6</v>
      </c>
      <c r="U859" s="261">
        <v>6</v>
      </c>
      <c r="V859" s="258" t="s">
        <v>71</v>
      </c>
      <c r="W859" s="261" t="str">
        <f t="shared" si="135"/>
        <v>VOLKSWAGENTouareg3.0 TDI Prestige96900000</v>
      </c>
      <c r="X859" s="411">
        <f t="shared" si="136"/>
        <v>4633</v>
      </c>
      <c r="Y859" s="261">
        <v>6</v>
      </c>
      <c r="Z859" s="261">
        <v>6</v>
      </c>
      <c r="AA859" s="407" t="s">
        <v>3910</v>
      </c>
      <c r="AB859" s="258" t="s">
        <v>70</v>
      </c>
      <c r="AC859" s="258"/>
      <c r="AD859" s="258">
        <v>6</v>
      </c>
      <c r="AE859" s="258">
        <v>0</v>
      </c>
      <c r="AF859" s="259"/>
      <c r="AG859" s="260"/>
      <c r="AH859" s="259"/>
      <c r="AI859" s="259"/>
      <c r="AJ859" s="259"/>
      <c r="AK859" s="259">
        <v>14</v>
      </c>
      <c r="AL859" s="259"/>
      <c r="AM859" s="259" t="s">
        <v>3728</v>
      </c>
      <c r="AN859" s="449"/>
      <c r="AO859" s="449"/>
      <c r="AP859" s="449"/>
      <c r="AQ859" s="392" t="str">
        <f>IFERROR(VLOOKUP(BG859,#REF!,1,0),"")</f>
        <v/>
      </c>
      <c r="AS859" s="259" t="s">
        <v>3232</v>
      </c>
      <c r="BD859" s="202" t="str">
        <f t="shared" si="128"/>
        <v>Touareg3.0 TDI Prestige</v>
      </c>
      <c r="BE859" s="261" t="str">
        <f t="shared" si="134"/>
        <v>0088</v>
      </c>
      <c r="BF859" s="407" t="s">
        <v>3910</v>
      </c>
      <c r="BG859" s="202" t="str">
        <f t="shared" si="129"/>
        <v>0088-0858</v>
      </c>
    </row>
    <row r="860" spans="1:59">
      <c r="A860" s="405">
        <v>4634</v>
      </c>
      <c r="B860" s="406">
        <v>4634</v>
      </c>
      <c r="C860" s="261" t="str">
        <f t="shared" si="130"/>
        <v>0035-0088</v>
      </c>
      <c r="D860" s="261" t="str">
        <f t="shared" si="131"/>
        <v>0035-0088-0003</v>
      </c>
      <c r="E860" s="407" t="s">
        <v>3911</v>
      </c>
      <c r="F860" s="261" t="str">
        <f>TEXT(VLOOKUP(J860,'[3]1'!$B$2:$D$37,2,0),"0000")</f>
        <v>0035</v>
      </c>
      <c r="G860" s="261" t="str">
        <f t="shared" si="132"/>
        <v>0088</v>
      </c>
      <c r="H860" s="408">
        <f t="shared" si="133"/>
        <v>3</v>
      </c>
      <c r="I860" s="407" t="s">
        <v>3911</v>
      </c>
      <c r="J860" s="258" t="s">
        <v>82</v>
      </c>
      <c r="K860" s="258" t="s">
        <v>1923</v>
      </c>
      <c r="L860" s="258" t="s">
        <v>1926</v>
      </c>
      <c r="M860" s="409">
        <v>100900000</v>
      </c>
      <c r="N860" s="258">
        <v>2967</v>
      </c>
      <c r="O860" s="258" t="s">
        <v>78</v>
      </c>
      <c r="P860" s="258" t="s">
        <v>73</v>
      </c>
      <c r="Q860" s="258" t="s">
        <v>72</v>
      </c>
      <c r="R860" s="258">
        <v>5</v>
      </c>
      <c r="S860" s="410">
        <v>11</v>
      </c>
      <c r="T860" s="261">
        <v>6</v>
      </c>
      <c r="U860" s="261">
        <v>6</v>
      </c>
      <c r="V860" s="258" t="s">
        <v>71</v>
      </c>
      <c r="W860" s="261" t="str">
        <f t="shared" si="135"/>
        <v>VOLKSWAGENTouareg3.0 TDI R-Line100900000</v>
      </c>
      <c r="X860" s="411">
        <f t="shared" si="136"/>
        <v>4634</v>
      </c>
      <c r="Y860" s="261">
        <v>6</v>
      </c>
      <c r="Z860" s="261">
        <v>6</v>
      </c>
      <c r="AA860" s="407" t="s">
        <v>3911</v>
      </c>
      <c r="AB860" s="258" t="s">
        <v>70</v>
      </c>
      <c r="AC860" s="258"/>
      <c r="AD860" s="258">
        <v>6</v>
      </c>
      <c r="AE860" s="258">
        <v>0</v>
      </c>
      <c r="AF860" s="259"/>
      <c r="AG860" s="260"/>
      <c r="AH860" s="259"/>
      <c r="AI860" s="259"/>
      <c r="AJ860" s="259"/>
      <c r="AK860" s="259">
        <v>14</v>
      </c>
      <c r="AL860" s="259"/>
      <c r="AM860" s="259" t="s">
        <v>3728</v>
      </c>
      <c r="AN860" s="449"/>
      <c r="AO860" s="449"/>
      <c r="AP860" s="449"/>
      <c r="AQ860" s="392" t="str">
        <f>IFERROR(VLOOKUP(BG860,#REF!,1,0),"")</f>
        <v/>
      </c>
      <c r="AS860" s="259" t="s">
        <v>3232</v>
      </c>
      <c r="BD860" s="202" t="str">
        <f t="shared" si="128"/>
        <v>Touareg3.0 TDI R-Line</v>
      </c>
      <c r="BE860" s="261" t="str">
        <f t="shared" si="134"/>
        <v>0088</v>
      </c>
      <c r="BF860" s="407" t="s">
        <v>3911</v>
      </c>
      <c r="BG860" s="202" t="str">
        <f t="shared" si="129"/>
        <v>0088-0859</v>
      </c>
    </row>
    <row r="861" spans="1:59">
      <c r="A861" s="405">
        <v>4635</v>
      </c>
      <c r="B861" s="406">
        <v>4635</v>
      </c>
      <c r="C861" s="261" t="str">
        <f t="shared" si="130"/>
        <v>0034-0089</v>
      </c>
      <c r="D861" s="261" t="str">
        <f t="shared" si="131"/>
        <v>0034-0089-0001</v>
      </c>
      <c r="E861" s="407" t="s">
        <v>3912</v>
      </c>
      <c r="F861" s="261" t="str">
        <f>TEXT(VLOOKUP(J861,'[3]1'!$B$2:$D$37,2,0),"0000")</f>
        <v>0034</v>
      </c>
      <c r="G861" s="261" t="str">
        <f t="shared" si="132"/>
        <v>0089</v>
      </c>
      <c r="H861" s="408">
        <f t="shared" si="133"/>
        <v>1</v>
      </c>
      <c r="I861" s="407" t="s">
        <v>3912</v>
      </c>
      <c r="J861" s="258" t="s">
        <v>87</v>
      </c>
      <c r="K861" s="258" t="s">
        <v>3881</v>
      </c>
      <c r="L861" s="258" t="s">
        <v>3882</v>
      </c>
      <c r="M861" s="409">
        <v>80000000</v>
      </c>
      <c r="N861" s="258">
        <v>2998</v>
      </c>
      <c r="O861" s="258" t="s">
        <v>74</v>
      </c>
      <c r="P861" s="258" t="s">
        <v>73</v>
      </c>
      <c r="Q861" s="258" t="s">
        <v>72</v>
      </c>
      <c r="R861" s="258">
        <v>5</v>
      </c>
      <c r="S861" s="410">
        <v>8</v>
      </c>
      <c r="T861" s="261">
        <v>6</v>
      </c>
      <c r="U861" s="261">
        <v>6</v>
      </c>
      <c r="V861" s="258" t="s">
        <v>1969</v>
      </c>
      <c r="W861" s="261" t="str">
        <f t="shared" si="135"/>
        <v>TOYOTAGRGR 수프라 3.080000000</v>
      </c>
      <c r="X861" s="411">
        <f t="shared" si="136"/>
        <v>4635</v>
      </c>
      <c r="Y861" s="261">
        <v>6</v>
      </c>
      <c r="Z861" s="261">
        <v>6</v>
      </c>
      <c r="AA861" s="407" t="s">
        <v>3912</v>
      </c>
      <c r="AB861" s="258" t="s">
        <v>73</v>
      </c>
      <c r="AC861" s="258"/>
      <c r="AD861" s="258">
        <v>3</v>
      </c>
      <c r="AE861" s="258">
        <v>1</v>
      </c>
      <c r="AF861" s="259"/>
      <c r="AG861" s="260"/>
      <c r="AH861" s="259"/>
      <c r="AI861" s="259"/>
      <c r="AJ861" s="259"/>
      <c r="AK861" s="259">
        <v>24</v>
      </c>
      <c r="AL861" s="259"/>
      <c r="AM861" s="259" t="s">
        <v>3885</v>
      </c>
      <c r="AN861" s="449"/>
      <c r="AO861" s="449"/>
      <c r="AP861" s="449"/>
      <c r="AQ861" s="392" t="str">
        <f>IFERROR(VLOOKUP(BG861,#REF!,1,0),"")</f>
        <v/>
      </c>
      <c r="AS861" s="259" t="s">
        <v>3231</v>
      </c>
      <c r="BD861" s="202" t="str">
        <f t="shared" si="128"/>
        <v>GRGR 수프라 3.0</v>
      </c>
      <c r="BE861" s="261" t="str">
        <f t="shared" si="134"/>
        <v>0089</v>
      </c>
      <c r="BF861" s="407" t="s">
        <v>3912</v>
      </c>
      <c r="BG861" s="202" t="str">
        <f t="shared" si="129"/>
        <v>0089-0860</v>
      </c>
    </row>
    <row r="862" spans="1:59">
      <c r="A862" s="405">
        <v>4636</v>
      </c>
      <c r="B862" s="406">
        <v>4636</v>
      </c>
      <c r="C862" s="261" t="str">
        <f t="shared" si="130"/>
        <v>0034-0089</v>
      </c>
      <c r="D862" s="261" t="str">
        <f t="shared" si="131"/>
        <v>0034-0089-0002</v>
      </c>
      <c r="E862" s="407" t="s">
        <v>239</v>
      </c>
      <c r="F862" s="261" t="str">
        <f>TEXT(VLOOKUP(J862,'[3]1'!$B$2:$D$37,2,0),"0000")</f>
        <v>0034</v>
      </c>
      <c r="G862" s="261" t="str">
        <f t="shared" si="132"/>
        <v>0089</v>
      </c>
      <c r="H862" s="408">
        <f t="shared" si="133"/>
        <v>2</v>
      </c>
      <c r="I862" s="407" t="s">
        <v>239</v>
      </c>
      <c r="J862" s="258" t="s">
        <v>87</v>
      </c>
      <c r="K862" s="258" t="s">
        <v>3881</v>
      </c>
      <c r="L862" s="258" t="s">
        <v>3883</v>
      </c>
      <c r="M862" s="409">
        <v>39000000</v>
      </c>
      <c r="N862" s="258">
        <v>2487</v>
      </c>
      <c r="O862" s="258" t="s">
        <v>74</v>
      </c>
      <c r="P862" s="258" t="s">
        <v>73</v>
      </c>
      <c r="Q862" s="258" t="s">
        <v>72</v>
      </c>
      <c r="R862" s="258">
        <v>5</v>
      </c>
      <c r="S862" s="410">
        <v>8</v>
      </c>
      <c r="T862" s="261">
        <v>6</v>
      </c>
      <c r="U862" s="261">
        <v>6</v>
      </c>
      <c r="V862" s="258" t="s">
        <v>1969</v>
      </c>
      <c r="W862" s="261" t="str">
        <f t="shared" si="135"/>
        <v>TOYOTAGR86 스탠다드39000000</v>
      </c>
      <c r="X862" s="411">
        <f t="shared" si="136"/>
        <v>4636</v>
      </c>
      <c r="Y862" s="261">
        <v>6</v>
      </c>
      <c r="Z862" s="261">
        <v>6</v>
      </c>
      <c r="AA862" s="407" t="s">
        <v>239</v>
      </c>
      <c r="AB862" s="258" t="s">
        <v>73</v>
      </c>
      <c r="AC862" s="258"/>
      <c r="AD862" s="258">
        <v>3</v>
      </c>
      <c r="AE862" s="258">
        <v>1</v>
      </c>
      <c r="AF862" s="259"/>
      <c r="AG862" s="260"/>
      <c r="AH862" s="259"/>
      <c r="AI862" s="259"/>
      <c r="AJ862" s="259"/>
      <c r="AK862" s="259">
        <v>24</v>
      </c>
      <c r="AL862" s="259"/>
      <c r="AM862" s="259" t="s">
        <v>3885</v>
      </c>
      <c r="AN862" s="449"/>
      <c r="AO862" s="449"/>
      <c r="AP862" s="449"/>
      <c r="AQ862" s="392" t="str">
        <f>IFERROR(VLOOKUP(BG862,#REF!,1,0),"")</f>
        <v/>
      </c>
      <c r="AS862" s="259" t="s">
        <v>3231</v>
      </c>
      <c r="BD862" s="202" t="str">
        <f t="shared" si="128"/>
        <v>GR86 스탠다드</v>
      </c>
      <c r="BE862" s="261" t="str">
        <f t="shared" si="134"/>
        <v>0089</v>
      </c>
      <c r="BF862" s="407" t="s">
        <v>239</v>
      </c>
      <c r="BG862" s="202" t="str">
        <f t="shared" si="129"/>
        <v>0089-0861</v>
      </c>
    </row>
    <row r="863" spans="1:59">
      <c r="A863" s="405">
        <v>4637</v>
      </c>
      <c r="B863" s="406">
        <v>4637</v>
      </c>
      <c r="C863" s="261" t="str">
        <f t="shared" si="130"/>
        <v>0034-0089</v>
      </c>
      <c r="D863" s="261" t="str">
        <f t="shared" si="131"/>
        <v>0034-0089-0003</v>
      </c>
      <c r="E863" s="407" t="s">
        <v>238</v>
      </c>
      <c r="F863" s="261" t="str">
        <f>TEXT(VLOOKUP(J863,'[3]1'!$B$2:$D$37,2,0),"0000")</f>
        <v>0034</v>
      </c>
      <c r="G863" s="261" t="str">
        <f t="shared" si="132"/>
        <v>0089</v>
      </c>
      <c r="H863" s="408">
        <f t="shared" si="133"/>
        <v>3</v>
      </c>
      <c r="I863" s="407" t="s">
        <v>238</v>
      </c>
      <c r="J863" s="258" t="s">
        <v>87</v>
      </c>
      <c r="K863" s="258" t="s">
        <v>3881</v>
      </c>
      <c r="L863" s="258" t="s">
        <v>3884</v>
      </c>
      <c r="M863" s="409">
        <v>39000000</v>
      </c>
      <c r="N863" s="258">
        <v>2487</v>
      </c>
      <c r="O863" s="258" t="s">
        <v>74</v>
      </c>
      <c r="P863" s="258" t="s">
        <v>73</v>
      </c>
      <c r="Q863" s="258" t="s">
        <v>72</v>
      </c>
      <c r="R863" s="258">
        <v>5</v>
      </c>
      <c r="S863" s="410">
        <v>8</v>
      </c>
      <c r="T863" s="261">
        <v>6</v>
      </c>
      <c r="U863" s="261">
        <v>6</v>
      </c>
      <c r="V863" s="258" t="s">
        <v>1969</v>
      </c>
      <c r="W863" s="261" t="str">
        <f t="shared" si="135"/>
        <v>TOYOTAGR86 프리미엄39000000</v>
      </c>
      <c r="X863" s="411">
        <f t="shared" si="136"/>
        <v>4637</v>
      </c>
      <c r="Y863" s="261">
        <v>6</v>
      </c>
      <c r="Z863" s="261">
        <v>6</v>
      </c>
      <c r="AA863" s="407" t="s">
        <v>238</v>
      </c>
      <c r="AB863" s="258" t="s">
        <v>73</v>
      </c>
      <c r="AC863" s="258"/>
      <c r="AD863" s="258">
        <v>3</v>
      </c>
      <c r="AE863" s="258">
        <v>1</v>
      </c>
      <c r="AF863" s="259"/>
      <c r="AG863" s="260"/>
      <c r="AH863" s="259"/>
      <c r="AI863" s="259"/>
      <c r="AJ863" s="259"/>
      <c r="AK863" s="259">
        <v>24</v>
      </c>
      <c r="AL863" s="259"/>
      <c r="AM863" s="259" t="s">
        <v>3885</v>
      </c>
      <c r="AN863" s="449"/>
      <c r="AO863" s="449"/>
      <c r="AP863" s="449"/>
      <c r="AQ863" s="392" t="str">
        <f>IFERROR(VLOOKUP(BG863,#REF!,1,0),"")</f>
        <v/>
      </c>
      <c r="AS863" s="259" t="s">
        <v>3231</v>
      </c>
      <c r="BD863" s="202" t="str">
        <f t="shared" si="128"/>
        <v>GR86 프리미엄</v>
      </c>
      <c r="BE863" s="261" t="str">
        <f t="shared" si="134"/>
        <v>0089</v>
      </c>
      <c r="BF863" s="407" t="s">
        <v>238</v>
      </c>
      <c r="BG863" s="202" t="str">
        <f t="shared" si="129"/>
        <v>0089-0862</v>
      </c>
    </row>
    <row r="864" spans="1:59">
      <c r="A864" s="405">
        <v>4638</v>
      </c>
      <c r="B864" s="406">
        <v>4638</v>
      </c>
      <c r="C864" s="261" t="str">
        <f t="shared" si="130"/>
        <v>0034-0090</v>
      </c>
      <c r="D864" s="261" t="str">
        <f t="shared" si="131"/>
        <v>0034-0090-0001</v>
      </c>
      <c r="E864" s="407" t="s">
        <v>237</v>
      </c>
      <c r="F864" s="261" t="str">
        <f>TEXT(VLOOKUP(J864,'[3]1'!$B$2:$D$37,2,0),"0000")</f>
        <v>0034</v>
      </c>
      <c r="G864" s="261" t="str">
        <f t="shared" si="132"/>
        <v>0090</v>
      </c>
      <c r="H864" s="408">
        <f t="shared" si="133"/>
        <v>1</v>
      </c>
      <c r="I864" s="407" t="s">
        <v>237</v>
      </c>
      <c r="J864" s="258" t="s">
        <v>87</v>
      </c>
      <c r="K864" s="258" t="s">
        <v>94</v>
      </c>
      <c r="L864" s="258" t="s">
        <v>789</v>
      </c>
      <c r="M864" s="409">
        <v>39000000</v>
      </c>
      <c r="N864" s="258">
        <v>2487</v>
      </c>
      <c r="O864" s="258" t="s">
        <v>74</v>
      </c>
      <c r="P864" s="258" t="s">
        <v>73</v>
      </c>
      <c r="Q864" s="258" t="s">
        <v>72</v>
      </c>
      <c r="R864" s="258">
        <v>5</v>
      </c>
      <c r="S864" s="410">
        <v>8</v>
      </c>
      <c r="T864" s="261">
        <v>6</v>
      </c>
      <c r="U864" s="261">
        <v>6</v>
      </c>
      <c r="V864" s="258" t="s">
        <v>1914</v>
      </c>
      <c r="W864" s="261" t="str">
        <f t="shared" si="135"/>
        <v>TOYOTACAMRY HybridLE39000000</v>
      </c>
      <c r="X864" s="411">
        <f t="shared" si="136"/>
        <v>4638</v>
      </c>
      <c r="Y864" s="261">
        <v>6</v>
      </c>
      <c r="Z864" s="261">
        <v>6</v>
      </c>
      <c r="AA864" s="407" t="s">
        <v>237</v>
      </c>
      <c r="AB864" s="258" t="s">
        <v>73</v>
      </c>
      <c r="AC864" s="258"/>
      <c r="AD864" s="258">
        <v>3</v>
      </c>
      <c r="AE864" s="258">
        <v>1</v>
      </c>
      <c r="AF864" s="259"/>
      <c r="AG864" s="260"/>
      <c r="AH864" s="259"/>
      <c r="AI864" s="259"/>
      <c r="AJ864" s="259"/>
      <c r="AK864" s="259">
        <v>12</v>
      </c>
      <c r="AL864" s="259"/>
      <c r="AM864" s="259" t="s">
        <v>3661</v>
      </c>
      <c r="AN864" s="449"/>
      <c r="AO864" s="449"/>
      <c r="AP864" s="449"/>
      <c r="AQ864" s="392" t="str">
        <f>IFERROR(VLOOKUP(BG864,#REF!,1,0),"")</f>
        <v/>
      </c>
      <c r="AS864" s="259" t="s">
        <v>3231</v>
      </c>
      <c r="BD864" s="202" t="str">
        <f t="shared" si="128"/>
        <v>CAMRY HybridLE</v>
      </c>
      <c r="BE864" s="261" t="str">
        <f t="shared" si="134"/>
        <v>0090</v>
      </c>
      <c r="BF864" s="407" t="s">
        <v>237</v>
      </c>
      <c r="BG864" s="202" t="str">
        <f t="shared" si="129"/>
        <v>0090-0863</v>
      </c>
    </row>
    <row r="865" spans="1:59">
      <c r="A865" s="405">
        <v>4639</v>
      </c>
      <c r="B865" s="406">
        <v>4639</v>
      </c>
      <c r="C865" s="261" t="str">
        <f t="shared" si="130"/>
        <v>0034-0090</v>
      </c>
      <c r="D865" s="261" t="str">
        <f t="shared" si="131"/>
        <v>0034-0090-0002</v>
      </c>
      <c r="E865" s="407" t="s">
        <v>236</v>
      </c>
      <c r="F865" s="261" t="str">
        <f>TEXT(VLOOKUP(J865,'[3]1'!$B$2:$D$37,2,0),"0000")</f>
        <v>0034</v>
      </c>
      <c r="G865" s="261" t="str">
        <f t="shared" si="132"/>
        <v>0090</v>
      </c>
      <c r="H865" s="408">
        <f t="shared" si="133"/>
        <v>2</v>
      </c>
      <c r="I865" s="407" t="s">
        <v>236</v>
      </c>
      <c r="J865" s="258" t="s">
        <v>87</v>
      </c>
      <c r="K865" s="258" t="s">
        <v>94</v>
      </c>
      <c r="L865" s="258" t="s">
        <v>1316</v>
      </c>
      <c r="M865" s="409">
        <v>44600000</v>
      </c>
      <c r="N865" s="258">
        <v>2487</v>
      </c>
      <c r="O865" s="258" t="s">
        <v>74</v>
      </c>
      <c r="P865" s="258" t="s">
        <v>73</v>
      </c>
      <c r="Q865" s="258" t="s">
        <v>72</v>
      </c>
      <c r="R865" s="258">
        <v>5</v>
      </c>
      <c r="S865" s="410">
        <v>8</v>
      </c>
      <c r="T865" s="261">
        <v>6</v>
      </c>
      <c r="U865" s="261">
        <v>6</v>
      </c>
      <c r="V865" s="258" t="s">
        <v>1914</v>
      </c>
      <c r="W865" s="261" t="str">
        <f t="shared" si="135"/>
        <v>TOYOTACAMRY HybridXLE44600000</v>
      </c>
      <c r="X865" s="411">
        <f t="shared" si="136"/>
        <v>4639</v>
      </c>
      <c r="Y865" s="261">
        <v>6</v>
      </c>
      <c r="Z865" s="261">
        <v>6</v>
      </c>
      <c r="AA865" s="407" t="s">
        <v>236</v>
      </c>
      <c r="AB865" s="258" t="s">
        <v>73</v>
      </c>
      <c r="AC865" s="258"/>
      <c r="AD865" s="258">
        <v>3</v>
      </c>
      <c r="AE865" s="258">
        <v>1</v>
      </c>
      <c r="AF865" s="259"/>
      <c r="AG865" s="260"/>
      <c r="AH865" s="259"/>
      <c r="AI865" s="259"/>
      <c r="AJ865" s="259"/>
      <c r="AK865" s="259">
        <v>12</v>
      </c>
      <c r="AL865" s="259"/>
      <c r="AM865" s="259" t="s">
        <v>3661</v>
      </c>
      <c r="AN865" s="449"/>
      <c r="AO865" s="449"/>
      <c r="AP865" s="449"/>
      <c r="AQ865" s="392" t="str">
        <f>IFERROR(VLOOKUP(BG865,#REF!,1,0),"")</f>
        <v/>
      </c>
      <c r="AS865" s="259" t="s">
        <v>3231</v>
      </c>
      <c r="BD865" s="202" t="str">
        <f t="shared" si="128"/>
        <v>CAMRY HybridXLE</v>
      </c>
      <c r="BE865" s="261" t="str">
        <f t="shared" si="134"/>
        <v>0090</v>
      </c>
      <c r="BF865" s="407" t="s">
        <v>236</v>
      </c>
      <c r="BG865" s="202" t="str">
        <f t="shared" si="129"/>
        <v>0090-0864</v>
      </c>
    </row>
    <row r="866" spans="1:59">
      <c r="A866" s="405">
        <v>4640</v>
      </c>
      <c r="B866" s="406">
        <v>4640</v>
      </c>
      <c r="C866" s="261" t="str">
        <f t="shared" si="130"/>
        <v>0034-0090</v>
      </c>
      <c r="D866" s="261" t="str">
        <f t="shared" si="131"/>
        <v>0034-0090-0003</v>
      </c>
      <c r="E866" s="407" t="s">
        <v>3913</v>
      </c>
      <c r="F866" s="261" t="str">
        <f>TEXT(VLOOKUP(J866,'[3]1'!$B$2:$D$37,2,0),"0000")</f>
        <v>0034</v>
      </c>
      <c r="G866" s="261" t="str">
        <f t="shared" si="132"/>
        <v>0090</v>
      </c>
      <c r="H866" s="408">
        <f t="shared" si="133"/>
        <v>3</v>
      </c>
      <c r="I866" s="407" t="s">
        <v>3913</v>
      </c>
      <c r="J866" s="258" t="s">
        <v>87</v>
      </c>
      <c r="K866" s="258" t="s">
        <v>94</v>
      </c>
      <c r="L866" s="258" t="s">
        <v>3569</v>
      </c>
      <c r="M866" s="409">
        <v>45200000</v>
      </c>
      <c r="N866" s="258">
        <v>2487</v>
      </c>
      <c r="O866" s="258" t="s">
        <v>74</v>
      </c>
      <c r="P866" s="258" t="s">
        <v>73</v>
      </c>
      <c r="Q866" s="258" t="s">
        <v>72</v>
      </c>
      <c r="R866" s="258">
        <v>5</v>
      </c>
      <c r="S866" s="410">
        <v>8</v>
      </c>
      <c r="T866" s="261">
        <v>6</v>
      </c>
      <c r="U866" s="261">
        <v>6</v>
      </c>
      <c r="V866" s="258" t="s">
        <v>1914</v>
      </c>
      <c r="W866" s="261" t="str">
        <f t="shared" si="135"/>
        <v>TOYOTACAMRY HybridXSE45200000</v>
      </c>
      <c r="X866" s="411">
        <f t="shared" si="136"/>
        <v>4640</v>
      </c>
      <c r="Y866" s="261">
        <v>6</v>
      </c>
      <c r="Z866" s="261">
        <v>6</v>
      </c>
      <c r="AA866" s="407" t="s">
        <v>3913</v>
      </c>
      <c r="AB866" s="258" t="s">
        <v>73</v>
      </c>
      <c r="AC866" s="258"/>
      <c r="AD866" s="258">
        <v>3</v>
      </c>
      <c r="AE866" s="258">
        <v>1</v>
      </c>
      <c r="AF866" s="259"/>
      <c r="AG866" s="260"/>
      <c r="AH866" s="259"/>
      <c r="AI866" s="259"/>
      <c r="AJ866" s="259"/>
      <c r="AK866" s="259">
        <v>12</v>
      </c>
      <c r="AL866" s="259"/>
      <c r="AM866" s="259" t="s">
        <v>3661</v>
      </c>
      <c r="AN866" s="449"/>
      <c r="AO866" s="449"/>
      <c r="AP866" s="449"/>
      <c r="AQ866" s="392" t="str">
        <f>IFERROR(VLOOKUP(BG866,#REF!,1,0),"")</f>
        <v/>
      </c>
      <c r="AS866" s="259" t="s">
        <v>3231</v>
      </c>
      <c r="BD866" s="202" t="str">
        <f t="shared" si="128"/>
        <v>CAMRY HybridXSE</v>
      </c>
      <c r="BE866" s="261" t="str">
        <f t="shared" si="134"/>
        <v>0090</v>
      </c>
      <c r="BF866" s="407" t="s">
        <v>3913</v>
      </c>
      <c r="BG866" s="202" t="str">
        <f t="shared" si="129"/>
        <v>0090-0865</v>
      </c>
    </row>
    <row r="867" spans="1:59">
      <c r="A867" s="405">
        <v>4641</v>
      </c>
      <c r="B867" s="406">
        <v>4641</v>
      </c>
      <c r="C867" s="261" t="str">
        <f t="shared" si="130"/>
        <v>0034-0091</v>
      </c>
      <c r="D867" s="261" t="str">
        <f t="shared" si="131"/>
        <v>0034-0091-0001</v>
      </c>
      <c r="E867" s="407" t="s">
        <v>3914</v>
      </c>
      <c r="F867" s="261" t="str">
        <f>TEXT(VLOOKUP(J867,'[3]1'!$B$2:$D$37,2,0),"0000")</f>
        <v>0034</v>
      </c>
      <c r="G867" s="261" t="str">
        <f t="shared" si="132"/>
        <v>0091</v>
      </c>
      <c r="H867" s="408">
        <f t="shared" si="133"/>
        <v>1</v>
      </c>
      <c r="I867" s="407" t="s">
        <v>3914</v>
      </c>
      <c r="J867" s="258" t="s">
        <v>87</v>
      </c>
      <c r="K867" s="258" t="s">
        <v>3266</v>
      </c>
      <c r="L867" s="258" t="s">
        <v>3877</v>
      </c>
      <c r="M867" s="409">
        <v>58100000</v>
      </c>
      <c r="N867" s="258">
        <v>2487</v>
      </c>
      <c r="O867" s="258" t="s">
        <v>74</v>
      </c>
      <c r="P867" s="258" t="s">
        <v>73</v>
      </c>
      <c r="Q867" s="258" t="s">
        <v>72</v>
      </c>
      <c r="R867" s="258">
        <v>5</v>
      </c>
      <c r="S867" s="410">
        <v>8</v>
      </c>
      <c r="T867" s="261">
        <v>6</v>
      </c>
      <c r="U867" s="261">
        <v>6</v>
      </c>
      <c r="V867" s="258" t="s">
        <v>1914</v>
      </c>
      <c r="W867" s="261" t="str">
        <f t="shared" si="135"/>
        <v>TOYOTACrown 2.4 듀얼 부스트 하이브리드58100000</v>
      </c>
      <c r="X867" s="411">
        <f t="shared" si="136"/>
        <v>4641</v>
      </c>
      <c r="Y867" s="261">
        <v>6</v>
      </c>
      <c r="Z867" s="261">
        <v>6</v>
      </c>
      <c r="AA867" s="407" t="s">
        <v>3914</v>
      </c>
      <c r="AB867" s="258" t="s">
        <v>73</v>
      </c>
      <c r="AC867" s="258"/>
      <c r="AD867" s="258">
        <v>3</v>
      </c>
      <c r="AE867" s="258">
        <v>1</v>
      </c>
      <c r="AF867" s="259"/>
      <c r="AG867" s="260"/>
      <c r="AH867" s="259"/>
      <c r="AI867" s="259"/>
      <c r="AJ867" s="259"/>
      <c r="AK867" s="259">
        <v>16</v>
      </c>
      <c r="AL867" s="259"/>
      <c r="AM867" s="259" t="s">
        <v>3665</v>
      </c>
      <c r="AN867" s="449"/>
      <c r="AO867" s="449"/>
      <c r="AP867" s="449"/>
      <c r="AQ867" s="392" t="str">
        <f>IFERROR(VLOOKUP(BG867,#REF!,1,0),"")</f>
        <v/>
      </c>
      <c r="AS867" s="259" t="s">
        <v>3231</v>
      </c>
      <c r="BD867" s="202" t="str">
        <f t="shared" si="128"/>
        <v>Crown 2.4 듀얼 부스트 하이브리드</v>
      </c>
      <c r="BE867" s="261" t="str">
        <f t="shared" si="134"/>
        <v>0091</v>
      </c>
      <c r="BF867" s="407" t="s">
        <v>3914</v>
      </c>
      <c r="BG867" s="202" t="str">
        <f t="shared" si="129"/>
        <v>0091-0866</v>
      </c>
    </row>
    <row r="868" spans="1:59">
      <c r="A868" s="405">
        <v>4642</v>
      </c>
      <c r="B868" s="406">
        <v>4642</v>
      </c>
      <c r="C868" s="261" t="str">
        <f t="shared" si="130"/>
        <v>0034-0091</v>
      </c>
      <c r="D868" s="261" t="str">
        <f t="shared" si="131"/>
        <v>0034-0091-0002</v>
      </c>
      <c r="E868" s="407" t="s">
        <v>3915</v>
      </c>
      <c r="F868" s="261" t="str">
        <f>TEXT(VLOOKUP(J868,'[3]1'!$B$2:$D$37,2,0),"0000")</f>
        <v>0034</v>
      </c>
      <c r="G868" s="261" t="str">
        <f t="shared" si="132"/>
        <v>0091</v>
      </c>
      <c r="H868" s="408">
        <f t="shared" si="133"/>
        <v>2</v>
      </c>
      <c r="I868" s="407" t="s">
        <v>3915</v>
      </c>
      <c r="J868" s="258" t="s">
        <v>87</v>
      </c>
      <c r="K868" s="258" t="s">
        <v>3266</v>
      </c>
      <c r="L868" s="258" t="s">
        <v>3878</v>
      </c>
      <c r="M868" s="409">
        <v>66400000</v>
      </c>
      <c r="N868" s="258">
        <v>2393</v>
      </c>
      <c r="O868" s="258" t="s">
        <v>74</v>
      </c>
      <c r="P868" s="258" t="s">
        <v>73</v>
      </c>
      <c r="Q868" s="258" t="s">
        <v>72</v>
      </c>
      <c r="R868" s="258">
        <v>5</v>
      </c>
      <c r="S868" s="410">
        <v>8</v>
      </c>
      <c r="T868" s="261">
        <v>6</v>
      </c>
      <c r="U868" s="261">
        <v>6</v>
      </c>
      <c r="V868" s="258" t="s">
        <v>1914</v>
      </c>
      <c r="W868" s="261" t="str">
        <f t="shared" si="135"/>
        <v>TOYOTACrown 2.5 하이브리드66400000</v>
      </c>
      <c r="X868" s="411">
        <f t="shared" si="136"/>
        <v>4642</v>
      </c>
      <c r="Y868" s="261">
        <v>6</v>
      </c>
      <c r="Z868" s="261">
        <v>6</v>
      </c>
      <c r="AA868" s="407" t="s">
        <v>3915</v>
      </c>
      <c r="AB868" s="258" t="s">
        <v>73</v>
      </c>
      <c r="AC868" s="258"/>
      <c r="AD868" s="258">
        <v>3</v>
      </c>
      <c r="AE868" s="258">
        <v>1</v>
      </c>
      <c r="AF868" s="259"/>
      <c r="AG868" s="260"/>
      <c r="AH868" s="259"/>
      <c r="AI868" s="259"/>
      <c r="AJ868" s="259"/>
      <c r="AK868" s="259">
        <v>16</v>
      </c>
      <c r="AL868" s="259"/>
      <c r="AM868" s="259" t="s">
        <v>3665</v>
      </c>
      <c r="AN868" s="449"/>
      <c r="AO868" s="449"/>
      <c r="AP868" s="449"/>
      <c r="AQ868" s="392" t="str">
        <f>IFERROR(VLOOKUP(BG868,#REF!,1,0),"")</f>
        <v/>
      </c>
      <c r="AS868" s="259" t="s">
        <v>3231</v>
      </c>
      <c r="BD868" s="202" t="str">
        <f t="shared" si="128"/>
        <v>Crown 2.5 하이브리드</v>
      </c>
      <c r="BE868" s="261" t="str">
        <f t="shared" si="134"/>
        <v>0091</v>
      </c>
      <c r="BF868" s="407" t="s">
        <v>3915</v>
      </c>
      <c r="BG868" s="202" t="str">
        <f t="shared" si="129"/>
        <v>0091-0867</v>
      </c>
    </row>
    <row r="869" spans="1:59">
      <c r="A869" s="405">
        <v>4643</v>
      </c>
      <c r="B869" s="406">
        <v>4643</v>
      </c>
      <c r="C869" s="261" t="str">
        <f t="shared" si="130"/>
        <v>0034-0092</v>
      </c>
      <c r="D869" s="261" t="str">
        <f t="shared" si="131"/>
        <v>0034-0092-0001</v>
      </c>
      <c r="E869" s="407" t="s">
        <v>3916</v>
      </c>
      <c r="F869" s="261" t="str">
        <f>TEXT(VLOOKUP(J869,'[3]1'!$B$2:$D$37,2,0),"0000")</f>
        <v>0034</v>
      </c>
      <c r="G869" s="261" t="str">
        <f t="shared" si="132"/>
        <v>0092</v>
      </c>
      <c r="H869" s="408">
        <f t="shared" si="133"/>
        <v>1</v>
      </c>
      <c r="I869" s="407" t="s">
        <v>3916</v>
      </c>
      <c r="J869" s="258" t="s">
        <v>87</v>
      </c>
      <c r="K869" s="258" t="s">
        <v>92</v>
      </c>
      <c r="L869" s="258" t="s">
        <v>3873</v>
      </c>
      <c r="M869" s="409">
        <v>24900000</v>
      </c>
      <c r="N869" s="258">
        <v>1987</v>
      </c>
      <c r="O869" s="258" t="s">
        <v>74</v>
      </c>
      <c r="P869" s="258" t="s">
        <v>73</v>
      </c>
      <c r="Q869" s="258" t="s">
        <v>72</v>
      </c>
      <c r="R869" s="258">
        <v>5</v>
      </c>
      <c r="S869" s="410">
        <v>8</v>
      </c>
      <c r="T869" s="261">
        <v>6</v>
      </c>
      <c r="U869" s="261">
        <v>6</v>
      </c>
      <c r="V869" s="258" t="s">
        <v>1969</v>
      </c>
      <c r="W869" s="261" t="str">
        <f t="shared" si="135"/>
        <v>TOYOTAPRIUS플러그인 하이브리드 SE24900000</v>
      </c>
      <c r="X869" s="411">
        <f t="shared" si="136"/>
        <v>4643</v>
      </c>
      <c r="Y869" s="261">
        <v>6</v>
      </c>
      <c r="Z869" s="261">
        <v>6</v>
      </c>
      <c r="AA869" s="407" t="s">
        <v>3916</v>
      </c>
      <c r="AB869" s="258" t="s">
        <v>73</v>
      </c>
      <c r="AC869" s="258"/>
      <c r="AD869" s="258">
        <v>2</v>
      </c>
      <c r="AE869" s="258">
        <v>1</v>
      </c>
      <c r="AF869" s="259"/>
      <c r="AG869" s="260"/>
      <c r="AH869" s="259"/>
      <c r="AI869" s="259"/>
      <c r="AJ869" s="259"/>
      <c r="AK869" s="259">
        <v>13</v>
      </c>
      <c r="AL869" s="259"/>
      <c r="AM869" s="259" t="s">
        <v>3780</v>
      </c>
      <c r="AN869" s="449"/>
      <c r="AO869" s="449"/>
      <c r="AP869" s="449"/>
      <c r="AQ869" s="392" t="str">
        <f>IFERROR(VLOOKUP(BG869,#REF!,1,0),"")</f>
        <v/>
      </c>
      <c r="AS869" s="259" t="s">
        <v>3231</v>
      </c>
      <c r="BD869" s="202" t="str">
        <f t="shared" si="128"/>
        <v>PRIUS플러그인 하이브리드 SE</v>
      </c>
      <c r="BE869" s="261" t="str">
        <f t="shared" si="134"/>
        <v>0092</v>
      </c>
      <c r="BF869" s="407" t="s">
        <v>3916</v>
      </c>
      <c r="BG869" s="202" t="str">
        <f t="shared" si="129"/>
        <v>0092-0868</v>
      </c>
    </row>
    <row r="870" spans="1:59">
      <c r="A870" s="405">
        <v>4644</v>
      </c>
      <c r="B870" s="406">
        <v>4644</v>
      </c>
      <c r="C870" s="261" t="str">
        <f t="shared" si="130"/>
        <v>0034-0092</v>
      </c>
      <c r="D870" s="261" t="str">
        <f t="shared" si="131"/>
        <v>0034-0092-0002</v>
      </c>
      <c r="E870" s="407" t="s">
        <v>235</v>
      </c>
      <c r="F870" s="261" t="str">
        <f>TEXT(VLOOKUP(J870,'[3]1'!$B$2:$D$37,2,0),"0000")</f>
        <v>0034</v>
      </c>
      <c r="G870" s="261" t="str">
        <f t="shared" si="132"/>
        <v>0092</v>
      </c>
      <c r="H870" s="408">
        <f t="shared" si="133"/>
        <v>2</v>
      </c>
      <c r="I870" s="407" t="s">
        <v>235</v>
      </c>
      <c r="J870" s="258" t="s">
        <v>87</v>
      </c>
      <c r="K870" s="258" t="s">
        <v>92</v>
      </c>
      <c r="L870" s="258" t="s">
        <v>3874</v>
      </c>
      <c r="M870" s="409">
        <v>32640000</v>
      </c>
      <c r="N870" s="258">
        <v>1987</v>
      </c>
      <c r="O870" s="258" t="s">
        <v>74</v>
      </c>
      <c r="P870" s="258" t="s">
        <v>73</v>
      </c>
      <c r="Q870" s="258" t="s">
        <v>72</v>
      </c>
      <c r="R870" s="258">
        <v>5</v>
      </c>
      <c r="S870" s="410">
        <v>8</v>
      </c>
      <c r="T870" s="261">
        <v>6</v>
      </c>
      <c r="U870" s="261">
        <v>6</v>
      </c>
      <c r="V870" s="258" t="s">
        <v>1969</v>
      </c>
      <c r="W870" s="261" t="str">
        <f t="shared" si="135"/>
        <v>TOYOTAPRIUS플러그인 하이브리드 XSE32640000</v>
      </c>
      <c r="X870" s="411">
        <f t="shared" si="136"/>
        <v>4644</v>
      </c>
      <c r="Y870" s="261">
        <v>6</v>
      </c>
      <c r="Z870" s="261">
        <v>6</v>
      </c>
      <c r="AA870" s="407" t="s">
        <v>235</v>
      </c>
      <c r="AB870" s="258" t="s">
        <v>73</v>
      </c>
      <c r="AC870" s="258"/>
      <c r="AD870" s="258">
        <v>2</v>
      </c>
      <c r="AE870" s="258">
        <v>1</v>
      </c>
      <c r="AF870" s="259"/>
      <c r="AG870" s="260"/>
      <c r="AH870" s="259"/>
      <c r="AI870" s="259"/>
      <c r="AJ870" s="259"/>
      <c r="AK870" s="259">
        <v>10</v>
      </c>
      <c r="AL870" s="259"/>
      <c r="AM870" s="259" t="s">
        <v>3785</v>
      </c>
      <c r="AN870" s="449"/>
      <c r="AO870" s="449"/>
      <c r="AP870" s="449"/>
      <c r="AQ870" s="392" t="str">
        <f>IFERROR(VLOOKUP(BG870,#REF!,1,0),"")</f>
        <v/>
      </c>
      <c r="AS870" s="259" t="s">
        <v>3231</v>
      </c>
      <c r="BD870" s="202" t="str">
        <f t="shared" si="128"/>
        <v>PRIUS플러그인 하이브리드 XSE</v>
      </c>
      <c r="BE870" s="261" t="str">
        <f t="shared" si="134"/>
        <v>0092</v>
      </c>
      <c r="BF870" s="407" t="s">
        <v>235</v>
      </c>
      <c r="BG870" s="202" t="str">
        <f t="shared" si="129"/>
        <v>0092-0869</v>
      </c>
    </row>
    <row r="871" spans="1:59">
      <c r="A871" s="405">
        <v>4645</v>
      </c>
      <c r="B871" s="406">
        <v>4645</v>
      </c>
      <c r="C871" s="261" t="str">
        <f t="shared" si="130"/>
        <v>0034-0092</v>
      </c>
      <c r="D871" s="261" t="str">
        <f t="shared" si="131"/>
        <v>0034-0092-0003</v>
      </c>
      <c r="E871" s="407" t="s">
        <v>234</v>
      </c>
      <c r="F871" s="261" t="str">
        <f>TEXT(VLOOKUP(J871,'[3]1'!$B$2:$D$37,2,0),"0000")</f>
        <v>0034</v>
      </c>
      <c r="G871" s="261" t="str">
        <f t="shared" si="132"/>
        <v>0092</v>
      </c>
      <c r="H871" s="408">
        <f t="shared" si="133"/>
        <v>3</v>
      </c>
      <c r="I871" s="407" t="s">
        <v>234</v>
      </c>
      <c r="J871" s="258" t="s">
        <v>87</v>
      </c>
      <c r="K871" s="258" t="s">
        <v>92</v>
      </c>
      <c r="L871" s="258" t="s">
        <v>3875</v>
      </c>
      <c r="M871" s="409">
        <v>38900000</v>
      </c>
      <c r="N871" s="258">
        <v>1987</v>
      </c>
      <c r="O871" s="258" t="s">
        <v>74</v>
      </c>
      <c r="P871" s="258" t="s">
        <v>73</v>
      </c>
      <c r="Q871" s="258" t="s">
        <v>72</v>
      </c>
      <c r="R871" s="258">
        <v>5</v>
      </c>
      <c r="S871" s="410">
        <v>8</v>
      </c>
      <c r="T871" s="261">
        <v>6</v>
      </c>
      <c r="U871" s="261">
        <v>6</v>
      </c>
      <c r="V871" s="258" t="s">
        <v>1969</v>
      </c>
      <c r="W871" s="261" t="str">
        <f t="shared" si="135"/>
        <v>TOYOTAPRIUS하이브리드 LE38900000</v>
      </c>
      <c r="X871" s="411">
        <f t="shared" si="136"/>
        <v>4645</v>
      </c>
      <c r="Y871" s="261">
        <v>6</v>
      </c>
      <c r="Z871" s="261">
        <v>6</v>
      </c>
      <c r="AA871" s="407" t="s">
        <v>234</v>
      </c>
      <c r="AB871" s="258" t="s">
        <v>73</v>
      </c>
      <c r="AC871" s="258"/>
      <c r="AD871" s="258">
        <v>2</v>
      </c>
      <c r="AE871" s="258">
        <v>0</v>
      </c>
      <c r="AF871" s="259"/>
      <c r="AG871" s="260"/>
      <c r="AH871" s="259"/>
      <c r="AI871" s="259"/>
      <c r="AJ871" s="259"/>
      <c r="AK871" s="259">
        <v>13</v>
      </c>
      <c r="AL871" s="259"/>
      <c r="AM871" s="259" t="s">
        <v>3780</v>
      </c>
      <c r="AN871" s="449"/>
      <c r="AO871" s="449"/>
      <c r="AP871" s="449"/>
      <c r="AQ871" s="392" t="str">
        <f>IFERROR(VLOOKUP(BG871,#REF!,1,0),"")</f>
        <v/>
      </c>
      <c r="AS871" s="259" t="s">
        <v>3231</v>
      </c>
      <c r="BD871" s="202" t="str">
        <f t="shared" si="128"/>
        <v>PRIUS하이브리드 LE</v>
      </c>
      <c r="BE871" s="261" t="str">
        <f t="shared" si="134"/>
        <v>0092</v>
      </c>
      <c r="BF871" s="407" t="s">
        <v>234</v>
      </c>
      <c r="BG871" s="202" t="str">
        <f t="shared" si="129"/>
        <v>0092-0870</v>
      </c>
    </row>
    <row r="872" spans="1:59">
      <c r="A872" s="405">
        <v>4646</v>
      </c>
      <c r="B872" s="406">
        <v>4646</v>
      </c>
      <c r="C872" s="261" t="str">
        <f t="shared" si="130"/>
        <v>0034-0092</v>
      </c>
      <c r="D872" s="261" t="str">
        <f t="shared" si="131"/>
        <v>0034-0092-0004</v>
      </c>
      <c r="E872" s="407" t="s">
        <v>233</v>
      </c>
      <c r="F872" s="261" t="str">
        <f>TEXT(VLOOKUP(J872,'[3]1'!$B$2:$D$37,2,0),"0000")</f>
        <v>0034</v>
      </c>
      <c r="G872" s="261" t="str">
        <f t="shared" si="132"/>
        <v>0092</v>
      </c>
      <c r="H872" s="408">
        <f t="shared" si="133"/>
        <v>4</v>
      </c>
      <c r="I872" s="407" t="s">
        <v>233</v>
      </c>
      <c r="J872" s="258" t="s">
        <v>87</v>
      </c>
      <c r="K872" s="258" t="s">
        <v>92</v>
      </c>
      <c r="L872" s="258" t="s">
        <v>3876</v>
      </c>
      <c r="M872" s="409">
        <v>47700000</v>
      </c>
      <c r="N872" s="258">
        <v>1987</v>
      </c>
      <c r="O872" s="258" t="s">
        <v>74</v>
      </c>
      <c r="P872" s="258" t="s">
        <v>73</v>
      </c>
      <c r="Q872" s="258" t="s">
        <v>72</v>
      </c>
      <c r="R872" s="258">
        <v>5</v>
      </c>
      <c r="S872" s="410">
        <v>8</v>
      </c>
      <c r="T872" s="261">
        <v>6</v>
      </c>
      <c r="U872" s="261">
        <v>6</v>
      </c>
      <c r="V872" s="258" t="s">
        <v>1969</v>
      </c>
      <c r="W872" s="261" t="str">
        <f t="shared" si="135"/>
        <v>TOYOTAPRIUS하이브리드 XLE47700000</v>
      </c>
      <c r="X872" s="411">
        <f t="shared" si="136"/>
        <v>4646</v>
      </c>
      <c r="Y872" s="261">
        <v>6</v>
      </c>
      <c r="Z872" s="261">
        <v>6</v>
      </c>
      <c r="AA872" s="407" t="s">
        <v>233</v>
      </c>
      <c r="AB872" s="258" t="s">
        <v>73</v>
      </c>
      <c r="AC872" s="258"/>
      <c r="AD872" s="258">
        <v>6</v>
      </c>
      <c r="AE872" s="258">
        <v>0</v>
      </c>
      <c r="AF872" s="259"/>
      <c r="AG872" s="260"/>
      <c r="AH872" s="259"/>
      <c r="AI872" s="259"/>
      <c r="AJ872" s="259"/>
      <c r="AK872" s="259">
        <v>13</v>
      </c>
      <c r="AL872" s="259"/>
      <c r="AM872" s="259" t="s">
        <v>3780</v>
      </c>
      <c r="AN872" s="449"/>
      <c r="AO872" s="449"/>
      <c r="AP872" s="449"/>
      <c r="AQ872" s="392" t="str">
        <f>IFERROR(VLOOKUP(BG872,#REF!,1,0),"")</f>
        <v/>
      </c>
      <c r="AS872" s="259" t="s">
        <v>3231</v>
      </c>
      <c r="BD872" s="202" t="str">
        <f t="shared" si="128"/>
        <v>PRIUS하이브리드 XLE</v>
      </c>
      <c r="BE872" s="261" t="str">
        <f t="shared" si="134"/>
        <v>0092</v>
      </c>
      <c r="BF872" s="407" t="s">
        <v>233</v>
      </c>
      <c r="BG872" s="202" t="str">
        <f t="shared" si="129"/>
        <v>0092-0871</v>
      </c>
    </row>
    <row r="873" spans="1:59">
      <c r="A873" s="405">
        <v>4647</v>
      </c>
      <c r="B873" s="406">
        <v>4647</v>
      </c>
      <c r="C873" s="261" t="str">
        <f t="shared" si="130"/>
        <v>0034-0093</v>
      </c>
      <c r="D873" s="261" t="str">
        <f t="shared" si="131"/>
        <v>0034-0093-0001</v>
      </c>
      <c r="E873" s="407" t="s">
        <v>3917</v>
      </c>
      <c r="F873" s="261" t="str">
        <f>TEXT(VLOOKUP(J873,'[3]1'!$B$2:$D$37,2,0),"0000")</f>
        <v>0034</v>
      </c>
      <c r="G873" s="261" t="str">
        <f t="shared" si="132"/>
        <v>0093</v>
      </c>
      <c r="H873" s="408">
        <f t="shared" si="133"/>
        <v>1</v>
      </c>
      <c r="I873" s="407" t="s">
        <v>3917</v>
      </c>
      <c r="J873" s="258" t="s">
        <v>87</v>
      </c>
      <c r="K873" s="258" t="s">
        <v>90</v>
      </c>
      <c r="L873" s="258" t="s">
        <v>3874</v>
      </c>
      <c r="M873" s="409">
        <v>44300000</v>
      </c>
      <c r="N873" s="258">
        <v>2487</v>
      </c>
      <c r="O873" s="258" t="s">
        <v>74</v>
      </c>
      <c r="P873" s="258" t="s">
        <v>73</v>
      </c>
      <c r="Q873" s="258" t="s">
        <v>72</v>
      </c>
      <c r="R873" s="258">
        <v>5</v>
      </c>
      <c r="S873" s="410">
        <v>13</v>
      </c>
      <c r="T873" s="261">
        <v>6</v>
      </c>
      <c r="U873" s="261">
        <v>6</v>
      </c>
      <c r="V873" s="258" t="s">
        <v>1914</v>
      </c>
      <c r="W873" s="261" t="str">
        <f t="shared" si="135"/>
        <v>TOYOTARAV4플러그인 하이브리드 XSE44300000</v>
      </c>
      <c r="X873" s="411">
        <f t="shared" si="136"/>
        <v>4647</v>
      </c>
      <c r="Y873" s="261">
        <v>6</v>
      </c>
      <c r="Z873" s="261">
        <v>6</v>
      </c>
      <c r="AA873" s="407" t="s">
        <v>3917</v>
      </c>
      <c r="AB873" s="258" t="s">
        <v>70</v>
      </c>
      <c r="AC873" s="258"/>
      <c r="AD873" s="258">
        <v>5</v>
      </c>
      <c r="AE873" s="258">
        <v>2</v>
      </c>
      <c r="AF873" s="259"/>
      <c r="AG873" s="260"/>
      <c r="AH873" s="259"/>
      <c r="AI873" s="259"/>
      <c r="AJ873" s="259"/>
      <c r="AK873" s="259">
        <v>24</v>
      </c>
      <c r="AL873" s="259"/>
      <c r="AM873" s="259" t="s">
        <v>3673</v>
      </c>
      <c r="AN873" s="449"/>
      <c r="AO873" s="449"/>
      <c r="AP873" s="449"/>
      <c r="AQ873" s="392" t="str">
        <f>IFERROR(VLOOKUP(BG873,#REF!,1,0),"")</f>
        <v/>
      </c>
      <c r="AS873" s="259" t="s">
        <v>3227</v>
      </c>
      <c r="BD873" s="202" t="str">
        <f t="shared" si="128"/>
        <v>RAV4플러그인 하이브리드 XSE</v>
      </c>
      <c r="BE873" s="261" t="str">
        <f t="shared" si="134"/>
        <v>0093</v>
      </c>
      <c r="BF873" s="407" t="s">
        <v>3917</v>
      </c>
      <c r="BG873" s="202" t="str">
        <f t="shared" si="129"/>
        <v>0093-0872</v>
      </c>
    </row>
    <row r="874" spans="1:59">
      <c r="A874" s="405">
        <v>4648</v>
      </c>
      <c r="B874" s="406">
        <v>4648</v>
      </c>
      <c r="C874" s="261" t="str">
        <f t="shared" si="130"/>
        <v>0034-0093</v>
      </c>
      <c r="D874" s="261" t="str">
        <f t="shared" si="131"/>
        <v>0034-0093-0002</v>
      </c>
      <c r="E874" s="407" t="s">
        <v>3918</v>
      </c>
      <c r="F874" s="261" t="str">
        <f>TEXT(VLOOKUP(J874,'[3]1'!$B$2:$D$37,2,0),"0000")</f>
        <v>0034</v>
      </c>
      <c r="G874" s="261" t="str">
        <f t="shared" si="132"/>
        <v>0093</v>
      </c>
      <c r="H874" s="408">
        <f t="shared" si="133"/>
        <v>2</v>
      </c>
      <c r="I874" s="407" t="s">
        <v>3918</v>
      </c>
      <c r="J874" s="258" t="s">
        <v>87</v>
      </c>
      <c r="K874" s="258" t="s">
        <v>90</v>
      </c>
      <c r="L874" s="258" t="s">
        <v>3879</v>
      </c>
      <c r="M874" s="409">
        <v>50200000</v>
      </c>
      <c r="N874" s="258">
        <v>2487</v>
      </c>
      <c r="O874" s="258" t="s">
        <v>74</v>
      </c>
      <c r="P874" s="258" t="s">
        <v>73</v>
      </c>
      <c r="Q874" s="258" t="s">
        <v>72</v>
      </c>
      <c r="R874" s="258">
        <v>5</v>
      </c>
      <c r="S874" s="410">
        <v>13</v>
      </c>
      <c r="T874" s="261">
        <v>6</v>
      </c>
      <c r="U874" s="261">
        <v>6</v>
      </c>
      <c r="V874" s="258" t="s">
        <v>1914</v>
      </c>
      <c r="W874" s="261" t="str">
        <f t="shared" si="135"/>
        <v>TOYOTARAV4하이브리드 2WD XLE50200000</v>
      </c>
      <c r="X874" s="411">
        <f t="shared" si="136"/>
        <v>4648</v>
      </c>
      <c r="Y874" s="261">
        <v>6</v>
      </c>
      <c r="Z874" s="261">
        <v>6</v>
      </c>
      <c r="AA874" s="407" t="s">
        <v>3918</v>
      </c>
      <c r="AB874" s="258" t="s">
        <v>70</v>
      </c>
      <c r="AC874" s="258"/>
      <c r="AD874" s="258">
        <v>5</v>
      </c>
      <c r="AE874" s="258">
        <v>2</v>
      </c>
      <c r="AF874" s="259"/>
      <c r="AG874" s="260"/>
      <c r="AH874" s="259"/>
      <c r="AI874" s="259"/>
      <c r="AJ874" s="259"/>
      <c r="AK874" s="259">
        <v>24</v>
      </c>
      <c r="AL874" s="259"/>
      <c r="AM874" s="259" t="s">
        <v>3673</v>
      </c>
      <c r="AN874" s="449"/>
      <c r="AO874" s="449"/>
      <c r="AP874" s="449"/>
      <c r="AQ874" s="392" t="str">
        <f>IFERROR(VLOOKUP(BG874,#REF!,1,0),"")</f>
        <v/>
      </c>
      <c r="AS874" s="259" t="s">
        <v>3227</v>
      </c>
      <c r="BD874" s="202" t="str">
        <f t="shared" si="128"/>
        <v>RAV4하이브리드 2WD XLE</v>
      </c>
      <c r="BE874" s="261" t="str">
        <f t="shared" si="134"/>
        <v>0093</v>
      </c>
      <c r="BF874" s="407" t="s">
        <v>3918</v>
      </c>
      <c r="BG874" s="202" t="str">
        <f t="shared" si="129"/>
        <v>0093-0873</v>
      </c>
    </row>
    <row r="875" spans="1:59">
      <c r="A875" s="405">
        <v>4649</v>
      </c>
      <c r="B875" s="406">
        <v>4649</v>
      </c>
      <c r="C875" s="261" t="str">
        <f t="shared" si="130"/>
        <v>0034-0093</v>
      </c>
      <c r="D875" s="261" t="str">
        <f t="shared" si="131"/>
        <v>0034-0093-0003</v>
      </c>
      <c r="E875" s="407" t="s">
        <v>232</v>
      </c>
      <c r="F875" s="261" t="str">
        <f>TEXT(VLOOKUP(J875,'[3]1'!$B$2:$D$37,2,0),"0000")</f>
        <v>0034</v>
      </c>
      <c r="G875" s="261" t="str">
        <f t="shared" si="132"/>
        <v>0093</v>
      </c>
      <c r="H875" s="408">
        <f t="shared" si="133"/>
        <v>3</v>
      </c>
      <c r="I875" s="407" t="s">
        <v>232</v>
      </c>
      <c r="J875" s="258" t="s">
        <v>87</v>
      </c>
      <c r="K875" s="258" t="s">
        <v>90</v>
      </c>
      <c r="L875" s="258" t="s">
        <v>3880</v>
      </c>
      <c r="M875" s="409">
        <v>57000000</v>
      </c>
      <c r="N875" s="258">
        <v>2487</v>
      </c>
      <c r="O875" s="258" t="s">
        <v>74</v>
      </c>
      <c r="P875" s="258" t="s">
        <v>73</v>
      </c>
      <c r="Q875" s="258" t="s">
        <v>72</v>
      </c>
      <c r="R875" s="258">
        <v>5</v>
      </c>
      <c r="S875" s="410">
        <v>13</v>
      </c>
      <c r="T875" s="261">
        <v>6</v>
      </c>
      <c r="U875" s="261">
        <v>6</v>
      </c>
      <c r="V875" s="258" t="s">
        <v>1914</v>
      </c>
      <c r="W875" s="261" t="str">
        <f t="shared" si="135"/>
        <v>TOYOTARAV4하이브리드 4WD LTD57000000</v>
      </c>
      <c r="X875" s="411">
        <f t="shared" si="136"/>
        <v>4649</v>
      </c>
      <c r="Y875" s="261">
        <v>6</v>
      </c>
      <c r="Z875" s="261">
        <v>6</v>
      </c>
      <c r="AA875" s="407" t="s">
        <v>232</v>
      </c>
      <c r="AB875" s="258" t="s">
        <v>70</v>
      </c>
      <c r="AC875" s="258"/>
      <c r="AD875" s="258">
        <v>5</v>
      </c>
      <c r="AE875" s="258">
        <v>2</v>
      </c>
      <c r="AF875" s="259"/>
      <c r="AG875" s="260"/>
      <c r="AH875" s="259"/>
      <c r="AI875" s="259"/>
      <c r="AJ875" s="259"/>
      <c r="AK875" s="259">
        <v>24</v>
      </c>
      <c r="AL875" s="259"/>
      <c r="AM875" s="259" t="s">
        <v>3673</v>
      </c>
      <c r="AN875" s="449"/>
      <c r="AO875" s="449"/>
      <c r="AP875" s="449"/>
      <c r="AQ875" s="392" t="str">
        <f>IFERROR(VLOOKUP(BG875,#REF!,1,0),"")</f>
        <v/>
      </c>
      <c r="AS875" s="259" t="s">
        <v>3227</v>
      </c>
      <c r="BD875" s="202" t="str">
        <f t="shared" si="128"/>
        <v>RAV4하이브리드 4WD LTD</v>
      </c>
      <c r="BE875" s="261" t="str">
        <f t="shared" si="134"/>
        <v>0093</v>
      </c>
      <c r="BF875" s="407" t="s">
        <v>232</v>
      </c>
      <c r="BG875" s="202" t="str">
        <f t="shared" si="129"/>
        <v>0093-0874</v>
      </c>
    </row>
    <row r="876" spans="1:59">
      <c r="A876" s="405">
        <v>4650</v>
      </c>
      <c r="B876" s="406">
        <v>4650</v>
      </c>
      <c r="C876" s="261" t="str">
        <f t="shared" si="130"/>
        <v>0034-0094</v>
      </c>
      <c r="D876" s="261" t="str">
        <f t="shared" si="131"/>
        <v>0034-0094-0001</v>
      </c>
      <c r="E876" s="407" t="s">
        <v>231</v>
      </c>
      <c r="F876" s="261" t="str">
        <f>TEXT(VLOOKUP(J876,'[3]1'!$B$2:$D$37,2,0),"0000")</f>
        <v>0034</v>
      </c>
      <c r="G876" s="261" t="str">
        <f t="shared" si="132"/>
        <v>0094</v>
      </c>
      <c r="H876" s="408">
        <f t="shared" si="133"/>
        <v>1</v>
      </c>
      <c r="I876" s="407" t="s">
        <v>231</v>
      </c>
      <c r="J876" s="258" t="s">
        <v>87</v>
      </c>
      <c r="K876" s="258" t="s">
        <v>3886</v>
      </c>
      <c r="L876" s="258" t="s">
        <v>3887</v>
      </c>
      <c r="M876" s="409">
        <v>99000000</v>
      </c>
      <c r="N876" s="258">
        <v>2487</v>
      </c>
      <c r="O876" s="258" t="s">
        <v>74</v>
      </c>
      <c r="P876" s="258" t="s">
        <v>73</v>
      </c>
      <c r="Q876" s="258" t="s">
        <v>72</v>
      </c>
      <c r="R876" s="258">
        <v>5</v>
      </c>
      <c r="S876" s="410">
        <v>13</v>
      </c>
      <c r="T876" s="261">
        <v>6</v>
      </c>
      <c r="U876" s="261">
        <v>6</v>
      </c>
      <c r="V876" s="258" t="s">
        <v>1969</v>
      </c>
      <c r="W876" s="261" t="str">
        <f t="shared" si="135"/>
        <v>TOYOTA알파드2.5 하이브리드99000000</v>
      </c>
      <c r="X876" s="411">
        <f t="shared" si="136"/>
        <v>4650</v>
      </c>
      <c r="Y876" s="261">
        <v>6</v>
      </c>
      <c r="Z876" s="261">
        <v>6</v>
      </c>
      <c r="AA876" s="407" t="s">
        <v>231</v>
      </c>
      <c r="AB876" s="258" t="s">
        <v>70</v>
      </c>
      <c r="AC876" s="258"/>
      <c r="AD876" s="258">
        <v>5</v>
      </c>
      <c r="AE876" s="258">
        <v>2</v>
      </c>
      <c r="AF876" s="259"/>
      <c r="AG876" s="260"/>
      <c r="AH876" s="259"/>
      <c r="AI876" s="259"/>
      <c r="AJ876" s="259"/>
      <c r="AK876" s="259">
        <v>19</v>
      </c>
      <c r="AL876" s="259"/>
      <c r="AM876" s="259" t="s">
        <v>3888</v>
      </c>
      <c r="AN876" s="449"/>
      <c r="AO876" s="449"/>
      <c r="AP876" s="449"/>
      <c r="AQ876" s="392" t="str">
        <f>IFERROR(VLOOKUP(BG876,#REF!,1,0),"")</f>
        <v/>
      </c>
      <c r="AS876" s="259" t="s">
        <v>3227</v>
      </c>
      <c r="BD876" s="202" t="str">
        <f t="shared" si="128"/>
        <v>알파드2.5 하이브리드</v>
      </c>
      <c r="BE876" s="261" t="str">
        <f t="shared" si="134"/>
        <v>0094</v>
      </c>
      <c r="BF876" s="407" t="s">
        <v>231</v>
      </c>
      <c r="BG876" s="202" t="str">
        <f t="shared" si="129"/>
        <v>0094-0875</v>
      </c>
    </row>
    <row r="877" spans="1:59">
      <c r="A877" s="405">
        <v>4651</v>
      </c>
      <c r="B877" s="406">
        <v>4651</v>
      </c>
      <c r="C877" s="261" t="str">
        <f t="shared" si="130"/>
        <v>0034-0095</v>
      </c>
      <c r="D877" s="261" t="str">
        <f t="shared" si="131"/>
        <v>0034-0095-0001</v>
      </c>
      <c r="E877" s="407" t="s">
        <v>230</v>
      </c>
      <c r="F877" s="261" t="str">
        <f>TEXT(VLOOKUP(J877,'[3]1'!$B$2:$D$37,2,0),"0000")</f>
        <v>0034</v>
      </c>
      <c r="G877" s="261" t="str">
        <f t="shared" si="132"/>
        <v>0095</v>
      </c>
      <c r="H877" s="408">
        <f t="shared" si="133"/>
        <v>1</v>
      </c>
      <c r="I877" s="407" t="s">
        <v>230</v>
      </c>
      <c r="J877" s="258" t="s">
        <v>87</v>
      </c>
      <c r="K877" s="258" t="s">
        <v>89</v>
      </c>
      <c r="L877" s="258" t="s">
        <v>3570</v>
      </c>
      <c r="M877" s="409">
        <v>64000000</v>
      </c>
      <c r="N877" s="426">
        <v>2487</v>
      </c>
      <c r="O877" s="426" t="s">
        <v>1173</v>
      </c>
      <c r="P877" s="426" t="s">
        <v>73</v>
      </c>
      <c r="Q877" s="258" t="s">
        <v>72</v>
      </c>
      <c r="R877" s="426">
        <v>7</v>
      </c>
      <c r="S877" s="427">
        <v>12</v>
      </c>
      <c r="T877" s="261">
        <v>6</v>
      </c>
      <c r="U877" s="261">
        <v>6</v>
      </c>
      <c r="V877" s="258" t="s">
        <v>1914</v>
      </c>
      <c r="W877" s="261" t="str">
        <f t="shared" si="135"/>
        <v>TOYOTASIENNA하이브리드 2WD64000000</v>
      </c>
      <c r="X877" s="411">
        <f t="shared" si="136"/>
        <v>4651</v>
      </c>
      <c r="Y877" s="261">
        <v>6</v>
      </c>
      <c r="Z877" s="261">
        <v>6</v>
      </c>
      <c r="AA877" s="407" t="s">
        <v>230</v>
      </c>
      <c r="AB877" s="258" t="s">
        <v>70</v>
      </c>
      <c r="AC877" s="258"/>
      <c r="AD877" s="258">
        <v>7</v>
      </c>
      <c r="AE877" s="258"/>
      <c r="AF877" s="259"/>
      <c r="AG877" s="260"/>
      <c r="AH877" s="259"/>
      <c r="AI877" s="259"/>
      <c r="AJ877" s="259"/>
      <c r="AK877" s="259">
        <v>17</v>
      </c>
      <c r="AL877" s="259"/>
      <c r="AM877" s="259" t="s">
        <v>3666</v>
      </c>
      <c r="AN877" s="449"/>
      <c r="AO877" s="449"/>
      <c r="AP877" s="449"/>
      <c r="AQ877" s="392" t="str">
        <f>IFERROR(VLOOKUP(BG877,#REF!,1,0),"")</f>
        <v/>
      </c>
      <c r="AS877" s="259" t="s">
        <v>3228</v>
      </c>
      <c r="AT877" s="392" t="s">
        <v>3099</v>
      </c>
      <c r="AW877" s="392" t="s">
        <v>3098</v>
      </c>
      <c r="AY877" s="312"/>
      <c r="BD877" s="202" t="str">
        <f t="shared" si="128"/>
        <v>SIENNA하이브리드 2WD</v>
      </c>
      <c r="BE877" s="261" t="str">
        <f t="shared" si="134"/>
        <v>0095</v>
      </c>
      <c r="BF877" s="407" t="s">
        <v>230</v>
      </c>
      <c r="BG877" s="202" t="str">
        <f t="shared" si="129"/>
        <v>0095-0876</v>
      </c>
    </row>
    <row r="878" spans="1:59">
      <c r="A878" s="405">
        <v>4652</v>
      </c>
      <c r="B878" s="406">
        <v>4652</v>
      </c>
      <c r="C878" s="261" t="str">
        <f t="shared" si="130"/>
        <v>0034-0095</v>
      </c>
      <c r="D878" s="261" t="str">
        <f t="shared" si="131"/>
        <v>0034-0095-0002</v>
      </c>
      <c r="E878" s="407" t="s">
        <v>229</v>
      </c>
      <c r="F878" s="261" t="str">
        <f>TEXT(VLOOKUP(J878,'[3]1'!$B$2:$D$37,2,0),"0000")</f>
        <v>0034</v>
      </c>
      <c r="G878" s="261" t="str">
        <f t="shared" si="132"/>
        <v>0095</v>
      </c>
      <c r="H878" s="408">
        <f t="shared" si="133"/>
        <v>2</v>
      </c>
      <c r="I878" s="407" t="s">
        <v>229</v>
      </c>
      <c r="J878" s="258" t="s">
        <v>87</v>
      </c>
      <c r="K878" s="258" t="s">
        <v>89</v>
      </c>
      <c r="L878" s="258" t="s">
        <v>3571</v>
      </c>
      <c r="M878" s="409">
        <v>62000000</v>
      </c>
      <c r="N878" s="426">
        <v>2487</v>
      </c>
      <c r="O878" s="426" t="s">
        <v>1173</v>
      </c>
      <c r="P878" s="426" t="s">
        <v>73</v>
      </c>
      <c r="Q878" s="258" t="s">
        <v>72</v>
      </c>
      <c r="R878" s="426">
        <v>7</v>
      </c>
      <c r="S878" s="427">
        <v>12</v>
      </c>
      <c r="T878" s="261">
        <v>6</v>
      </c>
      <c r="U878" s="261">
        <v>6</v>
      </c>
      <c r="V878" s="258" t="s">
        <v>3105</v>
      </c>
      <c r="W878" s="261" t="str">
        <f t="shared" si="135"/>
        <v>TOYOTASIENNA하이브리드 AWD62000000</v>
      </c>
      <c r="X878" s="411">
        <f t="shared" si="136"/>
        <v>4652</v>
      </c>
      <c r="Y878" s="261">
        <v>6</v>
      </c>
      <c r="Z878" s="261">
        <v>6</v>
      </c>
      <c r="AA878" s="407" t="s">
        <v>229</v>
      </c>
      <c r="AB878" s="258" t="s">
        <v>70</v>
      </c>
      <c r="AC878" s="258"/>
      <c r="AD878" s="258">
        <v>7</v>
      </c>
      <c r="AE878" s="258"/>
      <c r="AF878" s="259"/>
      <c r="AG878" s="260"/>
      <c r="AH878" s="259"/>
      <c r="AI878" s="259"/>
      <c r="AJ878" s="259"/>
      <c r="AK878" s="259">
        <v>17</v>
      </c>
      <c r="AL878" s="259"/>
      <c r="AM878" s="259" t="s">
        <v>3666</v>
      </c>
      <c r="AN878" s="449"/>
      <c r="AO878" s="449"/>
      <c r="AP878" s="449"/>
      <c r="AQ878" s="392" t="str">
        <f>IFERROR(VLOOKUP(BG878,#REF!,1,0),"")</f>
        <v/>
      </c>
      <c r="AS878" s="259" t="s">
        <v>3228</v>
      </c>
      <c r="AT878" s="392" t="s">
        <v>3099</v>
      </c>
      <c r="AW878" s="392" t="s">
        <v>3098</v>
      </c>
      <c r="AY878" s="312"/>
      <c r="BD878" s="202" t="str">
        <f t="shared" si="128"/>
        <v>SIENNA하이브리드 AWD</v>
      </c>
      <c r="BE878" s="261" t="str">
        <f t="shared" si="134"/>
        <v>0095</v>
      </c>
      <c r="BF878" s="407" t="s">
        <v>229</v>
      </c>
      <c r="BG878" s="202" t="str">
        <f t="shared" si="129"/>
        <v>0095-0877</v>
      </c>
    </row>
    <row r="879" spans="1:59">
      <c r="A879" s="405">
        <v>4653</v>
      </c>
      <c r="B879" s="406">
        <v>4653</v>
      </c>
      <c r="C879" s="261" t="str">
        <f t="shared" si="130"/>
        <v>0034-0096</v>
      </c>
      <c r="D879" s="261" t="str">
        <f t="shared" si="131"/>
        <v>0034-0096-0001</v>
      </c>
      <c r="E879" s="407" t="s">
        <v>228</v>
      </c>
      <c r="F879" s="261" t="str">
        <f>TEXT(VLOOKUP(J879,'[3]1'!$B$2:$D$37,2,0),"0000")</f>
        <v>0034</v>
      </c>
      <c r="G879" s="261" t="str">
        <f t="shared" si="132"/>
        <v>0096</v>
      </c>
      <c r="H879" s="408">
        <f t="shared" si="133"/>
        <v>1</v>
      </c>
      <c r="I879" s="407" t="s">
        <v>228</v>
      </c>
      <c r="J879" s="258" t="s">
        <v>87</v>
      </c>
      <c r="K879" s="258" t="s">
        <v>3572</v>
      </c>
      <c r="L879" s="258" t="s">
        <v>3573</v>
      </c>
      <c r="M879" s="409">
        <v>66600000</v>
      </c>
      <c r="N879" s="426">
        <v>2487</v>
      </c>
      <c r="O879" s="426" t="s">
        <v>1173</v>
      </c>
      <c r="P879" s="426" t="s">
        <v>73</v>
      </c>
      <c r="Q879" s="258" t="s">
        <v>72</v>
      </c>
      <c r="R879" s="426">
        <v>7</v>
      </c>
      <c r="S879" s="427">
        <v>12</v>
      </c>
      <c r="T879" s="261">
        <v>6</v>
      </c>
      <c r="U879" s="261">
        <v>6</v>
      </c>
      <c r="V879" s="258" t="s">
        <v>1914</v>
      </c>
      <c r="W879" s="261" t="str">
        <f t="shared" si="135"/>
        <v>TOYOTAHIGHLAND리미티드66600000</v>
      </c>
      <c r="X879" s="411">
        <f t="shared" si="136"/>
        <v>4653</v>
      </c>
      <c r="Y879" s="261">
        <v>6</v>
      </c>
      <c r="Z879" s="261">
        <v>6</v>
      </c>
      <c r="AA879" s="407" t="s">
        <v>228</v>
      </c>
      <c r="AB879" s="258" t="s">
        <v>70</v>
      </c>
      <c r="AC879" s="258"/>
      <c r="AD879" s="258">
        <v>7</v>
      </c>
      <c r="AE879" s="258"/>
      <c r="AF879" s="259"/>
      <c r="AG879" s="260"/>
      <c r="AH879" s="259"/>
      <c r="AI879" s="259"/>
      <c r="AJ879" s="259"/>
      <c r="AK879" s="259">
        <v>19</v>
      </c>
      <c r="AL879" s="259"/>
      <c r="AM879" s="259" t="s">
        <v>3668</v>
      </c>
      <c r="AN879" s="449"/>
      <c r="AO879" s="449"/>
      <c r="AP879" s="449"/>
      <c r="AQ879" s="392" t="str">
        <f>IFERROR(VLOOKUP(BG879,#REF!,1,0),"")</f>
        <v/>
      </c>
      <c r="AS879" s="259" t="s">
        <v>3228</v>
      </c>
      <c r="AT879" s="392" t="s">
        <v>3099</v>
      </c>
      <c r="AW879" s="392" t="s">
        <v>1914</v>
      </c>
      <c r="AY879" s="312"/>
      <c r="BD879" s="202" t="str">
        <f t="shared" si="128"/>
        <v>HIGHLAND리미티드</v>
      </c>
      <c r="BE879" s="261" t="str">
        <f t="shared" si="134"/>
        <v>0096</v>
      </c>
      <c r="BF879" s="407" t="s">
        <v>228</v>
      </c>
      <c r="BG879" s="202" t="str">
        <f t="shared" si="129"/>
        <v>0096-0878</v>
      </c>
    </row>
    <row r="880" spans="1:59">
      <c r="A880" s="405">
        <v>4654</v>
      </c>
      <c r="B880" s="406">
        <v>4654</v>
      </c>
      <c r="C880" s="261" t="str">
        <f t="shared" si="130"/>
        <v>0034-0096</v>
      </c>
      <c r="D880" s="261" t="str">
        <f t="shared" si="131"/>
        <v>0034-0096-0002</v>
      </c>
      <c r="E880" s="407" t="s">
        <v>227</v>
      </c>
      <c r="F880" s="261" t="str">
        <f>TEXT(VLOOKUP(J880,'[3]1'!$B$2:$D$37,2,0),"0000")</f>
        <v>0034</v>
      </c>
      <c r="G880" s="261" t="str">
        <f t="shared" si="132"/>
        <v>0096</v>
      </c>
      <c r="H880" s="408">
        <f t="shared" si="133"/>
        <v>2</v>
      </c>
      <c r="I880" s="407" t="s">
        <v>227</v>
      </c>
      <c r="J880" s="258" t="s">
        <v>87</v>
      </c>
      <c r="K880" s="258" t="s">
        <v>3572</v>
      </c>
      <c r="L880" s="258" t="s">
        <v>3574</v>
      </c>
      <c r="M880" s="409">
        <v>74700000</v>
      </c>
      <c r="N880" s="426">
        <v>2487</v>
      </c>
      <c r="O880" s="426" t="s">
        <v>1173</v>
      </c>
      <c r="P880" s="426" t="s">
        <v>73</v>
      </c>
      <c r="Q880" s="258" t="s">
        <v>72</v>
      </c>
      <c r="R880" s="426">
        <v>7</v>
      </c>
      <c r="S880" s="427">
        <v>12</v>
      </c>
      <c r="T880" s="261">
        <v>6</v>
      </c>
      <c r="U880" s="261">
        <v>6</v>
      </c>
      <c r="V880" s="258" t="s">
        <v>1914</v>
      </c>
      <c r="W880" s="261" t="str">
        <f t="shared" si="135"/>
        <v>TOYOTAHIGHLAND플래티넘74700000</v>
      </c>
      <c r="X880" s="411">
        <f t="shared" si="136"/>
        <v>4654</v>
      </c>
      <c r="Y880" s="261">
        <v>6</v>
      </c>
      <c r="Z880" s="261">
        <v>6</v>
      </c>
      <c r="AA880" s="407" t="s">
        <v>227</v>
      </c>
      <c r="AB880" s="258" t="s">
        <v>70</v>
      </c>
      <c r="AC880" s="258"/>
      <c r="AD880" s="258">
        <v>7</v>
      </c>
      <c r="AE880" s="258"/>
      <c r="AF880" s="259"/>
      <c r="AG880" s="260"/>
      <c r="AH880" s="259"/>
      <c r="AI880" s="259"/>
      <c r="AJ880" s="259"/>
      <c r="AK880" s="259">
        <v>19</v>
      </c>
      <c r="AL880" s="259"/>
      <c r="AM880" s="259" t="s">
        <v>3668</v>
      </c>
      <c r="AN880" s="449"/>
      <c r="AO880" s="449"/>
      <c r="AP880" s="449"/>
      <c r="AQ880" s="392" t="str">
        <f>IFERROR(VLOOKUP(BG880,#REF!,1,0),"")</f>
        <v/>
      </c>
      <c r="AS880" s="259" t="s">
        <v>3228</v>
      </c>
      <c r="AT880" s="392" t="s">
        <v>3099</v>
      </c>
      <c r="AW880" s="392" t="s">
        <v>1914</v>
      </c>
      <c r="AY880" s="312"/>
      <c r="BD880" s="202" t="str">
        <f t="shared" si="128"/>
        <v>HIGHLAND플래티넘</v>
      </c>
      <c r="BE880" s="261" t="str">
        <f t="shared" si="134"/>
        <v>0096</v>
      </c>
      <c r="BF880" s="407" t="s">
        <v>227</v>
      </c>
      <c r="BG880" s="202" t="str">
        <f t="shared" si="129"/>
        <v>0096-0879</v>
      </c>
    </row>
    <row r="881" spans="1:59">
      <c r="A881" s="405">
        <v>4655</v>
      </c>
      <c r="B881" s="406">
        <v>4655</v>
      </c>
      <c r="C881" s="261" t="str">
        <f t="shared" si="130"/>
        <v>0031-0097</v>
      </c>
      <c r="D881" s="261" t="str">
        <f t="shared" si="131"/>
        <v>0031-0097-0001</v>
      </c>
      <c r="E881" s="407" t="s">
        <v>226</v>
      </c>
      <c r="F881" s="261" t="str">
        <f>TEXT(VLOOKUP(J881,'[3]1'!$B$2:$D$37,2,0),"0000")</f>
        <v>0031</v>
      </c>
      <c r="G881" s="261" t="str">
        <f t="shared" si="132"/>
        <v>0097</v>
      </c>
      <c r="H881" s="408">
        <f t="shared" si="133"/>
        <v>1</v>
      </c>
      <c r="I881" s="407" t="s">
        <v>226</v>
      </c>
      <c r="J881" s="258" t="s">
        <v>3258</v>
      </c>
      <c r="K881" s="258" t="s">
        <v>3583</v>
      </c>
      <c r="L881" s="258" t="s">
        <v>3584</v>
      </c>
      <c r="M881" s="409">
        <v>712000000</v>
      </c>
      <c r="N881" s="258">
        <v>6750</v>
      </c>
      <c r="O881" s="258" t="s">
        <v>77</v>
      </c>
      <c r="P881" s="258" t="s">
        <v>73</v>
      </c>
      <c r="Q881" s="258" t="s">
        <v>72</v>
      </c>
      <c r="R881" s="258">
        <v>4</v>
      </c>
      <c r="S881" s="410">
        <v>20</v>
      </c>
      <c r="T881" s="261">
        <v>6</v>
      </c>
      <c r="U881" s="261">
        <v>6</v>
      </c>
      <c r="V881" s="258" t="s">
        <v>71</v>
      </c>
      <c r="W881" s="261" t="str">
        <f t="shared" si="135"/>
        <v>ROLLSROYCE팬텀SWB712000000</v>
      </c>
      <c r="X881" s="411">
        <f t="shared" si="136"/>
        <v>4655</v>
      </c>
      <c r="Y881" s="261">
        <v>6</v>
      </c>
      <c r="Z881" s="261">
        <v>6</v>
      </c>
      <c r="AA881" s="407" t="s">
        <v>226</v>
      </c>
      <c r="AB881" s="258" t="s">
        <v>73</v>
      </c>
      <c r="AC881" s="258"/>
      <c r="AD881" s="258"/>
      <c r="AE881" s="258"/>
      <c r="AF881" s="259"/>
      <c r="AG881" s="260"/>
      <c r="AH881" s="259"/>
      <c r="AI881" s="259"/>
      <c r="AJ881" s="259"/>
      <c r="AK881" s="259">
        <v>21</v>
      </c>
      <c r="AL881" s="259"/>
      <c r="AM881" s="259" t="s">
        <v>3670</v>
      </c>
      <c r="AN881" s="449"/>
      <c r="AO881" s="449"/>
      <c r="AP881" s="449"/>
      <c r="AQ881" s="392" t="str">
        <f>IFERROR(VLOOKUP(BG881,#REF!,1,0),"")</f>
        <v/>
      </c>
      <c r="AS881" s="259" t="s">
        <v>3234</v>
      </c>
      <c r="AT881" s="392" t="s">
        <v>3171</v>
      </c>
      <c r="BD881" s="202" t="str">
        <f t="shared" si="128"/>
        <v>팬텀SWB</v>
      </c>
      <c r="BE881" s="261" t="str">
        <f t="shared" si="134"/>
        <v>0097</v>
      </c>
      <c r="BF881" s="407" t="s">
        <v>226</v>
      </c>
      <c r="BG881" s="202" t="str">
        <f t="shared" si="129"/>
        <v>0097-0880</v>
      </c>
    </row>
    <row r="882" spans="1:59">
      <c r="A882" s="405">
        <v>4656</v>
      </c>
      <c r="B882" s="406">
        <v>4656</v>
      </c>
      <c r="C882" s="261" t="str">
        <f t="shared" si="130"/>
        <v>0031-0097</v>
      </c>
      <c r="D882" s="261" t="str">
        <f t="shared" si="131"/>
        <v>0031-0097-0002</v>
      </c>
      <c r="E882" s="407" t="s">
        <v>225</v>
      </c>
      <c r="F882" s="261" t="str">
        <f>TEXT(VLOOKUP(J882,'[3]1'!$B$2:$D$37,2,0),"0000")</f>
        <v>0031</v>
      </c>
      <c r="G882" s="261" t="str">
        <f t="shared" si="132"/>
        <v>0097</v>
      </c>
      <c r="H882" s="408">
        <f t="shared" si="133"/>
        <v>2</v>
      </c>
      <c r="I882" s="407" t="s">
        <v>225</v>
      </c>
      <c r="J882" s="258" t="s">
        <v>3258</v>
      </c>
      <c r="K882" s="258" t="s">
        <v>3583</v>
      </c>
      <c r="L882" s="258" t="s">
        <v>3582</v>
      </c>
      <c r="M882" s="409">
        <v>826000000</v>
      </c>
      <c r="N882" s="258">
        <v>6750</v>
      </c>
      <c r="O882" s="258" t="s">
        <v>77</v>
      </c>
      <c r="P882" s="258" t="s">
        <v>73</v>
      </c>
      <c r="Q882" s="258" t="s">
        <v>72</v>
      </c>
      <c r="R882" s="258">
        <v>4</v>
      </c>
      <c r="S882" s="410">
        <v>20</v>
      </c>
      <c r="T882" s="261">
        <v>6</v>
      </c>
      <c r="U882" s="261">
        <v>6</v>
      </c>
      <c r="V882" s="258" t="s">
        <v>71</v>
      </c>
      <c r="W882" s="261" t="str">
        <f t="shared" si="135"/>
        <v>ROLLSROYCE팬텀EWB826000000</v>
      </c>
      <c r="X882" s="411">
        <f t="shared" si="136"/>
        <v>4656</v>
      </c>
      <c r="Y882" s="261">
        <v>6</v>
      </c>
      <c r="Z882" s="261">
        <v>6</v>
      </c>
      <c r="AA882" s="407" t="s">
        <v>225</v>
      </c>
      <c r="AB882" s="258" t="s">
        <v>73</v>
      </c>
      <c r="AC882" s="258"/>
      <c r="AD882" s="258"/>
      <c r="AE882" s="258"/>
      <c r="AF882" s="259"/>
      <c r="AG882" s="260"/>
      <c r="AH882" s="259"/>
      <c r="AI882" s="259"/>
      <c r="AJ882" s="259"/>
      <c r="AK882" s="259">
        <v>21</v>
      </c>
      <c r="AL882" s="259"/>
      <c r="AM882" s="259" t="s">
        <v>3670</v>
      </c>
      <c r="AN882" s="449"/>
      <c r="AO882" s="449"/>
      <c r="AP882" s="449"/>
      <c r="AQ882" s="392" t="str">
        <f>IFERROR(VLOOKUP(BG882,#REF!,1,0),"")</f>
        <v/>
      </c>
      <c r="AS882" s="259" t="s">
        <v>3234</v>
      </c>
      <c r="AT882" s="392" t="s">
        <v>3171</v>
      </c>
      <c r="BD882" s="202" t="str">
        <f t="shared" si="128"/>
        <v>팬텀EWB</v>
      </c>
      <c r="BE882" s="261" t="str">
        <f t="shared" si="134"/>
        <v>0097</v>
      </c>
      <c r="BF882" s="407" t="s">
        <v>225</v>
      </c>
      <c r="BG882" s="202" t="str">
        <f t="shared" si="129"/>
        <v>0097-0881</v>
      </c>
    </row>
    <row r="883" spans="1:59">
      <c r="A883" s="405">
        <v>4657</v>
      </c>
      <c r="B883" s="406">
        <v>4657</v>
      </c>
      <c r="C883" s="261" t="str">
        <f t="shared" si="130"/>
        <v>0031-0098</v>
      </c>
      <c r="D883" s="261" t="str">
        <f t="shared" si="131"/>
        <v>0031-0098-0001</v>
      </c>
      <c r="E883" s="407" t="s">
        <v>224</v>
      </c>
      <c r="F883" s="261" t="str">
        <f>TEXT(VLOOKUP(J883,'[3]1'!$B$2:$D$37,2,0),"0000")</f>
        <v>0031</v>
      </c>
      <c r="G883" s="261" t="str">
        <f t="shared" si="132"/>
        <v>0098</v>
      </c>
      <c r="H883" s="408">
        <f t="shared" si="133"/>
        <v>1</v>
      </c>
      <c r="I883" s="407" t="s">
        <v>224</v>
      </c>
      <c r="J883" s="258" t="s">
        <v>96</v>
      </c>
      <c r="K883" s="258" t="s">
        <v>3142</v>
      </c>
      <c r="L883" s="258" t="s">
        <v>3584</v>
      </c>
      <c r="M883" s="409">
        <v>471000000</v>
      </c>
      <c r="N883" s="258">
        <v>6750</v>
      </c>
      <c r="O883" s="258" t="s">
        <v>77</v>
      </c>
      <c r="P883" s="258" t="s">
        <v>73</v>
      </c>
      <c r="Q883" s="258" t="s">
        <v>72</v>
      </c>
      <c r="R883" s="258">
        <v>5</v>
      </c>
      <c r="S883" s="410">
        <v>14</v>
      </c>
      <c r="T883" s="261">
        <v>6</v>
      </c>
      <c r="U883" s="261">
        <v>6</v>
      </c>
      <c r="V883" s="258" t="s">
        <v>71</v>
      </c>
      <c r="W883" s="261" t="str">
        <f t="shared" si="135"/>
        <v>ROLLSROYCE고스트SWB471000000</v>
      </c>
      <c r="X883" s="411">
        <f t="shared" si="136"/>
        <v>4657</v>
      </c>
      <c r="Y883" s="261">
        <v>6</v>
      </c>
      <c r="Z883" s="261">
        <v>6</v>
      </c>
      <c r="AA883" s="407" t="s">
        <v>224</v>
      </c>
      <c r="AB883" s="258" t="s">
        <v>73</v>
      </c>
      <c r="AC883" s="258"/>
      <c r="AD883" s="258">
        <v>6</v>
      </c>
      <c r="AE883" s="258">
        <v>0</v>
      </c>
      <c r="AF883" s="259"/>
      <c r="AG883" s="260"/>
      <c r="AH883" s="259"/>
      <c r="AI883" s="259"/>
      <c r="AJ883" s="259"/>
      <c r="AK883" s="259">
        <v>21</v>
      </c>
      <c r="AL883" s="259"/>
      <c r="AM883" s="259" t="s">
        <v>3670</v>
      </c>
      <c r="AN883" s="449"/>
      <c r="AO883" s="449"/>
      <c r="AP883" s="449"/>
      <c r="AQ883" s="392" t="str">
        <f>IFERROR(VLOOKUP(BG883,#REF!,1,0),"")</f>
        <v/>
      </c>
      <c r="AS883" s="259" t="s">
        <v>71</v>
      </c>
      <c r="BD883" s="202" t="str">
        <f t="shared" si="128"/>
        <v>고스트SWB</v>
      </c>
      <c r="BE883" s="261" t="str">
        <f t="shared" si="134"/>
        <v>0098</v>
      </c>
      <c r="BF883" s="407" t="s">
        <v>224</v>
      </c>
      <c r="BG883" s="202" t="str">
        <f t="shared" si="129"/>
        <v>0098-0882</v>
      </c>
    </row>
    <row r="884" spans="1:59">
      <c r="A884" s="405">
        <v>4658</v>
      </c>
      <c r="B884" s="406">
        <v>4658</v>
      </c>
      <c r="C884" s="261" t="str">
        <f t="shared" si="130"/>
        <v>0031-0098</v>
      </c>
      <c r="D884" s="261" t="str">
        <f t="shared" si="131"/>
        <v>0031-0098-0002</v>
      </c>
      <c r="E884" s="407" t="s">
        <v>223</v>
      </c>
      <c r="F884" s="261" t="str">
        <f>TEXT(VLOOKUP(J884,'[3]1'!$B$2:$D$37,2,0),"0000")</f>
        <v>0031</v>
      </c>
      <c r="G884" s="261" t="str">
        <f t="shared" si="132"/>
        <v>0098</v>
      </c>
      <c r="H884" s="408">
        <f t="shared" si="133"/>
        <v>2</v>
      </c>
      <c r="I884" s="407" t="s">
        <v>223</v>
      </c>
      <c r="J884" s="258" t="s">
        <v>96</v>
      </c>
      <c r="K884" s="258" t="s">
        <v>3142</v>
      </c>
      <c r="L884" s="258" t="s">
        <v>3582</v>
      </c>
      <c r="M884" s="409">
        <v>523000000</v>
      </c>
      <c r="N884" s="258">
        <v>6750</v>
      </c>
      <c r="O884" s="258" t="s">
        <v>77</v>
      </c>
      <c r="P884" s="258" t="s">
        <v>73</v>
      </c>
      <c r="Q884" s="258" t="s">
        <v>72</v>
      </c>
      <c r="R884" s="258">
        <v>5</v>
      </c>
      <c r="S884" s="410">
        <v>14</v>
      </c>
      <c r="T884" s="261">
        <v>6</v>
      </c>
      <c r="U884" s="261">
        <v>6</v>
      </c>
      <c r="V884" s="258" t="s">
        <v>71</v>
      </c>
      <c r="W884" s="261" t="str">
        <f t="shared" si="135"/>
        <v>ROLLSROYCE고스트EWB523000000</v>
      </c>
      <c r="X884" s="411">
        <f t="shared" si="136"/>
        <v>4658</v>
      </c>
      <c r="Y884" s="261">
        <v>6</v>
      </c>
      <c r="Z884" s="261">
        <v>6</v>
      </c>
      <c r="AA884" s="407" t="s">
        <v>223</v>
      </c>
      <c r="AB884" s="258" t="s">
        <v>73</v>
      </c>
      <c r="AC884" s="258"/>
      <c r="AD884" s="258">
        <v>6</v>
      </c>
      <c r="AE884" s="258">
        <v>0</v>
      </c>
      <c r="AF884" s="259"/>
      <c r="AG884" s="260"/>
      <c r="AH884" s="259"/>
      <c r="AI884" s="259"/>
      <c r="AJ884" s="259"/>
      <c r="AK884" s="259">
        <v>21</v>
      </c>
      <c r="AL884" s="259"/>
      <c r="AM884" s="259" t="s">
        <v>3670</v>
      </c>
      <c r="AN884" s="449"/>
      <c r="AO884" s="449"/>
      <c r="AP884" s="449"/>
      <c r="AQ884" s="392" t="str">
        <f>IFERROR(VLOOKUP(BG884,#REF!,1,0),"")</f>
        <v/>
      </c>
      <c r="AS884" s="259" t="s">
        <v>71</v>
      </c>
      <c r="BD884" s="202" t="str">
        <f t="shared" si="128"/>
        <v>고스트EWB</v>
      </c>
      <c r="BE884" s="261" t="str">
        <f t="shared" si="134"/>
        <v>0098</v>
      </c>
      <c r="BF884" s="407" t="s">
        <v>223</v>
      </c>
      <c r="BG884" s="202" t="str">
        <f t="shared" si="129"/>
        <v>0098-0883</v>
      </c>
    </row>
    <row r="885" spans="1:59">
      <c r="A885" s="405">
        <v>4659</v>
      </c>
      <c r="B885" s="406">
        <v>4659</v>
      </c>
      <c r="C885" s="261" t="str">
        <f t="shared" si="130"/>
        <v>0031-0099</v>
      </c>
      <c r="D885" s="261" t="str">
        <f t="shared" si="131"/>
        <v>0031-0099-0001</v>
      </c>
      <c r="E885" s="407" t="s">
        <v>222</v>
      </c>
      <c r="F885" s="261" t="str">
        <f>TEXT(VLOOKUP(J885,'[3]1'!$B$2:$D$37,2,0),"0000")</f>
        <v>0031</v>
      </c>
      <c r="G885" s="261" t="str">
        <f t="shared" si="132"/>
        <v>0099</v>
      </c>
      <c r="H885" s="408">
        <f t="shared" si="133"/>
        <v>1</v>
      </c>
      <c r="I885" s="407" t="s">
        <v>222</v>
      </c>
      <c r="J885" s="258" t="s">
        <v>96</v>
      </c>
      <c r="K885" s="258" t="s">
        <v>3585</v>
      </c>
      <c r="L885" s="258" t="s">
        <v>3586</v>
      </c>
      <c r="M885" s="409">
        <v>622000000</v>
      </c>
      <c r="N885" s="258">
        <v>0</v>
      </c>
      <c r="O885" s="258" t="s">
        <v>2117</v>
      </c>
      <c r="P885" s="258" t="s">
        <v>73</v>
      </c>
      <c r="Q885" s="258" t="s">
        <v>72</v>
      </c>
      <c r="R885" s="258">
        <v>5</v>
      </c>
      <c r="S885" s="410">
        <v>14</v>
      </c>
      <c r="T885" s="261">
        <v>6</v>
      </c>
      <c r="U885" s="261">
        <v>6</v>
      </c>
      <c r="V885" s="258" t="s">
        <v>71</v>
      </c>
      <c r="W885" s="261" t="str">
        <f t="shared" si="135"/>
        <v>ROLLSROYCE스펙터쿠페622000000</v>
      </c>
      <c r="X885" s="411">
        <f t="shared" si="136"/>
        <v>4659</v>
      </c>
      <c r="Y885" s="261">
        <v>6</v>
      </c>
      <c r="Z885" s="261">
        <v>6</v>
      </c>
      <c r="AA885" s="407" t="s">
        <v>222</v>
      </c>
      <c r="AB885" s="258" t="s">
        <v>73</v>
      </c>
      <c r="AC885" s="258"/>
      <c r="AD885" s="258">
        <v>6</v>
      </c>
      <c r="AE885" s="258">
        <v>0</v>
      </c>
      <c r="AF885" s="259"/>
      <c r="AG885" s="260"/>
      <c r="AH885" s="259"/>
      <c r="AI885" s="259"/>
      <c r="AJ885" s="259"/>
      <c r="AK885" s="259">
        <v>22</v>
      </c>
      <c r="AL885" s="259"/>
      <c r="AM885" s="259" t="s">
        <v>3671</v>
      </c>
      <c r="AN885" s="449"/>
      <c r="AO885" s="449"/>
      <c r="AP885" s="449"/>
      <c r="AQ885" s="392" t="str">
        <f>IFERROR(VLOOKUP(BG885,#REF!,1,0),"")</f>
        <v/>
      </c>
      <c r="AS885" s="259" t="s">
        <v>71</v>
      </c>
      <c r="BD885" s="202" t="str">
        <f t="shared" si="128"/>
        <v>스펙터쿠페</v>
      </c>
      <c r="BE885" s="261" t="str">
        <f t="shared" si="134"/>
        <v>0099</v>
      </c>
      <c r="BF885" s="407" t="s">
        <v>222</v>
      </c>
      <c r="BG885" s="202" t="str">
        <f t="shared" si="129"/>
        <v>0099-0884</v>
      </c>
    </row>
    <row r="886" spans="1:59">
      <c r="A886" s="405">
        <v>4660</v>
      </c>
      <c r="B886" s="406">
        <v>4660</v>
      </c>
      <c r="C886" s="261" t="str">
        <f t="shared" si="130"/>
        <v>0031-0100</v>
      </c>
      <c r="D886" s="261" t="str">
        <f t="shared" si="131"/>
        <v>0031-0100-0001</v>
      </c>
      <c r="E886" s="407" t="s">
        <v>221</v>
      </c>
      <c r="F886" s="261" t="str">
        <f>TEXT(VLOOKUP(J886,'[3]1'!$B$2:$D$37,2,0),"0000")</f>
        <v>0031</v>
      </c>
      <c r="G886" s="261" t="str">
        <f t="shared" si="132"/>
        <v>0100</v>
      </c>
      <c r="H886" s="408">
        <f t="shared" si="133"/>
        <v>1</v>
      </c>
      <c r="I886" s="407" t="s">
        <v>221</v>
      </c>
      <c r="J886" s="258" t="s">
        <v>96</v>
      </c>
      <c r="K886" s="258" t="s">
        <v>1291</v>
      </c>
      <c r="L886" s="258" t="s">
        <v>3580</v>
      </c>
      <c r="M886" s="409">
        <v>469000000</v>
      </c>
      <c r="N886" s="258">
        <v>6750</v>
      </c>
      <c r="O886" s="258" t="s">
        <v>77</v>
      </c>
      <c r="P886" s="258" t="s">
        <v>73</v>
      </c>
      <c r="Q886" s="258" t="s">
        <v>72</v>
      </c>
      <c r="R886" s="258">
        <v>5</v>
      </c>
      <c r="S886" s="410">
        <v>14</v>
      </c>
      <c r="T886" s="261">
        <v>6</v>
      </c>
      <c r="U886" s="261">
        <v>6</v>
      </c>
      <c r="V886" s="258" t="s">
        <v>71</v>
      </c>
      <c r="W886" s="261" t="str">
        <f t="shared" si="135"/>
        <v>ROLLSROYCE컬리넌V12469000000</v>
      </c>
      <c r="X886" s="411">
        <f t="shared" si="136"/>
        <v>4660</v>
      </c>
      <c r="Y886" s="261">
        <v>6</v>
      </c>
      <c r="Z886" s="261">
        <v>6</v>
      </c>
      <c r="AA886" s="407" t="s">
        <v>221</v>
      </c>
      <c r="AB886" s="258" t="s">
        <v>70</v>
      </c>
      <c r="AC886" s="258"/>
      <c r="AD886" s="258">
        <v>6</v>
      </c>
      <c r="AE886" s="258">
        <v>0</v>
      </c>
      <c r="AF886" s="259"/>
      <c r="AG886" s="260"/>
      <c r="AH886" s="259"/>
      <c r="AI886" s="259"/>
      <c r="AJ886" s="259"/>
      <c r="AK886" s="259">
        <v>11</v>
      </c>
      <c r="AL886" s="259"/>
      <c r="AM886" s="259" t="s">
        <v>3660</v>
      </c>
      <c r="AN886" s="449"/>
      <c r="AO886" s="449"/>
      <c r="AP886" s="449"/>
      <c r="AQ886" s="392" t="str">
        <f>IFERROR(VLOOKUP(BG886,#REF!,1,0),"")</f>
        <v/>
      </c>
      <c r="AS886" s="259" t="s">
        <v>71</v>
      </c>
      <c r="BD886" s="202" t="str">
        <f t="shared" si="128"/>
        <v>컬리넌V12</v>
      </c>
      <c r="BE886" s="261" t="str">
        <f t="shared" si="134"/>
        <v>0100</v>
      </c>
      <c r="BF886" s="407" t="s">
        <v>221</v>
      </c>
      <c r="BG886" s="202" t="str">
        <f t="shared" si="129"/>
        <v>0100-0885</v>
      </c>
    </row>
    <row r="887" spans="1:59">
      <c r="A887" s="405">
        <v>4661</v>
      </c>
      <c r="B887" s="406">
        <v>4661</v>
      </c>
      <c r="C887" s="261" t="str">
        <f t="shared" si="130"/>
        <v>0027-0101</v>
      </c>
      <c r="D887" s="261" t="str">
        <f t="shared" si="131"/>
        <v>0027-0101-0001</v>
      </c>
      <c r="E887" s="407" t="s">
        <v>220</v>
      </c>
      <c r="F887" s="261" t="str">
        <f>TEXT(VLOOKUP(J887,'[3]1'!$B$2:$D$37,2,0),"0000")</f>
        <v>0027</v>
      </c>
      <c r="G887" s="261" t="str">
        <f t="shared" si="132"/>
        <v>0101</v>
      </c>
      <c r="H887" s="408">
        <f t="shared" si="133"/>
        <v>1</v>
      </c>
      <c r="I887" s="407" t="s">
        <v>220</v>
      </c>
      <c r="J887" s="258" t="s">
        <v>1207</v>
      </c>
      <c r="K887" s="258" t="s">
        <v>3012</v>
      </c>
      <c r="L887" s="258" t="s">
        <v>3046</v>
      </c>
      <c r="M887" s="409">
        <v>297000000</v>
      </c>
      <c r="N887" s="258">
        <v>3994</v>
      </c>
      <c r="O887" s="258" t="s">
        <v>77</v>
      </c>
      <c r="P887" s="258" t="s">
        <v>73</v>
      </c>
      <c r="Q887" s="258" t="s">
        <v>72</v>
      </c>
      <c r="R887" s="258">
        <v>5</v>
      </c>
      <c r="S887" s="410">
        <v>14</v>
      </c>
      <c r="T887" s="261">
        <v>6</v>
      </c>
      <c r="U887" s="261">
        <v>6</v>
      </c>
      <c r="V887" s="258" t="s">
        <v>71</v>
      </c>
      <c r="W887" s="261" t="str">
        <f t="shared" si="135"/>
        <v>MclarenGTV8297000000</v>
      </c>
      <c r="X887" s="411">
        <f t="shared" si="136"/>
        <v>4661</v>
      </c>
      <c r="Y887" s="261">
        <v>6</v>
      </c>
      <c r="Z887" s="261">
        <v>6</v>
      </c>
      <c r="AA887" s="407" t="s">
        <v>220</v>
      </c>
      <c r="AB887" s="258" t="s">
        <v>70</v>
      </c>
      <c r="AC887" s="258"/>
      <c r="AD887" s="258">
        <v>6</v>
      </c>
      <c r="AE887" s="258">
        <v>0</v>
      </c>
      <c r="AF887" s="259"/>
      <c r="AG887" s="260"/>
      <c r="AH887" s="259"/>
      <c r="AI887" s="259"/>
      <c r="AJ887" s="259"/>
      <c r="AK887" s="259">
        <v>21</v>
      </c>
      <c r="AL887" s="259"/>
      <c r="AM887" s="259" t="s">
        <v>3670</v>
      </c>
      <c r="AN887" s="449"/>
      <c r="AO887" s="449"/>
      <c r="AP887" s="449"/>
      <c r="AQ887" s="392" t="str">
        <f>IFERROR(VLOOKUP(BG887,#REF!,1,0),"")</f>
        <v/>
      </c>
      <c r="AS887" s="259" t="s">
        <v>71</v>
      </c>
      <c r="BD887" s="202" t="str">
        <f t="shared" si="128"/>
        <v>GTV8</v>
      </c>
      <c r="BE887" s="261" t="str">
        <f t="shared" si="134"/>
        <v>0101</v>
      </c>
      <c r="BF887" s="407" t="s">
        <v>220</v>
      </c>
      <c r="BG887" s="202" t="str">
        <f t="shared" si="129"/>
        <v>0101-0886</v>
      </c>
    </row>
    <row r="888" spans="1:59">
      <c r="A888" s="405">
        <v>4662</v>
      </c>
      <c r="B888" s="406">
        <v>4662</v>
      </c>
      <c r="C888" s="261" t="str">
        <f t="shared" si="130"/>
        <v>0027-0102</v>
      </c>
      <c r="D888" s="261" t="str">
        <f t="shared" si="131"/>
        <v>0027-0102-0001</v>
      </c>
      <c r="E888" s="407" t="s">
        <v>219</v>
      </c>
      <c r="F888" s="261" t="str">
        <f>TEXT(VLOOKUP(J888,'[3]1'!$B$2:$D$37,2,0),"0000")</f>
        <v>0027</v>
      </c>
      <c r="G888" s="261" t="str">
        <f t="shared" si="132"/>
        <v>0102</v>
      </c>
      <c r="H888" s="408">
        <f t="shared" si="133"/>
        <v>1</v>
      </c>
      <c r="I888" s="407" t="s">
        <v>219</v>
      </c>
      <c r="J888" s="258" t="s">
        <v>1207</v>
      </c>
      <c r="K888" s="258" t="s">
        <v>3587</v>
      </c>
      <c r="L888" s="258" t="s">
        <v>3588</v>
      </c>
      <c r="M888" s="409">
        <v>299000000</v>
      </c>
      <c r="N888" s="258">
        <v>2993</v>
      </c>
      <c r="O888" s="258" t="s">
        <v>1173</v>
      </c>
      <c r="P888" s="258" t="s">
        <v>73</v>
      </c>
      <c r="Q888" s="258" t="s">
        <v>72</v>
      </c>
      <c r="R888" s="258">
        <v>5</v>
      </c>
      <c r="S888" s="410">
        <v>14</v>
      </c>
      <c r="T888" s="261">
        <v>6</v>
      </c>
      <c r="U888" s="261">
        <v>6</v>
      </c>
      <c r="V888" s="258" t="s">
        <v>71</v>
      </c>
      <c r="W888" s="261" t="str">
        <f t="shared" si="135"/>
        <v>Mclaren아투라V6299000000</v>
      </c>
      <c r="X888" s="411">
        <f t="shared" si="136"/>
        <v>4662</v>
      </c>
      <c r="Y888" s="261">
        <v>6</v>
      </c>
      <c r="Z888" s="261">
        <v>6</v>
      </c>
      <c r="AA888" s="407" t="s">
        <v>219</v>
      </c>
      <c r="AB888" s="258" t="s">
        <v>70</v>
      </c>
      <c r="AC888" s="258"/>
      <c r="AD888" s="258">
        <v>6</v>
      </c>
      <c r="AE888" s="258">
        <v>0</v>
      </c>
      <c r="AF888" s="259"/>
      <c r="AG888" s="260"/>
      <c r="AH888" s="259"/>
      <c r="AI888" s="259"/>
      <c r="AJ888" s="259"/>
      <c r="AK888" s="259">
        <v>21</v>
      </c>
      <c r="AL888" s="259"/>
      <c r="AM888" s="259" t="s">
        <v>3670</v>
      </c>
      <c r="AN888" s="449"/>
      <c r="AO888" s="449"/>
      <c r="AP888" s="449"/>
      <c r="AQ888" s="392" t="str">
        <f>IFERROR(VLOOKUP(BG888,#REF!,1,0),"")</f>
        <v/>
      </c>
      <c r="AS888" s="259" t="s">
        <v>71</v>
      </c>
      <c r="BD888" s="202" t="str">
        <f t="shared" si="128"/>
        <v>아투라V6</v>
      </c>
      <c r="BE888" s="261" t="str">
        <f t="shared" si="134"/>
        <v>0102</v>
      </c>
      <c r="BF888" s="407" t="s">
        <v>219</v>
      </c>
      <c r="BG888" s="202" t="str">
        <f t="shared" si="129"/>
        <v>0102-0887</v>
      </c>
    </row>
    <row r="889" spans="1:59">
      <c r="A889" s="405">
        <v>4663</v>
      </c>
      <c r="B889" s="406">
        <v>4663</v>
      </c>
      <c r="C889" s="261" t="str">
        <f t="shared" si="130"/>
        <v>0030-0103</v>
      </c>
      <c r="D889" s="261" t="str">
        <f t="shared" si="131"/>
        <v>0030-0103-0001</v>
      </c>
      <c r="E889" s="407" t="s">
        <v>218</v>
      </c>
      <c r="F889" s="261" t="str">
        <f>TEXT(VLOOKUP(J889,'[3]1'!$B$2:$D$37,2,0),"0000")</f>
        <v>0030</v>
      </c>
      <c r="G889" s="261" t="str">
        <f t="shared" si="132"/>
        <v>0103</v>
      </c>
      <c r="H889" s="408">
        <f t="shared" si="133"/>
        <v>1</v>
      </c>
      <c r="I889" s="407" t="s">
        <v>218</v>
      </c>
      <c r="J889" s="258" t="s">
        <v>3259</v>
      </c>
      <c r="K889" s="258">
        <v>911</v>
      </c>
      <c r="L889" s="258" t="s">
        <v>1224</v>
      </c>
      <c r="M889" s="409">
        <v>151800000</v>
      </c>
      <c r="N889" s="258">
        <v>2981</v>
      </c>
      <c r="O889" s="258" t="s">
        <v>77</v>
      </c>
      <c r="P889" s="258" t="s">
        <v>73</v>
      </c>
      <c r="Q889" s="258" t="s">
        <v>72</v>
      </c>
      <c r="R889" s="258">
        <v>2</v>
      </c>
      <c r="S889" s="410">
        <v>7</v>
      </c>
      <c r="T889" s="261">
        <v>6</v>
      </c>
      <c r="U889" s="261">
        <v>6</v>
      </c>
      <c r="V889" s="258" t="s">
        <v>71</v>
      </c>
      <c r="W889" s="261" t="str">
        <f t="shared" si="135"/>
        <v>PORSCHE911Carrera 4151800000</v>
      </c>
      <c r="X889" s="411">
        <f t="shared" si="136"/>
        <v>4663</v>
      </c>
      <c r="Y889" s="261">
        <v>6</v>
      </c>
      <c r="Z889" s="261">
        <v>6</v>
      </c>
      <c r="AA889" s="407" t="s">
        <v>218</v>
      </c>
      <c r="AB889" s="258" t="s">
        <v>73</v>
      </c>
      <c r="AC889" s="258"/>
      <c r="AD889" s="258">
        <v>5</v>
      </c>
      <c r="AE889" s="258">
        <v>0</v>
      </c>
      <c r="AF889" s="259"/>
      <c r="AG889" s="260"/>
      <c r="AH889" s="259"/>
      <c r="AI889" s="259"/>
      <c r="AJ889" s="260"/>
      <c r="AK889" s="259">
        <v>9</v>
      </c>
      <c r="AL889" s="259"/>
      <c r="AM889" s="259" t="s">
        <v>3658</v>
      </c>
      <c r="AN889" s="449"/>
      <c r="AO889" s="449"/>
      <c r="AP889" s="449"/>
      <c r="AQ889" s="392" t="str">
        <f>IFERROR(VLOOKUP(BG889,#REF!,1,0),"")</f>
        <v/>
      </c>
      <c r="AS889" s="259" t="s">
        <v>3229</v>
      </c>
      <c r="BD889" s="202" t="str">
        <f t="shared" si="128"/>
        <v>911Carrera 4</v>
      </c>
      <c r="BE889" s="261" t="str">
        <f t="shared" si="134"/>
        <v>0103</v>
      </c>
      <c r="BF889" s="407" t="s">
        <v>218</v>
      </c>
      <c r="BG889" s="202" t="str">
        <f t="shared" si="129"/>
        <v>0103-0888</v>
      </c>
    </row>
    <row r="890" spans="1:59">
      <c r="A890" s="405">
        <v>4664</v>
      </c>
      <c r="B890" s="406">
        <v>4664</v>
      </c>
      <c r="C890" s="261" t="str">
        <f t="shared" si="130"/>
        <v>0030-0103</v>
      </c>
      <c r="D890" s="261" t="str">
        <f t="shared" si="131"/>
        <v>0030-0103-0002</v>
      </c>
      <c r="E890" s="407" t="s">
        <v>217</v>
      </c>
      <c r="F890" s="261" t="str">
        <f>TEXT(VLOOKUP(J890,'[3]1'!$B$2:$D$37,2,0),"0000")</f>
        <v>0030</v>
      </c>
      <c r="G890" s="261" t="str">
        <f t="shared" si="132"/>
        <v>0103</v>
      </c>
      <c r="H890" s="408">
        <f t="shared" si="133"/>
        <v>2</v>
      </c>
      <c r="I890" s="407" t="s">
        <v>217</v>
      </c>
      <c r="J890" s="258" t="s">
        <v>98</v>
      </c>
      <c r="K890" s="258">
        <v>911</v>
      </c>
      <c r="L890" s="258" t="s">
        <v>107</v>
      </c>
      <c r="M890" s="409">
        <v>170300000</v>
      </c>
      <c r="N890" s="258">
        <v>2981</v>
      </c>
      <c r="O890" s="258" t="s">
        <v>77</v>
      </c>
      <c r="P890" s="258" t="s">
        <v>73</v>
      </c>
      <c r="Q890" s="258" t="s">
        <v>72</v>
      </c>
      <c r="R890" s="258">
        <v>2</v>
      </c>
      <c r="S890" s="410">
        <v>7</v>
      </c>
      <c r="T890" s="261">
        <v>6</v>
      </c>
      <c r="U890" s="261">
        <v>6</v>
      </c>
      <c r="V890" s="258" t="s">
        <v>71</v>
      </c>
      <c r="W890" s="261" t="str">
        <f t="shared" si="135"/>
        <v>PORSCHE911Carrera 4S170300000</v>
      </c>
      <c r="X890" s="411">
        <f t="shared" si="136"/>
        <v>4664</v>
      </c>
      <c r="Y890" s="261">
        <v>6</v>
      </c>
      <c r="Z890" s="261">
        <v>6</v>
      </c>
      <c r="AA890" s="407" t="s">
        <v>217</v>
      </c>
      <c r="AB890" s="258" t="s">
        <v>73</v>
      </c>
      <c r="AC890" s="258"/>
      <c r="AD890" s="258">
        <v>5</v>
      </c>
      <c r="AE890" s="258">
        <v>0</v>
      </c>
      <c r="AF890" s="259"/>
      <c r="AG890" s="260"/>
      <c r="AH890" s="259"/>
      <c r="AI890" s="259"/>
      <c r="AJ890" s="259"/>
      <c r="AK890" s="259">
        <v>9</v>
      </c>
      <c r="AL890" s="259"/>
      <c r="AM890" s="259" t="s">
        <v>3658</v>
      </c>
      <c r="AN890" s="449"/>
      <c r="AO890" s="449"/>
      <c r="AP890" s="449"/>
      <c r="AQ890" s="392" t="str">
        <f>IFERROR(VLOOKUP(BG890,#REF!,1,0),"")</f>
        <v/>
      </c>
      <c r="AS890" s="259" t="s">
        <v>3229</v>
      </c>
      <c r="BD890" s="202" t="str">
        <f t="shared" si="128"/>
        <v>911Carrera 4S</v>
      </c>
      <c r="BE890" s="261" t="str">
        <f t="shared" si="134"/>
        <v>0103</v>
      </c>
      <c r="BF890" s="407" t="s">
        <v>217</v>
      </c>
      <c r="BG890" s="202" t="str">
        <f t="shared" si="129"/>
        <v>0103-0889</v>
      </c>
    </row>
    <row r="891" spans="1:59">
      <c r="A891" s="405">
        <v>4665</v>
      </c>
      <c r="B891" s="406">
        <v>4665</v>
      </c>
      <c r="C891" s="261" t="str">
        <f t="shared" si="130"/>
        <v>0030-0103</v>
      </c>
      <c r="D891" s="261" t="str">
        <f t="shared" si="131"/>
        <v>0030-0103-0003</v>
      </c>
      <c r="E891" s="407" t="s">
        <v>216</v>
      </c>
      <c r="F891" s="261" t="str">
        <f>TEXT(VLOOKUP(J891,'[3]1'!$B$2:$D$37,2,0),"0000")</f>
        <v>0030</v>
      </c>
      <c r="G891" s="261" t="str">
        <f t="shared" si="132"/>
        <v>0103</v>
      </c>
      <c r="H891" s="408">
        <f t="shared" si="133"/>
        <v>3</v>
      </c>
      <c r="I891" s="407" t="s">
        <v>216</v>
      </c>
      <c r="J891" s="258" t="s">
        <v>98</v>
      </c>
      <c r="K891" s="258">
        <v>911</v>
      </c>
      <c r="L891" s="258" t="s">
        <v>109</v>
      </c>
      <c r="M891" s="409">
        <v>142400000</v>
      </c>
      <c r="N891" s="258">
        <v>2981</v>
      </c>
      <c r="O891" s="258" t="s">
        <v>77</v>
      </c>
      <c r="P891" s="258" t="s">
        <v>73</v>
      </c>
      <c r="Q891" s="258" t="s">
        <v>72</v>
      </c>
      <c r="R891" s="258">
        <v>2</v>
      </c>
      <c r="S891" s="410">
        <v>7</v>
      </c>
      <c r="T891" s="261">
        <v>6</v>
      </c>
      <c r="U891" s="261">
        <v>6</v>
      </c>
      <c r="V891" s="258" t="s">
        <v>71</v>
      </c>
      <c r="W891" s="261" t="str">
        <f t="shared" si="135"/>
        <v>PORSCHE911Carrera142400000</v>
      </c>
      <c r="X891" s="411">
        <f t="shared" si="136"/>
        <v>4665</v>
      </c>
      <c r="Y891" s="261">
        <v>6</v>
      </c>
      <c r="Z891" s="261">
        <v>6</v>
      </c>
      <c r="AA891" s="407" t="s">
        <v>216</v>
      </c>
      <c r="AB891" s="258" t="s">
        <v>73</v>
      </c>
      <c r="AC891" s="258"/>
      <c r="AD891" s="258">
        <v>5</v>
      </c>
      <c r="AE891" s="258">
        <v>0</v>
      </c>
      <c r="AF891" s="259"/>
      <c r="AG891" s="260"/>
      <c r="AH891" s="259"/>
      <c r="AI891" s="259"/>
      <c r="AJ891" s="260"/>
      <c r="AK891" s="259">
        <v>9</v>
      </c>
      <c r="AL891" s="259"/>
      <c r="AM891" s="259" t="s">
        <v>3658</v>
      </c>
      <c r="AN891" s="449"/>
      <c r="AO891" s="449"/>
      <c r="AP891" s="449"/>
      <c r="AQ891" s="392" t="str">
        <f>IFERROR(VLOOKUP(BG891,#REF!,1,0),"")</f>
        <v/>
      </c>
      <c r="AS891" s="259" t="s">
        <v>3229</v>
      </c>
      <c r="BD891" s="202" t="str">
        <f t="shared" si="128"/>
        <v>911Carrera</v>
      </c>
      <c r="BE891" s="261" t="str">
        <f t="shared" si="134"/>
        <v>0103</v>
      </c>
      <c r="BF891" s="407" t="s">
        <v>216</v>
      </c>
      <c r="BG891" s="202" t="str">
        <f t="shared" si="129"/>
        <v>0103-0890</v>
      </c>
    </row>
    <row r="892" spans="1:59">
      <c r="A892" s="405">
        <v>4666</v>
      </c>
      <c r="B892" s="406">
        <v>4666</v>
      </c>
      <c r="C892" s="261" t="str">
        <f t="shared" si="130"/>
        <v>0030-0103</v>
      </c>
      <c r="D892" s="261" t="str">
        <f t="shared" si="131"/>
        <v>0030-0103-0004</v>
      </c>
      <c r="E892" s="407" t="s">
        <v>215</v>
      </c>
      <c r="F892" s="261" t="str">
        <f>TEXT(VLOOKUP(J892,'[3]1'!$B$2:$D$37,2,0),"0000")</f>
        <v>0030</v>
      </c>
      <c r="G892" s="261" t="str">
        <f t="shared" si="132"/>
        <v>0103</v>
      </c>
      <c r="H892" s="408">
        <f t="shared" si="133"/>
        <v>4</v>
      </c>
      <c r="I892" s="407" t="s">
        <v>215</v>
      </c>
      <c r="J892" s="258" t="s">
        <v>98</v>
      </c>
      <c r="K892" s="258">
        <v>911</v>
      </c>
      <c r="L892" s="258" t="s">
        <v>2107</v>
      </c>
      <c r="M892" s="409">
        <v>164800000</v>
      </c>
      <c r="N892" s="258">
        <v>2981</v>
      </c>
      <c r="O892" s="258" t="s">
        <v>77</v>
      </c>
      <c r="P892" s="258" t="s">
        <v>1431</v>
      </c>
      <c r="Q892" s="258" t="s">
        <v>1974</v>
      </c>
      <c r="R892" s="258">
        <v>2</v>
      </c>
      <c r="S892" s="410">
        <v>7</v>
      </c>
      <c r="T892" s="261">
        <v>6</v>
      </c>
      <c r="U892" s="261">
        <v>6</v>
      </c>
      <c r="V892" s="258" t="s">
        <v>71</v>
      </c>
      <c r="W892" s="261" t="str">
        <f t="shared" si="135"/>
        <v>PORSCHE911Carrera S164800000</v>
      </c>
      <c r="X892" s="411">
        <f t="shared" si="136"/>
        <v>4666</v>
      </c>
      <c r="Y892" s="261">
        <v>6</v>
      </c>
      <c r="Z892" s="261">
        <v>6</v>
      </c>
      <c r="AA892" s="407" t="s">
        <v>215</v>
      </c>
      <c r="AB892" s="258" t="s">
        <v>73</v>
      </c>
      <c r="AC892" s="258"/>
      <c r="AD892" s="258">
        <v>5</v>
      </c>
      <c r="AE892" s="258">
        <v>0</v>
      </c>
      <c r="AF892" s="259"/>
      <c r="AG892" s="260"/>
      <c r="AH892" s="259"/>
      <c r="AI892" s="259"/>
      <c r="AJ892" s="260"/>
      <c r="AK892" s="259">
        <v>9</v>
      </c>
      <c r="AL892" s="259"/>
      <c r="AM892" s="259" t="s">
        <v>3658</v>
      </c>
      <c r="AN892" s="449"/>
      <c r="AO892" s="449"/>
      <c r="AP892" s="449"/>
      <c r="AQ892" s="392" t="str">
        <f>IFERROR(VLOOKUP(BG892,#REF!,1,0),"")</f>
        <v/>
      </c>
      <c r="AS892" s="259" t="s">
        <v>3229</v>
      </c>
      <c r="BD892" s="202" t="str">
        <f t="shared" si="128"/>
        <v>911Carrera S</v>
      </c>
      <c r="BE892" s="261" t="str">
        <f t="shared" si="134"/>
        <v>0103</v>
      </c>
      <c r="BF892" s="407" t="s">
        <v>215</v>
      </c>
      <c r="BG892" s="202" t="str">
        <f t="shared" si="129"/>
        <v>0103-0891</v>
      </c>
    </row>
    <row r="893" spans="1:59">
      <c r="A893" s="405">
        <v>4667</v>
      </c>
      <c r="B893" s="406">
        <v>4667</v>
      </c>
      <c r="C893" s="261" t="str">
        <f t="shared" si="130"/>
        <v>0030-0103</v>
      </c>
      <c r="D893" s="261" t="str">
        <f t="shared" si="131"/>
        <v>0030-0103-0005</v>
      </c>
      <c r="E893" s="407" t="s">
        <v>214</v>
      </c>
      <c r="F893" s="261" t="str">
        <f>TEXT(VLOOKUP(J893,'[3]1'!$B$2:$D$37,2,0),"0000")</f>
        <v>0030</v>
      </c>
      <c r="G893" s="261" t="str">
        <f t="shared" si="132"/>
        <v>0103</v>
      </c>
      <c r="H893" s="408">
        <f t="shared" si="133"/>
        <v>5</v>
      </c>
      <c r="I893" s="407" t="s">
        <v>214</v>
      </c>
      <c r="J893" s="258" t="s">
        <v>98</v>
      </c>
      <c r="K893" s="258">
        <v>911</v>
      </c>
      <c r="L893" s="258" t="s">
        <v>108</v>
      </c>
      <c r="M893" s="409">
        <v>181500000</v>
      </c>
      <c r="N893" s="258">
        <v>2981</v>
      </c>
      <c r="O893" s="258" t="s">
        <v>77</v>
      </c>
      <c r="P893" s="258" t="s">
        <v>73</v>
      </c>
      <c r="Q893" s="258" t="s">
        <v>72</v>
      </c>
      <c r="R893" s="258">
        <v>2</v>
      </c>
      <c r="S893" s="410">
        <v>7</v>
      </c>
      <c r="T893" s="261">
        <v>6</v>
      </c>
      <c r="U893" s="261">
        <v>6</v>
      </c>
      <c r="V893" s="258" t="s">
        <v>71</v>
      </c>
      <c r="W893" s="261" t="str">
        <f t="shared" si="135"/>
        <v>PORSCHE911Carrera 4 GTS181500000</v>
      </c>
      <c r="X893" s="411">
        <f t="shared" si="136"/>
        <v>4667</v>
      </c>
      <c r="Y893" s="261">
        <v>6</v>
      </c>
      <c r="Z893" s="261">
        <v>6</v>
      </c>
      <c r="AA893" s="407" t="s">
        <v>214</v>
      </c>
      <c r="AB893" s="258" t="s">
        <v>73</v>
      </c>
      <c r="AC893" s="258"/>
      <c r="AD893" s="258">
        <v>5</v>
      </c>
      <c r="AE893" s="258">
        <v>0</v>
      </c>
      <c r="AF893" s="259"/>
      <c r="AG893" s="260"/>
      <c r="AH893" s="259"/>
      <c r="AI893" s="259"/>
      <c r="AJ893" s="260"/>
      <c r="AK893" s="259">
        <v>11</v>
      </c>
      <c r="AL893" s="259"/>
      <c r="AM893" s="259" t="s">
        <v>3965</v>
      </c>
      <c r="AN893" s="449"/>
      <c r="AO893" s="449"/>
      <c r="AP893" s="449"/>
      <c r="AQ893" s="392" t="str">
        <f>IFERROR(VLOOKUP(BG893,#REF!,1,0),"")</f>
        <v/>
      </c>
      <c r="AS893" s="259" t="s">
        <v>3229</v>
      </c>
      <c r="AW893" s="392" t="s">
        <v>3959</v>
      </c>
      <c r="BD893" s="202" t="str">
        <f t="shared" si="128"/>
        <v>911Carrera 4 GTS</v>
      </c>
      <c r="BE893" s="261" t="str">
        <f t="shared" si="134"/>
        <v>0103</v>
      </c>
      <c r="BF893" s="407" t="s">
        <v>214</v>
      </c>
      <c r="BG893" s="202" t="str">
        <f t="shared" si="129"/>
        <v>0103-0892</v>
      </c>
    </row>
    <row r="894" spans="1:59">
      <c r="A894" s="405">
        <v>4668</v>
      </c>
      <c r="B894" s="406">
        <v>4668</v>
      </c>
      <c r="C894" s="261" t="str">
        <f t="shared" si="130"/>
        <v>0030-0103</v>
      </c>
      <c r="D894" s="261" t="str">
        <f t="shared" si="131"/>
        <v>0030-0103-0006</v>
      </c>
      <c r="E894" s="407" t="s">
        <v>213</v>
      </c>
      <c r="F894" s="261" t="str">
        <f>TEXT(VLOOKUP(J894,'[3]1'!$B$2:$D$37,2,0),"0000")</f>
        <v>0030</v>
      </c>
      <c r="G894" s="261" t="str">
        <f t="shared" si="132"/>
        <v>0103</v>
      </c>
      <c r="H894" s="408">
        <f t="shared" si="133"/>
        <v>6</v>
      </c>
      <c r="I894" s="407" t="s">
        <v>213</v>
      </c>
      <c r="J894" s="258" t="s">
        <v>98</v>
      </c>
      <c r="K894" s="258">
        <v>911</v>
      </c>
      <c r="L894" s="258" t="s">
        <v>106</v>
      </c>
      <c r="M894" s="409">
        <v>172800000</v>
      </c>
      <c r="N894" s="258">
        <v>2981</v>
      </c>
      <c r="O894" s="258" t="s">
        <v>77</v>
      </c>
      <c r="P894" s="258" t="s">
        <v>73</v>
      </c>
      <c r="Q894" s="258" t="s">
        <v>72</v>
      </c>
      <c r="R894" s="258">
        <v>2</v>
      </c>
      <c r="S894" s="410">
        <v>7</v>
      </c>
      <c r="T894" s="261">
        <v>6</v>
      </c>
      <c r="U894" s="261">
        <v>6</v>
      </c>
      <c r="V894" s="258" t="s">
        <v>71</v>
      </c>
      <c r="W894" s="261" t="str">
        <f t="shared" si="135"/>
        <v>PORSCHE911Carrera GTS172800000</v>
      </c>
      <c r="X894" s="411">
        <f t="shared" si="136"/>
        <v>4668</v>
      </c>
      <c r="Y894" s="261">
        <v>6</v>
      </c>
      <c r="Z894" s="261">
        <v>6</v>
      </c>
      <c r="AA894" s="407" t="s">
        <v>213</v>
      </c>
      <c r="AB894" s="258" t="s">
        <v>73</v>
      </c>
      <c r="AC894" s="258"/>
      <c r="AD894" s="258">
        <v>5</v>
      </c>
      <c r="AE894" s="258">
        <v>0</v>
      </c>
      <c r="AF894" s="259"/>
      <c r="AG894" s="260"/>
      <c r="AH894" s="259"/>
      <c r="AI894" s="259"/>
      <c r="AJ894" s="259"/>
      <c r="AK894" s="259">
        <v>12</v>
      </c>
      <c r="AL894" s="259"/>
      <c r="AM894" s="259" t="s">
        <v>3661</v>
      </c>
      <c r="AN894" s="449"/>
      <c r="AO894" s="449"/>
      <c r="AP894" s="449"/>
      <c r="AQ894" s="392" t="str">
        <f>IFERROR(VLOOKUP(BG894,#REF!,1,0),"")</f>
        <v/>
      </c>
      <c r="AR894" s="250"/>
      <c r="AS894" s="259" t="s">
        <v>3229</v>
      </c>
      <c r="AW894" s="250"/>
      <c r="AX894" s="250"/>
      <c r="AY894" s="250"/>
      <c r="BD894" s="202" t="str">
        <f t="shared" si="128"/>
        <v>911Carrera GTS</v>
      </c>
      <c r="BE894" s="261" t="str">
        <f t="shared" si="134"/>
        <v>0103</v>
      </c>
      <c r="BF894" s="407" t="s">
        <v>213</v>
      </c>
      <c r="BG894" s="202" t="str">
        <f t="shared" si="129"/>
        <v>0103-0893</v>
      </c>
    </row>
    <row r="895" spans="1:59">
      <c r="A895" s="405">
        <v>4669</v>
      </c>
      <c r="B895" s="406">
        <v>4669</v>
      </c>
      <c r="C895" s="261" t="str">
        <f t="shared" si="130"/>
        <v>0030-0103</v>
      </c>
      <c r="D895" s="261" t="str">
        <f t="shared" si="131"/>
        <v>0030-0103-0007</v>
      </c>
      <c r="E895" s="407" t="s">
        <v>212</v>
      </c>
      <c r="F895" s="261" t="str">
        <f>TEXT(VLOOKUP(J895,'[3]1'!$B$2:$D$37,2,0),"0000")</f>
        <v>0030</v>
      </c>
      <c r="G895" s="261" t="str">
        <f t="shared" si="132"/>
        <v>0103</v>
      </c>
      <c r="H895" s="408">
        <f t="shared" si="133"/>
        <v>7</v>
      </c>
      <c r="I895" s="407" t="s">
        <v>212</v>
      </c>
      <c r="J895" s="258" t="s">
        <v>98</v>
      </c>
      <c r="K895" s="258">
        <v>911</v>
      </c>
      <c r="L895" s="258" t="s">
        <v>3549</v>
      </c>
      <c r="M895" s="409">
        <v>168300000</v>
      </c>
      <c r="N895" s="258">
        <v>2981</v>
      </c>
      <c r="O895" s="258" t="s">
        <v>77</v>
      </c>
      <c r="P895" s="258" t="s">
        <v>73</v>
      </c>
      <c r="Q895" s="258" t="s">
        <v>72</v>
      </c>
      <c r="R895" s="258">
        <v>2</v>
      </c>
      <c r="S895" s="410">
        <v>7</v>
      </c>
      <c r="T895" s="261">
        <v>6</v>
      </c>
      <c r="U895" s="261">
        <v>6</v>
      </c>
      <c r="V895" s="258" t="s">
        <v>71</v>
      </c>
      <c r="W895" s="261" t="str">
        <f t="shared" si="135"/>
        <v>PORSCHE911Carrera 4 카브리올레168300000</v>
      </c>
      <c r="X895" s="411">
        <f t="shared" si="136"/>
        <v>4669</v>
      </c>
      <c r="Y895" s="261">
        <v>6</v>
      </c>
      <c r="Z895" s="261">
        <v>6</v>
      </c>
      <c r="AA895" s="407" t="s">
        <v>212</v>
      </c>
      <c r="AB895" s="258" t="s">
        <v>73</v>
      </c>
      <c r="AC895" s="258"/>
      <c r="AD895" s="258">
        <v>5</v>
      </c>
      <c r="AE895" s="258">
        <v>0</v>
      </c>
      <c r="AF895" s="259"/>
      <c r="AG895" s="260"/>
      <c r="AH895" s="259"/>
      <c r="AI895" s="259"/>
      <c r="AJ895" s="260"/>
      <c r="AK895" s="259">
        <v>9</v>
      </c>
      <c r="AL895" s="259"/>
      <c r="AM895" s="259" t="s">
        <v>3658</v>
      </c>
      <c r="AN895" s="449"/>
      <c r="AO895" s="449"/>
      <c r="AP895" s="449"/>
      <c r="AQ895" s="392" t="str">
        <f>IFERROR(VLOOKUP(BG895,#REF!,1,0),"")</f>
        <v/>
      </c>
      <c r="AS895" s="259" t="s">
        <v>3229</v>
      </c>
      <c r="BD895" s="202" t="str">
        <f t="shared" si="128"/>
        <v>911Carrera 4 카브리올레</v>
      </c>
      <c r="BE895" s="261" t="str">
        <f t="shared" si="134"/>
        <v>0103</v>
      </c>
      <c r="BF895" s="407" t="s">
        <v>212</v>
      </c>
      <c r="BG895" s="202" t="str">
        <f t="shared" si="129"/>
        <v>0103-0894</v>
      </c>
    </row>
    <row r="896" spans="1:59">
      <c r="A896" s="405">
        <v>4670</v>
      </c>
      <c r="B896" s="406">
        <v>4670</v>
      </c>
      <c r="C896" s="261" t="str">
        <f t="shared" si="130"/>
        <v>0030-0103</v>
      </c>
      <c r="D896" s="261" t="str">
        <f t="shared" si="131"/>
        <v>0030-0103-0008</v>
      </c>
      <c r="E896" s="407" t="s">
        <v>211</v>
      </c>
      <c r="F896" s="261" t="str">
        <f>TEXT(VLOOKUP(J896,'[3]1'!$B$2:$D$37,2,0),"0000")</f>
        <v>0030</v>
      </c>
      <c r="G896" s="261" t="str">
        <f t="shared" si="132"/>
        <v>0103</v>
      </c>
      <c r="H896" s="408">
        <f t="shared" si="133"/>
        <v>8</v>
      </c>
      <c r="I896" s="407" t="s">
        <v>211</v>
      </c>
      <c r="J896" s="258" t="s">
        <v>98</v>
      </c>
      <c r="K896" s="258">
        <v>911</v>
      </c>
      <c r="L896" s="258" t="s">
        <v>3550</v>
      </c>
      <c r="M896" s="409">
        <v>186800000</v>
      </c>
      <c r="N896" s="258">
        <v>2981</v>
      </c>
      <c r="O896" s="258" t="s">
        <v>77</v>
      </c>
      <c r="P896" s="258" t="s">
        <v>73</v>
      </c>
      <c r="Q896" s="258" t="s">
        <v>72</v>
      </c>
      <c r="R896" s="258">
        <v>2</v>
      </c>
      <c r="S896" s="410">
        <v>7</v>
      </c>
      <c r="T896" s="261">
        <v>6</v>
      </c>
      <c r="U896" s="261">
        <v>6</v>
      </c>
      <c r="V896" s="258" t="s">
        <v>71</v>
      </c>
      <c r="W896" s="261" t="str">
        <f t="shared" si="135"/>
        <v>PORSCHE911carrera 4s 카브리올레186800000</v>
      </c>
      <c r="X896" s="411">
        <f t="shared" si="136"/>
        <v>4670</v>
      </c>
      <c r="Y896" s="261">
        <v>6</v>
      </c>
      <c r="Z896" s="261">
        <v>6</v>
      </c>
      <c r="AA896" s="407" t="s">
        <v>211</v>
      </c>
      <c r="AB896" s="258" t="s">
        <v>73</v>
      </c>
      <c r="AC896" s="258"/>
      <c r="AD896" s="258">
        <v>5</v>
      </c>
      <c r="AE896" s="258">
        <v>0</v>
      </c>
      <c r="AF896" s="264"/>
      <c r="AG896" s="260"/>
      <c r="AH896" s="259"/>
      <c r="AI896" s="264"/>
      <c r="AJ896" s="264"/>
      <c r="AK896" s="259">
        <v>9</v>
      </c>
      <c r="AL896" s="259"/>
      <c r="AM896" s="259" t="s">
        <v>3658</v>
      </c>
      <c r="AN896" s="449"/>
      <c r="AO896" s="449"/>
      <c r="AP896" s="449"/>
      <c r="AQ896" s="392" t="str">
        <f>IFERROR(VLOOKUP(BG896,#REF!,1,0),"")</f>
        <v/>
      </c>
      <c r="AS896" s="259" t="s">
        <v>3229</v>
      </c>
      <c r="BD896" s="202" t="str">
        <f t="shared" si="128"/>
        <v>911carrera 4s 카브리올레</v>
      </c>
      <c r="BE896" s="261" t="str">
        <f t="shared" si="134"/>
        <v>0103</v>
      </c>
      <c r="BF896" s="407" t="s">
        <v>211</v>
      </c>
      <c r="BG896" s="202" t="str">
        <f t="shared" si="129"/>
        <v>0103-0895</v>
      </c>
    </row>
    <row r="897" spans="1:59">
      <c r="A897" s="405">
        <v>4671</v>
      </c>
      <c r="B897" s="406">
        <v>4671</v>
      </c>
      <c r="C897" s="261" t="str">
        <f t="shared" si="130"/>
        <v>0030-0103</v>
      </c>
      <c r="D897" s="261" t="str">
        <f t="shared" si="131"/>
        <v>0030-0103-0009</v>
      </c>
      <c r="E897" s="407" t="s">
        <v>210</v>
      </c>
      <c r="F897" s="261" t="str">
        <f>TEXT(VLOOKUP(J897,'[3]1'!$B$2:$D$37,2,0),"0000")</f>
        <v>0030</v>
      </c>
      <c r="G897" s="261" t="str">
        <f t="shared" si="132"/>
        <v>0103</v>
      </c>
      <c r="H897" s="408">
        <f t="shared" si="133"/>
        <v>9</v>
      </c>
      <c r="I897" s="407" t="s">
        <v>210</v>
      </c>
      <c r="J897" s="258" t="s">
        <v>98</v>
      </c>
      <c r="K897" s="258">
        <v>911</v>
      </c>
      <c r="L897" s="258" t="s">
        <v>3548</v>
      </c>
      <c r="M897" s="409">
        <v>196600000</v>
      </c>
      <c r="N897" s="258">
        <v>2981</v>
      </c>
      <c r="O897" s="258" t="s">
        <v>77</v>
      </c>
      <c r="P897" s="258" t="s">
        <v>73</v>
      </c>
      <c r="Q897" s="258" t="s">
        <v>72</v>
      </c>
      <c r="R897" s="258">
        <v>2</v>
      </c>
      <c r="S897" s="410">
        <v>7</v>
      </c>
      <c r="T897" s="261">
        <v>6</v>
      </c>
      <c r="U897" s="261">
        <v>6</v>
      </c>
      <c r="V897" s="258" t="s">
        <v>71</v>
      </c>
      <c r="W897" s="261" t="str">
        <f t="shared" si="135"/>
        <v>PORSCHE911Carrera 4 GTS 카브리올레196600000</v>
      </c>
      <c r="X897" s="411">
        <f t="shared" si="136"/>
        <v>4671</v>
      </c>
      <c r="Y897" s="261">
        <v>6</v>
      </c>
      <c r="Z897" s="261">
        <v>6</v>
      </c>
      <c r="AA897" s="407" t="s">
        <v>210</v>
      </c>
      <c r="AB897" s="258" t="s">
        <v>73</v>
      </c>
      <c r="AC897" s="258"/>
      <c r="AD897" s="258">
        <v>5</v>
      </c>
      <c r="AE897" s="258">
        <v>0</v>
      </c>
      <c r="AF897" s="259"/>
      <c r="AG897" s="260"/>
      <c r="AH897" s="259"/>
      <c r="AI897" s="259"/>
      <c r="AJ897" s="260"/>
      <c r="AK897" s="259">
        <v>11</v>
      </c>
      <c r="AL897" s="259"/>
      <c r="AM897" s="259" t="s">
        <v>3965</v>
      </c>
      <c r="AN897" s="449"/>
      <c r="AO897" s="449"/>
      <c r="AP897" s="449"/>
      <c r="AQ897" s="392" t="str">
        <f>IFERROR(VLOOKUP(BG897,#REF!,1,0),"")</f>
        <v/>
      </c>
      <c r="AS897" s="259" t="s">
        <v>3229</v>
      </c>
      <c r="AW897" s="392" t="s">
        <v>3959</v>
      </c>
      <c r="BD897" s="202" t="str">
        <f t="shared" si="128"/>
        <v>911Carrera 4 GTS 카브리올레</v>
      </c>
      <c r="BE897" s="261" t="str">
        <f t="shared" si="134"/>
        <v>0103</v>
      </c>
      <c r="BF897" s="407" t="s">
        <v>210</v>
      </c>
      <c r="BG897" s="202" t="str">
        <f t="shared" si="129"/>
        <v>0103-0896</v>
      </c>
    </row>
    <row r="898" spans="1:59">
      <c r="A898" s="405">
        <v>4672</v>
      </c>
      <c r="B898" s="406">
        <v>4672</v>
      </c>
      <c r="C898" s="261" t="str">
        <f t="shared" si="130"/>
        <v>0030-0103</v>
      </c>
      <c r="D898" s="261" t="str">
        <f t="shared" si="131"/>
        <v>0030-0103-0010</v>
      </c>
      <c r="E898" s="407" t="s">
        <v>209</v>
      </c>
      <c r="F898" s="261" t="str">
        <f>TEXT(VLOOKUP(J898,'[3]1'!$B$2:$D$37,2,0),"0000")</f>
        <v>0030</v>
      </c>
      <c r="G898" s="261" t="str">
        <f t="shared" si="132"/>
        <v>0103</v>
      </c>
      <c r="H898" s="408">
        <f t="shared" si="133"/>
        <v>10</v>
      </c>
      <c r="I898" s="407" t="s">
        <v>209</v>
      </c>
      <c r="J898" s="258" t="s">
        <v>98</v>
      </c>
      <c r="K898" s="258">
        <v>911</v>
      </c>
      <c r="L898" s="258" t="s">
        <v>105</v>
      </c>
      <c r="M898" s="409">
        <v>187900000</v>
      </c>
      <c r="N898" s="258">
        <v>2981</v>
      </c>
      <c r="O898" s="258" t="s">
        <v>77</v>
      </c>
      <c r="P898" s="258" t="s">
        <v>73</v>
      </c>
      <c r="Q898" s="258" t="s">
        <v>72</v>
      </c>
      <c r="R898" s="258">
        <v>2</v>
      </c>
      <c r="S898" s="410">
        <v>7</v>
      </c>
      <c r="T898" s="261">
        <v>6</v>
      </c>
      <c r="U898" s="261">
        <v>6</v>
      </c>
      <c r="V898" s="258" t="s">
        <v>71</v>
      </c>
      <c r="W898" s="261" t="str">
        <f t="shared" si="135"/>
        <v>PORSCHE911Carrera GTS 카브리올레187900000</v>
      </c>
      <c r="X898" s="411">
        <f t="shared" si="136"/>
        <v>4672</v>
      </c>
      <c r="Y898" s="261">
        <v>6</v>
      </c>
      <c r="Z898" s="261">
        <v>6</v>
      </c>
      <c r="AA898" s="407" t="s">
        <v>209</v>
      </c>
      <c r="AB898" s="258" t="s">
        <v>73</v>
      </c>
      <c r="AC898" s="258"/>
      <c r="AD898" s="258">
        <v>5</v>
      </c>
      <c r="AE898" s="258">
        <v>0</v>
      </c>
      <c r="AF898" s="259"/>
      <c r="AG898" s="260"/>
      <c r="AH898" s="259"/>
      <c r="AI898" s="259"/>
      <c r="AJ898" s="259"/>
      <c r="AK898" s="259">
        <v>12</v>
      </c>
      <c r="AL898" s="259"/>
      <c r="AM898" s="259" t="s">
        <v>3661</v>
      </c>
      <c r="AN898" s="449"/>
      <c r="AO898" s="449"/>
      <c r="AP898" s="449"/>
      <c r="AQ898" s="392" t="str">
        <f>IFERROR(VLOOKUP(BG898,#REF!,1,0),"")</f>
        <v/>
      </c>
      <c r="AS898" s="259" t="s">
        <v>3229</v>
      </c>
      <c r="BD898" s="202" t="str">
        <f t="shared" si="128"/>
        <v>911Carrera GTS 카브리올레</v>
      </c>
      <c r="BE898" s="261" t="str">
        <f t="shared" si="134"/>
        <v>0103</v>
      </c>
      <c r="BF898" s="407" t="s">
        <v>209</v>
      </c>
      <c r="BG898" s="202" t="str">
        <f t="shared" si="129"/>
        <v>0103-0897</v>
      </c>
    </row>
    <row r="899" spans="1:59">
      <c r="A899" s="405">
        <v>4673</v>
      </c>
      <c r="B899" s="406">
        <v>4673</v>
      </c>
      <c r="C899" s="261" t="str">
        <f t="shared" si="130"/>
        <v>0030-0103</v>
      </c>
      <c r="D899" s="261" t="str">
        <f t="shared" si="131"/>
        <v>0030-0103-0011</v>
      </c>
      <c r="E899" s="407" t="s">
        <v>208</v>
      </c>
      <c r="F899" s="261" t="str">
        <f>TEXT(VLOOKUP(J899,'[3]1'!$B$2:$D$37,2,0),"0000")</f>
        <v>0030</v>
      </c>
      <c r="G899" s="261" t="str">
        <f t="shared" si="132"/>
        <v>0103</v>
      </c>
      <c r="H899" s="408">
        <f t="shared" si="133"/>
        <v>11</v>
      </c>
      <c r="I899" s="407" t="s">
        <v>208</v>
      </c>
      <c r="J899" s="258" t="s">
        <v>98</v>
      </c>
      <c r="K899" s="258">
        <v>911</v>
      </c>
      <c r="L899" s="258" t="s">
        <v>104</v>
      </c>
      <c r="M899" s="409">
        <v>169800000</v>
      </c>
      <c r="N899" s="258">
        <v>2981</v>
      </c>
      <c r="O899" s="258" t="s">
        <v>77</v>
      </c>
      <c r="P899" s="258" t="s">
        <v>73</v>
      </c>
      <c r="Q899" s="258" t="s">
        <v>72</v>
      </c>
      <c r="R899" s="258">
        <v>4</v>
      </c>
      <c r="S899" s="410">
        <v>7</v>
      </c>
      <c r="T899" s="261">
        <v>6</v>
      </c>
      <c r="U899" s="261">
        <v>6</v>
      </c>
      <c r="V899" s="258" t="s">
        <v>71</v>
      </c>
      <c r="W899" s="261" t="str">
        <f t="shared" si="135"/>
        <v>PORSCHE911Targa 4169800000</v>
      </c>
      <c r="X899" s="411">
        <f t="shared" si="136"/>
        <v>4673</v>
      </c>
      <c r="Y899" s="261">
        <v>6</v>
      </c>
      <c r="Z899" s="261">
        <v>6</v>
      </c>
      <c r="AA899" s="407" t="s">
        <v>208</v>
      </c>
      <c r="AB899" s="258" t="s">
        <v>73</v>
      </c>
      <c r="AC899" s="258"/>
      <c r="AD899" s="258">
        <v>5</v>
      </c>
      <c r="AE899" s="258">
        <v>0</v>
      </c>
      <c r="AF899" s="259"/>
      <c r="AG899" s="260"/>
      <c r="AH899" s="259"/>
      <c r="AI899" s="259"/>
      <c r="AJ899" s="259"/>
      <c r="AK899" s="259">
        <v>10</v>
      </c>
      <c r="AL899" s="259"/>
      <c r="AM899" s="259" t="s">
        <v>3972</v>
      </c>
      <c r="AN899" s="449"/>
      <c r="AO899" s="449"/>
      <c r="AP899" s="449"/>
      <c r="AQ899" s="392" t="str">
        <f>IFERROR(VLOOKUP(BG899,#REF!,1,0),"")</f>
        <v/>
      </c>
      <c r="AR899" s="450"/>
      <c r="AS899" s="259" t="s">
        <v>3229</v>
      </c>
      <c r="AT899" s="450"/>
      <c r="AW899" s="450" t="s">
        <v>3958</v>
      </c>
      <c r="AX899" s="450"/>
      <c r="AY899" s="450"/>
      <c r="BD899" s="202" t="str">
        <f t="shared" si="128"/>
        <v>911Targa 4</v>
      </c>
      <c r="BE899" s="261" t="str">
        <f t="shared" si="134"/>
        <v>0103</v>
      </c>
      <c r="BF899" s="407" t="s">
        <v>208</v>
      </c>
      <c r="BG899" s="202" t="str">
        <f t="shared" si="129"/>
        <v>0103-0898</v>
      </c>
    </row>
    <row r="900" spans="1:59">
      <c r="A900" s="405">
        <v>4674</v>
      </c>
      <c r="B900" s="406">
        <v>4674</v>
      </c>
      <c r="C900" s="261" t="str">
        <f t="shared" si="130"/>
        <v>0030-0103</v>
      </c>
      <c r="D900" s="261" t="str">
        <f t="shared" si="131"/>
        <v>0030-0103-0012</v>
      </c>
      <c r="E900" s="407" t="s">
        <v>207</v>
      </c>
      <c r="F900" s="261" t="str">
        <f>TEXT(VLOOKUP(J900,'[3]1'!$B$2:$D$37,2,0),"0000")</f>
        <v>0030</v>
      </c>
      <c r="G900" s="261" t="str">
        <f t="shared" si="132"/>
        <v>0103</v>
      </c>
      <c r="H900" s="408">
        <f t="shared" si="133"/>
        <v>12</v>
      </c>
      <c r="I900" s="407" t="s">
        <v>207</v>
      </c>
      <c r="J900" s="258" t="s">
        <v>98</v>
      </c>
      <c r="K900" s="258">
        <v>911</v>
      </c>
      <c r="L900" s="258" t="s">
        <v>1344</v>
      </c>
      <c r="M900" s="409">
        <v>186500000</v>
      </c>
      <c r="N900" s="258">
        <v>2981</v>
      </c>
      <c r="O900" s="258" t="s">
        <v>77</v>
      </c>
      <c r="P900" s="258" t="s">
        <v>73</v>
      </c>
      <c r="Q900" s="258" t="s">
        <v>72</v>
      </c>
      <c r="R900" s="258">
        <v>4</v>
      </c>
      <c r="S900" s="410">
        <v>7</v>
      </c>
      <c r="T900" s="261">
        <v>6</v>
      </c>
      <c r="U900" s="261">
        <v>6</v>
      </c>
      <c r="V900" s="258" t="s">
        <v>71</v>
      </c>
      <c r="W900" s="261" t="str">
        <f t="shared" si="135"/>
        <v>PORSCHE911Targa 4S186500000</v>
      </c>
      <c r="X900" s="411">
        <f t="shared" si="136"/>
        <v>4674</v>
      </c>
      <c r="Y900" s="261">
        <v>6</v>
      </c>
      <c r="Z900" s="261">
        <v>6</v>
      </c>
      <c r="AA900" s="407" t="s">
        <v>207</v>
      </c>
      <c r="AB900" s="258" t="s">
        <v>73</v>
      </c>
      <c r="AC900" s="258"/>
      <c r="AD900" s="258">
        <v>5</v>
      </c>
      <c r="AE900" s="258">
        <v>0</v>
      </c>
      <c r="AF900" s="259"/>
      <c r="AG900" s="260"/>
      <c r="AH900" s="259"/>
      <c r="AI900" s="259"/>
      <c r="AJ900" s="259"/>
      <c r="AK900" s="259">
        <v>10</v>
      </c>
      <c r="AL900" s="259"/>
      <c r="AM900" s="259" t="s">
        <v>3972</v>
      </c>
      <c r="AN900" s="449"/>
      <c r="AO900" s="449"/>
      <c r="AP900" s="449"/>
      <c r="AQ900" s="392" t="str">
        <f>IFERROR(VLOOKUP(BG900,#REF!,1,0),"")</f>
        <v/>
      </c>
      <c r="AR900" s="450"/>
      <c r="AS900" s="259" t="s">
        <v>3229</v>
      </c>
      <c r="AT900" s="450"/>
      <c r="AW900" s="450" t="s">
        <v>3958</v>
      </c>
      <c r="AX900" s="450"/>
      <c r="AY900" s="450"/>
      <c r="BD900" s="202" t="str">
        <f t="shared" si="128"/>
        <v>911Targa 4S</v>
      </c>
      <c r="BE900" s="261" t="str">
        <f t="shared" si="134"/>
        <v>0103</v>
      </c>
      <c r="BF900" s="407" t="s">
        <v>207</v>
      </c>
      <c r="BG900" s="202" t="str">
        <f t="shared" si="129"/>
        <v>0103-0899</v>
      </c>
    </row>
    <row r="901" spans="1:59">
      <c r="A901" s="405">
        <v>4675</v>
      </c>
      <c r="B901" s="406">
        <v>4675</v>
      </c>
      <c r="C901" s="261" t="str">
        <f t="shared" si="130"/>
        <v>0030-0103</v>
      </c>
      <c r="D901" s="261" t="str">
        <f t="shared" si="131"/>
        <v>0030-0103-0013</v>
      </c>
      <c r="E901" s="407" t="s">
        <v>206</v>
      </c>
      <c r="F901" s="261" t="str">
        <f>TEXT(VLOOKUP(J901,'[3]1'!$B$2:$D$37,2,0),"0000")</f>
        <v>0030</v>
      </c>
      <c r="G901" s="261" t="str">
        <f t="shared" si="132"/>
        <v>0103</v>
      </c>
      <c r="H901" s="408">
        <f t="shared" si="133"/>
        <v>13</v>
      </c>
      <c r="I901" s="407" t="s">
        <v>206</v>
      </c>
      <c r="J901" s="258" t="s">
        <v>98</v>
      </c>
      <c r="K901" s="258">
        <v>911</v>
      </c>
      <c r="L901" s="258" t="s">
        <v>3192</v>
      </c>
      <c r="M901" s="409">
        <v>219900000</v>
      </c>
      <c r="N901" s="258">
        <v>2981</v>
      </c>
      <c r="O901" s="258" t="s">
        <v>77</v>
      </c>
      <c r="P901" s="258" t="s">
        <v>73</v>
      </c>
      <c r="Q901" s="258" t="s">
        <v>72</v>
      </c>
      <c r="R901" s="258">
        <v>4</v>
      </c>
      <c r="S901" s="410">
        <v>7</v>
      </c>
      <c r="T901" s="261">
        <v>6</v>
      </c>
      <c r="U901" s="261">
        <v>6</v>
      </c>
      <c r="V901" s="258" t="s">
        <v>71</v>
      </c>
      <c r="W901" s="261" t="str">
        <f t="shared" si="135"/>
        <v>PORSCHE911Targa 4 GTS219900000</v>
      </c>
      <c r="X901" s="411">
        <f t="shared" si="136"/>
        <v>4675</v>
      </c>
      <c r="Y901" s="261">
        <v>6</v>
      </c>
      <c r="Z901" s="261">
        <v>6</v>
      </c>
      <c r="AA901" s="407" t="s">
        <v>206</v>
      </c>
      <c r="AB901" s="258" t="s">
        <v>73</v>
      </c>
      <c r="AC901" s="258"/>
      <c r="AD901" s="258">
        <v>5</v>
      </c>
      <c r="AE901" s="258">
        <v>0</v>
      </c>
      <c r="AF901" s="259"/>
      <c r="AG901" s="260"/>
      <c r="AH901" s="259"/>
      <c r="AI901" s="259"/>
      <c r="AJ901" s="259"/>
      <c r="AK901" s="259">
        <v>12</v>
      </c>
      <c r="AL901" s="259"/>
      <c r="AM901" s="259" t="s">
        <v>3661</v>
      </c>
      <c r="AN901" s="449"/>
      <c r="AO901" s="449"/>
      <c r="AP901" s="449"/>
      <c r="AQ901" s="392" t="str">
        <f>IFERROR(VLOOKUP(BG901,#REF!,1,0),"")</f>
        <v/>
      </c>
      <c r="AR901" s="450"/>
      <c r="AS901" s="259" t="s">
        <v>3229</v>
      </c>
      <c r="AT901" s="450" t="s">
        <v>3193</v>
      </c>
      <c r="AW901" s="450"/>
      <c r="AX901" s="450"/>
      <c r="AY901" s="450"/>
      <c r="BD901" s="202" t="str">
        <f t="shared" ref="BD901:BD964" si="137">K901&amp;L901</f>
        <v>911Targa 4 GTS</v>
      </c>
      <c r="BE901" s="261" t="str">
        <f t="shared" si="134"/>
        <v>0103</v>
      </c>
      <c r="BF901" s="407" t="s">
        <v>206</v>
      </c>
      <c r="BG901" s="202" t="str">
        <f t="shared" ref="BG901:BG964" si="138">BE901&amp;"-"&amp;BF901</f>
        <v>0103-0900</v>
      </c>
    </row>
    <row r="902" spans="1:59">
      <c r="A902" s="405">
        <v>4676</v>
      </c>
      <c r="B902" s="406">
        <v>4676</v>
      </c>
      <c r="C902" s="261" t="str">
        <f t="shared" ref="C902:C965" si="139">TEXT(F902,"0000")&amp;"-"&amp;TEXT(G902,"0000")</f>
        <v>0030-0103</v>
      </c>
      <c r="D902" s="261" t="str">
        <f t="shared" ref="D902:D965" si="140">TEXT(F902,"0000")&amp;"-"&amp;TEXT(G902,"0000")&amp;"-"&amp;TEXT(H902,"0000")</f>
        <v>0030-0103-0014</v>
      </c>
      <c r="E902" s="407" t="s">
        <v>205</v>
      </c>
      <c r="F902" s="261" t="str">
        <f>TEXT(VLOOKUP(J902,'[3]1'!$B$2:$D$37,2,0),"0000")</f>
        <v>0030</v>
      </c>
      <c r="G902" s="261" t="str">
        <f t="shared" ref="G902:G965" si="141">IF(K902=K901,TEXT(G901,"0000"),TEXT(G901+1,"0000"))</f>
        <v>0103</v>
      </c>
      <c r="H902" s="408">
        <f t="shared" ref="H902:H965" si="142">IF(F902&amp;G902=F901&amp;G901,H901+1,1)</f>
        <v>14</v>
      </c>
      <c r="I902" s="407" t="s">
        <v>205</v>
      </c>
      <c r="J902" s="258" t="s">
        <v>98</v>
      </c>
      <c r="K902" s="258">
        <v>911</v>
      </c>
      <c r="L902" s="258" t="s">
        <v>2899</v>
      </c>
      <c r="M902" s="409">
        <v>253000000</v>
      </c>
      <c r="N902" s="258">
        <v>3745</v>
      </c>
      <c r="O902" s="258" t="s">
        <v>77</v>
      </c>
      <c r="P902" s="258" t="s">
        <v>73</v>
      </c>
      <c r="Q902" s="258" t="s">
        <v>72</v>
      </c>
      <c r="R902" s="258">
        <v>4</v>
      </c>
      <c r="S902" s="410">
        <v>26</v>
      </c>
      <c r="T902" s="261">
        <v>6</v>
      </c>
      <c r="U902" s="261">
        <v>6</v>
      </c>
      <c r="V902" s="258" t="s">
        <v>71</v>
      </c>
      <c r="W902" s="261" t="str">
        <f t="shared" si="135"/>
        <v>PORSCHE911Turbo S253000000</v>
      </c>
      <c r="X902" s="411">
        <f t="shared" si="136"/>
        <v>4676</v>
      </c>
      <c r="Y902" s="261">
        <v>6</v>
      </c>
      <c r="Z902" s="261">
        <v>6</v>
      </c>
      <c r="AA902" s="407" t="s">
        <v>205</v>
      </c>
      <c r="AB902" s="258" t="s">
        <v>73</v>
      </c>
      <c r="AC902" s="258"/>
      <c r="AD902" s="258">
        <v>6</v>
      </c>
      <c r="AE902" s="258">
        <v>0</v>
      </c>
      <c r="AF902" s="259"/>
      <c r="AG902" s="260"/>
      <c r="AH902" s="259"/>
      <c r="AI902" s="259"/>
      <c r="AJ902" s="259"/>
      <c r="AK902" s="259">
        <v>12</v>
      </c>
      <c r="AL902" s="259"/>
      <c r="AM902" s="259" t="s">
        <v>3661</v>
      </c>
      <c r="AN902" s="449"/>
      <c r="AO902" s="449"/>
      <c r="AP902" s="449"/>
      <c r="AQ902" s="392" t="str">
        <f>IFERROR(VLOOKUP(BG902,#REF!,1,0),"")</f>
        <v/>
      </c>
      <c r="AR902" s="450"/>
      <c r="AS902" s="259" t="s">
        <v>3227</v>
      </c>
      <c r="AT902" s="450"/>
      <c r="AW902" s="450"/>
      <c r="AX902" s="450"/>
      <c r="AY902" s="450"/>
      <c r="BD902" s="202" t="str">
        <f t="shared" si="137"/>
        <v>911Turbo S</v>
      </c>
      <c r="BE902" s="261" t="str">
        <f t="shared" ref="BE902:BE965" si="143">IF(K901=K902,TEXT(G901,"0000"),TEXT(G901+1,"0000"))</f>
        <v>0103</v>
      </c>
      <c r="BF902" s="407" t="s">
        <v>205</v>
      </c>
      <c r="BG902" s="202" t="str">
        <f t="shared" si="138"/>
        <v>0103-0901</v>
      </c>
    </row>
    <row r="903" spans="1:59">
      <c r="A903" s="405">
        <v>4677</v>
      </c>
      <c r="B903" s="406">
        <v>4677</v>
      </c>
      <c r="C903" s="261" t="str">
        <f t="shared" si="139"/>
        <v>0030-0103</v>
      </c>
      <c r="D903" s="261" t="str">
        <f t="shared" si="140"/>
        <v>0030-0103-0015</v>
      </c>
      <c r="E903" s="407" t="s">
        <v>204</v>
      </c>
      <c r="F903" s="261" t="str">
        <f>TEXT(VLOOKUP(J903,'[3]1'!$B$2:$D$37,2,0),"0000")</f>
        <v>0030</v>
      </c>
      <c r="G903" s="261" t="str">
        <f t="shared" si="141"/>
        <v>0103</v>
      </c>
      <c r="H903" s="408">
        <f t="shared" si="142"/>
        <v>15</v>
      </c>
      <c r="I903" s="407" t="s">
        <v>204</v>
      </c>
      <c r="J903" s="258" t="s">
        <v>98</v>
      </c>
      <c r="K903" s="258">
        <v>911</v>
      </c>
      <c r="L903" s="258" t="s">
        <v>2900</v>
      </c>
      <c r="M903" s="409">
        <v>285100000</v>
      </c>
      <c r="N903" s="258">
        <v>3745</v>
      </c>
      <c r="O903" s="258" t="s">
        <v>77</v>
      </c>
      <c r="P903" s="258" t="s">
        <v>73</v>
      </c>
      <c r="Q903" s="258" t="s">
        <v>72</v>
      </c>
      <c r="R903" s="258">
        <v>4</v>
      </c>
      <c r="S903" s="410">
        <v>26</v>
      </c>
      <c r="T903" s="261">
        <v>6</v>
      </c>
      <c r="U903" s="261">
        <v>6</v>
      </c>
      <c r="V903" s="258" t="s">
        <v>71</v>
      </c>
      <c r="W903" s="261" t="str">
        <f t="shared" ref="W903:W966" si="144">J903&amp;K903&amp;L903&amp;M903</f>
        <v>PORSCHE911Turbo S Cabriolet285100000</v>
      </c>
      <c r="X903" s="411">
        <f t="shared" ref="X903:X966" si="145">B903</f>
        <v>4677</v>
      </c>
      <c r="Y903" s="261">
        <v>6</v>
      </c>
      <c r="Z903" s="261">
        <v>6</v>
      </c>
      <c r="AA903" s="407" t="s">
        <v>204</v>
      </c>
      <c r="AB903" s="258" t="s">
        <v>73</v>
      </c>
      <c r="AC903" s="258"/>
      <c r="AD903" s="258">
        <v>6</v>
      </c>
      <c r="AE903" s="258">
        <v>0</v>
      </c>
      <c r="AF903" s="259"/>
      <c r="AG903" s="260"/>
      <c r="AH903" s="259"/>
      <c r="AI903" s="259"/>
      <c r="AJ903" s="259"/>
      <c r="AK903" s="259">
        <v>12</v>
      </c>
      <c r="AL903" s="259"/>
      <c r="AM903" s="259" t="s">
        <v>3661</v>
      </c>
      <c r="AN903" s="449"/>
      <c r="AO903" s="449"/>
      <c r="AP903" s="449"/>
      <c r="AQ903" s="392" t="str">
        <f>IFERROR(VLOOKUP(BG903,#REF!,1,0),"")</f>
        <v/>
      </c>
      <c r="AR903" s="450"/>
      <c r="AS903" s="259" t="s">
        <v>3227</v>
      </c>
      <c r="AT903" s="450"/>
      <c r="AW903" s="450"/>
      <c r="AX903" s="450"/>
      <c r="AY903" s="450"/>
      <c r="BD903" s="202" t="str">
        <f t="shared" si="137"/>
        <v>911Turbo S Cabriolet</v>
      </c>
      <c r="BE903" s="261" t="str">
        <f t="shared" si="143"/>
        <v>0103</v>
      </c>
      <c r="BF903" s="407" t="s">
        <v>204</v>
      </c>
      <c r="BG903" s="202" t="str">
        <f t="shared" si="138"/>
        <v>0103-0902</v>
      </c>
    </row>
    <row r="904" spans="1:59">
      <c r="A904" s="405">
        <v>4678</v>
      </c>
      <c r="B904" s="406">
        <v>4678</v>
      </c>
      <c r="C904" s="261" t="str">
        <f t="shared" si="139"/>
        <v>0030-0103</v>
      </c>
      <c r="D904" s="261" t="str">
        <f t="shared" si="140"/>
        <v>0030-0103-0016</v>
      </c>
      <c r="E904" s="407" t="s">
        <v>203</v>
      </c>
      <c r="F904" s="261" t="str">
        <f>TEXT(VLOOKUP(J904,'[3]1'!$B$2:$D$37,2,0),"0000")</f>
        <v>0030</v>
      </c>
      <c r="G904" s="261" t="str">
        <f t="shared" si="141"/>
        <v>0103</v>
      </c>
      <c r="H904" s="408">
        <f t="shared" si="142"/>
        <v>16</v>
      </c>
      <c r="I904" s="407" t="s">
        <v>203</v>
      </c>
      <c r="J904" s="258" t="s">
        <v>98</v>
      </c>
      <c r="K904" s="258">
        <v>911</v>
      </c>
      <c r="L904" s="258" t="s">
        <v>3218</v>
      </c>
      <c r="M904" s="409">
        <v>233400000</v>
      </c>
      <c r="N904" s="258">
        <v>3996</v>
      </c>
      <c r="O904" s="258" t="s">
        <v>77</v>
      </c>
      <c r="P904" s="258" t="s">
        <v>73</v>
      </c>
      <c r="Q904" s="258" t="s">
        <v>72</v>
      </c>
      <c r="R904" s="258">
        <v>4</v>
      </c>
      <c r="S904" s="410">
        <v>26</v>
      </c>
      <c r="T904" s="261">
        <v>6</v>
      </c>
      <c r="U904" s="261">
        <v>6</v>
      </c>
      <c r="V904" s="258" t="s">
        <v>71</v>
      </c>
      <c r="W904" s="261" t="str">
        <f t="shared" si="144"/>
        <v>PORSCHE911GT3233400000</v>
      </c>
      <c r="X904" s="411">
        <f t="shared" si="145"/>
        <v>4678</v>
      </c>
      <c r="Y904" s="261">
        <v>6</v>
      </c>
      <c r="Z904" s="261">
        <v>6</v>
      </c>
      <c r="AA904" s="407" t="s">
        <v>203</v>
      </c>
      <c r="AB904" s="258" t="s">
        <v>73</v>
      </c>
      <c r="AC904" s="258"/>
      <c r="AD904" s="258">
        <v>5</v>
      </c>
      <c r="AE904" s="258">
        <v>0</v>
      </c>
      <c r="AF904" s="259"/>
      <c r="AG904" s="260"/>
      <c r="AH904" s="259"/>
      <c r="AI904" s="259"/>
      <c r="AJ904" s="259"/>
      <c r="AK904" s="259">
        <v>12</v>
      </c>
      <c r="AL904" s="259"/>
      <c r="AM904" s="259" t="s">
        <v>3661</v>
      </c>
      <c r="AN904" s="449"/>
      <c r="AO904" s="449"/>
      <c r="AP904" s="449"/>
      <c r="AQ904" s="392" t="str">
        <f>IFERROR(VLOOKUP(BG904,#REF!,1,0),"")</f>
        <v/>
      </c>
      <c r="AR904" s="450"/>
      <c r="AS904" s="259" t="s">
        <v>1987</v>
      </c>
      <c r="AT904" s="450"/>
      <c r="AW904" s="450"/>
      <c r="AX904" s="450">
        <v>24.02</v>
      </c>
      <c r="AY904" s="450"/>
      <c r="BB904" s="202" t="s">
        <v>3397</v>
      </c>
      <c r="BC904" s="202" t="s">
        <v>3398</v>
      </c>
      <c r="BD904" s="202" t="str">
        <f t="shared" si="137"/>
        <v>911GT3</v>
      </c>
      <c r="BE904" s="261" t="str">
        <f t="shared" si="143"/>
        <v>0103</v>
      </c>
      <c r="BF904" s="407" t="s">
        <v>203</v>
      </c>
      <c r="BG904" s="202" t="str">
        <f t="shared" si="138"/>
        <v>0103-0903</v>
      </c>
    </row>
    <row r="905" spans="1:59">
      <c r="A905" s="405">
        <v>4679</v>
      </c>
      <c r="B905" s="406">
        <v>4679</v>
      </c>
      <c r="C905" s="261" t="str">
        <f t="shared" si="139"/>
        <v>0030-0104</v>
      </c>
      <c r="D905" s="261" t="str">
        <f t="shared" si="140"/>
        <v>0030-0104-0001</v>
      </c>
      <c r="E905" s="407" t="s">
        <v>202</v>
      </c>
      <c r="F905" s="261" t="str">
        <f>TEXT(VLOOKUP(J905,'[3]1'!$B$2:$D$37,2,0),"0000")</f>
        <v>0030</v>
      </c>
      <c r="G905" s="261" t="str">
        <f t="shared" si="141"/>
        <v>0104</v>
      </c>
      <c r="H905" s="408">
        <f t="shared" si="142"/>
        <v>1</v>
      </c>
      <c r="I905" s="407" t="s">
        <v>202</v>
      </c>
      <c r="J905" s="258" t="s">
        <v>98</v>
      </c>
      <c r="K905" s="258" t="s">
        <v>3553</v>
      </c>
      <c r="L905" s="258" t="s">
        <v>3552</v>
      </c>
      <c r="M905" s="409">
        <v>119400000</v>
      </c>
      <c r="N905" s="258">
        <v>3995</v>
      </c>
      <c r="O905" s="258" t="s">
        <v>77</v>
      </c>
      <c r="P905" s="258" t="s">
        <v>73</v>
      </c>
      <c r="Q905" s="258" t="s">
        <v>72</v>
      </c>
      <c r="R905" s="258">
        <v>4</v>
      </c>
      <c r="S905" s="410">
        <v>26</v>
      </c>
      <c r="T905" s="261">
        <v>6</v>
      </c>
      <c r="U905" s="261">
        <v>6</v>
      </c>
      <c r="V905" s="258" t="s">
        <v>71</v>
      </c>
      <c r="W905" s="261" t="str">
        <f t="shared" si="144"/>
        <v>PORSCHEBOXSTER718 Boxster GTS 4.0119400000</v>
      </c>
      <c r="X905" s="411">
        <f t="shared" si="145"/>
        <v>4679</v>
      </c>
      <c r="Y905" s="261">
        <v>6</v>
      </c>
      <c r="Z905" s="261">
        <v>6</v>
      </c>
      <c r="AA905" s="407" t="s">
        <v>202</v>
      </c>
      <c r="AB905" s="258" t="s">
        <v>73</v>
      </c>
      <c r="AC905" s="258"/>
      <c r="AD905" s="258">
        <v>5</v>
      </c>
      <c r="AE905" s="258">
        <v>2</v>
      </c>
      <c r="AF905" s="259"/>
      <c r="AG905" s="260"/>
      <c r="AH905" s="259"/>
      <c r="AI905" s="259"/>
      <c r="AJ905" s="259"/>
      <c r="AK905" s="259">
        <v>6</v>
      </c>
      <c r="AL905" s="259"/>
      <c r="AM905" s="259" t="s">
        <v>3964</v>
      </c>
      <c r="AN905" s="449"/>
      <c r="AO905" s="449"/>
      <c r="AP905" s="449"/>
      <c r="AS905" s="259" t="s">
        <v>3681</v>
      </c>
      <c r="AW905" s="392" t="s">
        <v>3959</v>
      </c>
      <c r="BD905" s="202" t="str">
        <f t="shared" si="137"/>
        <v>BOXSTER718 Boxster GTS 4.0</v>
      </c>
      <c r="BE905" s="261" t="str">
        <f t="shared" si="143"/>
        <v>0104</v>
      </c>
      <c r="BF905" s="407" t="s">
        <v>202</v>
      </c>
      <c r="BG905" s="202" t="str">
        <f t="shared" si="138"/>
        <v>0104-0904</v>
      </c>
    </row>
    <row r="906" spans="1:59">
      <c r="A906" s="405">
        <v>4680</v>
      </c>
      <c r="B906" s="406">
        <v>4680</v>
      </c>
      <c r="C906" s="261" t="str">
        <f t="shared" si="139"/>
        <v>0030-0105</v>
      </c>
      <c r="D906" s="261" t="str">
        <f t="shared" si="140"/>
        <v>0030-0105-0001</v>
      </c>
      <c r="E906" s="407" t="s">
        <v>201</v>
      </c>
      <c r="F906" s="261" t="str">
        <f>TEXT(VLOOKUP(J906,'[3]1'!$B$2:$D$37,2,0),"0000")</f>
        <v>0030</v>
      </c>
      <c r="G906" s="261" t="str">
        <f t="shared" si="141"/>
        <v>0105</v>
      </c>
      <c r="H906" s="408">
        <f t="shared" si="142"/>
        <v>1</v>
      </c>
      <c r="I906" s="407" t="s">
        <v>201</v>
      </c>
      <c r="J906" s="258" t="s">
        <v>98</v>
      </c>
      <c r="K906" s="258" t="s">
        <v>103</v>
      </c>
      <c r="L906" s="258" t="s">
        <v>1937</v>
      </c>
      <c r="M906" s="409">
        <v>114400000</v>
      </c>
      <c r="N906" s="258">
        <v>2995</v>
      </c>
      <c r="O906" s="258" t="s">
        <v>77</v>
      </c>
      <c r="P906" s="258" t="s">
        <v>73</v>
      </c>
      <c r="Q906" s="258" t="s">
        <v>72</v>
      </c>
      <c r="R906" s="258">
        <v>5</v>
      </c>
      <c r="S906" s="410">
        <v>1</v>
      </c>
      <c r="T906" s="261">
        <v>6</v>
      </c>
      <c r="U906" s="261">
        <v>6</v>
      </c>
      <c r="V906" s="258" t="s">
        <v>71</v>
      </c>
      <c r="W906" s="261" t="str">
        <f t="shared" si="144"/>
        <v>PORSCHECayenneNew Cayenne coupe114400000</v>
      </c>
      <c r="X906" s="411">
        <f t="shared" si="145"/>
        <v>4680</v>
      </c>
      <c r="Y906" s="261">
        <v>6</v>
      </c>
      <c r="Z906" s="261">
        <v>6</v>
      </c>
      <c r="AA906" s="407" t="s">
        <v>201</v>
      </c>
      <c r="AB906" s="258" t="s">
        <v>70</v>
      </c>
      <c r="AC906" s="258"/>
      <c r="AD906" s="258">
        <v>3</v>
      </c>
      <c r="AE906" s="258">
        <v>0</v>
      </c>
      <c r="AF906" s="259"/>
      <c r="AG906" s="260"/>
      <c r="AH906" s="259"/>
      <c r="AI906" s="259"/>
      <c r="AJ906" s="259"/>
      <c r="AK906" s="259">
        <v>6</v>
      </c>
      <c r="AL906" s="259"/>
      <c r="AM906" s="259" t="s">
        <v>3964</v>
      </c>
      <c r="AN906" s="449"/>
      <c r="AO906" s="449"/>
      <c r="AP906" s="449"/>
      <c r="AQ906" s="392" t="str">
        <f>IFERROR(VLOOKUP(BG906,#REF!,1,0),"")</f>
        <v/>
      </c>
      <c r="AS906" s="259" t="s">
        <v>3189</v>
      </c>
      <c r="AW906" s="392" t="s">
        <v>3959</v>
      </c>
      <c r="BD906" s="202" t="str">
        <f t="shared" si="137"/>
        <v>CayenneNew Cayenne coupe</v>
      </c>
      <c r="BE906" s="261" t="str">
        <f t="shared" si="143"/>
        <v>0105</v>
      </c>
      <c r="BF906" s="407" t="s">
        <v>201</v>
      </c>
      <c r="BG906" s="202" t="str">
        <f t="shared" si="138"/>
        <v>0105-0905</v>
      </c>
    </row>
    <row r="907" spans="1:59">
      <c r="A907" s="405">
        <v>4681</v>
      </c>
      <c r="B907" s="406">
        <v>4681</v>
      </c>
      <c r="C907" s="261" t="str">
        <f t="shared" si="139"/>
        <v>0030-0105</v>
      </c>
      <c r="D907" s="261" t="str">
        <f t="shared" si="140"/>
        <v>0030-0105-0002</v>
      </c>
      <c r="E907" s="407" t="s">
        <v>200</v>
      </c>
      <c r="F907" s="261" t="str">
        <f>TEXT(VLOOKUP(J907,'[3]1'!$B$2:$D$37,2,0),"0000")</f>
        <v>0030</v>
      </c>
      <c r="G907" s="261" t="str">
        <f t="shared" si="141"/>
        <v>0105</v>
      </c>
      <c r="H907" s="408">
        <f t="shared" si="142"/>
        <v>2</v>
      </c>
      <c r="I907" s="407" t="s">
        <v>200</v>
      </c>
      <c r="J907" s="258" t="s">
        <v>98</v>
      </c>
      <c r="K907" s="258" t="s">
        <v>103</v>
      </c>
      <c r="L907" s="258" t="s">
        <v>1271</v>
      </c>
      <c r="M907" s="409">
        <v>104800000</v>
      </c>
      <c r="N907" s="258">
        <v>2995</v>
      </c>
      <c r="O907" s="258" t="s">
        <v>77</v>
      </c>
      <c r="P907" s="258" t="s">
        <v>73</v>
      </c>
      <c r="Q907" s="258" t="s">
        <v>72</v>
      </c>
      <c r="R907" s="258">
        <v>5</v>
      </c>
      <c r="S907" s="410">
        <v>1</v>
      </c>
      <c r="T907" s="261">
        <v>6</v>
      </c>
      <c r="U907" s="261">
        <v>6</v>
      </c>
      <c r="V907" s="258" t="s">
        <v>71</v>
      </c>
      <c r="W907" s="261" t="str">
        <f t="shared" si="144"/>
        <v>PORSCHECayenneNew Cayenne104800000</v>
      </c>
      <c r="X907" s="411">
        <f t="shared" si="145"/>
        <v>4681</v>
      </c>
      <c r="Y907" s="261">
        <v>6</v>
      </c>
      <c r="Z907" s="261">
        <v>6</v>
      </c>
      <c r="AA907" s="407" t="s">
        <v>200</v>
      </c>
      <c r="AB907" s="258" t="s">
        <v>70</v>
      </c>
      <c r="AC907" s="258"/>
      <c r="AD907" s="258">
        <v>3</v>
      </c>
      <c r="AE907" s="258">
        <v>0</v>
      </c>
      <c r="AF907" s="259"/>
      <c r="AG907" s="260"/>
      <c r="AH907" s="259"/>
      <c r="AI907" s="259"/>
      <c r="AJ907" s="259"/>
      <c r="AK907" s="259">
        <v>6</v>
      </c>
      <c r="AL907" s="259"/>
      <c r="AM907" s="259" t="s">
        <v>3964</v>
      </c>
      <c r="AN907" s="449"/>
      <c r="AO907" s="449"/>
      <c r="AP907" s="449"/>
      <c r="AQ907" s="392" t="str">
        <f>IFERROR(VLOOKUP(BG907,#REF!,1,0),"")</f>
        <v/>
      </c>
      <c r="AS907" s="259" t="s">
        <v>3189</v>
      </c>
      <c r="AW907" s="392" t="s">
        <v>3959</v>
      </c>
      <c r="BD907" s="202" t="str">
        <f t="shared" si="137"/>
        <v>CayenneNew Cayenne</v>
      </c>
      <c r="BE907" s="261" t="str">
        <f t="shared" si="143"/>
        <v>0105</v>
      </c>
      <c r="BF907" s="407" t="s">
        <v>200</v>
      </c>
      <c r="BG907" s="202" t="str">
        <f t="shared" si="138"/>
        <v>0105-0906</v>
      </c>
    </row>
    <row r="908" spans="1:59">
      <c r="A908" s="405">
        <v>4682</v>
      </c>
      <c r="B908" s="406">
        <v>4682</v>
      </c>
      <c r="C908" s="261" t="str">
        <f t="shared" si="139"/>
        <v>0030-0105</v>
      </c>
      <c r="D908" s="261" t="str">
        <f t="shared" si="140"/>
        <v>0030-0105-0003</v>
      </c>
      <c r="E908" s="407" t="s">
        <v>199</v>
      </c>
      <c r="F908" s="261" t="str">
        <f>TEXT(VLOOKUP(J908,'[3]1'!$B$2:$D$37,2,0),"0000")</f>
        <v>0030</v>
      </c>
      <c r="G908" s="261" t="str">
        <f t="shared" si="141"/>
        <v>0105</v>
      </c>
      <c r="H908" s="408">
        <f t="shared" si="142"/>
        <v>3</v>
      </c>
      <c r="I908" s="407" t="s">
        <v>199</v>
      </c>
      <c r="J908" s="258" t="s">
        <v>1446</v>
      </c>
      <c r="K908" s="258" t="s">
        <v>103</v>
      </c>
      <c r="L908" s="258" t="s">
        <v>3675</v>
      </c>
      <c r="M908" s="409">
        <v>158500000</v>
      </c>
      <c r="N908" s="258">
        <v>3604</v>
      </c>
      <c r="O908" s="258" t="s">
        <v>77</v>
      </c>
      <c r="P908" s="258" t="s">
        <v>73</v>
      </c>
      <c r="Q908" s="258" t="s">
        <v>72</v>
      </c>
      <c r="R908" s="258">
        <v>5</v>
      </c>
      <c r="S908" s="410">
        <v>1</v>
      </c>
      <c r="T908" s="261">
        <v>6</v>
      </c>
      <c r="U908" s="261">
        <v>6</v>
      </c>
      <c r="V908" s="258" t="s">
        <v>71</v>
      </c>
      <c r="W908" s="261" t="str">
        <f t="shared" si="144"/>
        <v>PORSCHECayenneCayenne turbo GT158500000</v>
      </c>
      <c r="X908" s="411">
        <f t="shared" si="145"/>
        <v>4682</v>
      </c>
      <c r="Y908" s="261">
        <v>6</v>
      </c>
      <c r="Z908" s="261">
        <v>6</v>
      </c>
      <c r="AA908" s="407" t="s">
        <v>199</v>
      </c>
      <c r="AB908" s="258" t="s">
        <v>70</v>
      </c>
      <c r="AC908" s="258"/>
      <c r="AD908" s="258">
        <v>3</v>
      </c>
      <c r="AE908" s="258">
        <v>0</v>
      </c>
      <c r="AF908" s="259"/>
      <c r="AG908" s="260"/>
      <c r="AH908" s="259"/>
      <c r="AI908" s="259"/>
      <c r="AJ908" s="259"/>
      <c r="AK908" s="259">
        <v>12</v>
      </c>
      <c r="AL908" s="259"/>
      <c r="AM908" s="259" t="s">
        <v>3661</v>
      </c>
      <c r="AN908" s="449"/>
      <c r="AO908" s="449"/>
      <c r="AP908" s="449"/>
      <c r="AQ908" s="392" t="str">
        <f>IFERROR(VLOOKUP(BG908,#REF!,1,0),"")</f>
        <v/>
      </c>
      <c r="AS908" s="259" t="s">
        <v>3189</v>
      </c>
      <c r="BD908" s="202" t="str">
        <f t="shared" si="137"/>
        <v>CayenneCayenne turbo GT</v>
      </c>
      <c r="BE908" s="261" t="str">
        <f t="shared" si="143"/>
        <v>0105</v>
      </c>
      <c r="BF908" s="407" t="s">
        <v>199</v>
      </c>
      <c r="BG908" s="202" t="str">
        <f t="shared" si="138"/>
        <v>0105-0907</v>
      </c>
    </row>
    <row r="909" spans="1:59">
      <c r="A909" s="405">
        <v>4683</v>
      </c>
      <c r="B909" s="406">
        <v>4683</v>
      </c>
      <c r="C909" s="261" t="str">
        <f t="shared" si="139"/>
        <v>0030-0105</v>
      </c>
      <c r="D909" s="261" t="str">
        <f t="shared" si="140"/>
        <v>0030-0105-0004</v>
      </c>
      <c r="E909" s="407" t="s">
        <v>198</v>
      </c>
      <c r="F909" s="261" t="str">
        <f>TEXT(VLOOKUP(J909,'[3]1'!$B$2:$D$37,2,0),"0000")</f>
        <v>0030</v>
      </c>
      <c r="G909" s="261" t="str">
        <f t="shared" si="141"/>
        <v>0105</v>
      </c>
      <c r="H909" s="408">
        <f t="shared" si="142"/>
        <v>4</v>
      </c>
      <c r="I909" s="407" t="s">
        <v>198</v>
      </c>
      <c r="J909" s="258" t="s">
        <v>98</v>
      </c>
      <c r="K909" s="258" t="s">
        <v>103</v>
      </c>
      <c r="L909" s="258" t="s">
        <v>2776</v>
      </c>
      <c r="M909" s="409">
        <v>124900000</v>
      </c>
      <c r="N909" s="258">
        <v>2995</v>
      </c>
      <c r="O909" s="258" t="s">
        <v>1173</v>
      </c>
      <c r="P909" s="258" t="s">
        <v>1431</v>
      </c>
      <c r="Q909" s="258" t="s">
        <v>1974</v>
      </c>
      <c r="R909" s="258">
        <v>4</v>
      </c>
      <c r="S909" s="410">
        <v>1</v>
      </c>
      <c r="T909" s="261">
        <v>6</v>
      </c>
      <c r="U909" s="261">
        <v>6</v>
      </c>
      <c r="V909" s="258" t="s">
        <v>71</v>
      </c>
      <c r="W909" s="261" t="str">
        <f t="shared" si="144"/>
        <v>PORSCHECayenneCayenne E-hybrid Coupe124900000</v>
      </c>
      <c r="X909" s="411">
        <f t="shared" si="145"/>
        <v>4683</v>
      </c>
      <c r="Y909" s="261">
        <v>6</v>
      </c>
      <c r="Z909" s="261">
        <v>6</v>
      </c>
      <c r="AA909" s="407" t="s">
        <v>198</v>
      </c>
      <c r="AB909" s="258" t="s">
        <v>70</v>
      </c>
      <c r="AC909" s="258"/>
      <c r="AD909" s="258">
        <v>5</v>
      </c>
      <c r="AE909" s="258">
        <v>0</v>
      </c>
      <c r="AF909" s="259"/>
      <c r="AG909" s="260"/>
      <c r="AH909" s="259"/>
      <c r="AI909" s="259"/>
      <c r="AJ909" s="259"/>
      <c r="AK909" s="259">
        <v>6</v>
      </c>
      <c r="AL909" s="259"/>
      <c r="AM909" s="259" t="s">
        <v>3964</v>
      </c>
      <c r="AN909" s="449"/>
      <c r="AO909" s="449"/>
      <c r="AP909" s="449"/>
      <c r="AQ909" s="392" t="str">
        <f>IFERROR(VLOOKUP(BG909,#REF!,1,0),"")</f>
        <v/>
      </c>
      <c r="AS909" s="259" t="s">
        <v>3189</v>
      </c>
      <c r="AW909" s="392" t="s">
        <v>3959</v>
      </c>
      <c r="BD909" s="202" t="str">
        <f t="shared" si="137"/>
        <v>CayenneCayenne E-hybrid Coupe</v>
      </c>
      <c r="BE909" s="261" t="str">
        <f t="shared" si="143"/>
        <v>0105</v>
      </c>
      <c r="BF909" s="407" t="s">
        <v>198</v>
      </c>
      <c r="BG909" s="202" t="str">
        <f t="shared" si="138"/>
        <v>0105-0908</v>
      </c>
    </row>
    <row r="910" spans="1:59">
      <c r="A910" s="405">
        <v>4684</v>
      </c>
      <c r="B910" s="406">
        <v>4684</v>
      </c>
      <c r="C910" s="261" t="str">
        <f t="shared" si="139"/>
        <v>0030-0105</v>
      </c>
      <c r="D910" s="261" t="str">
        <f t="shared" si="140"/>
        <v>0030-0105-0005</v>
      </c>
      <c r="E910" s="407" t="s">
        <v>1448</v>
      </c>
      <c r="F910" s="261" t="str">
        <f>TEXT(VLOOKUP(J910,'[3]1'!$B$2:$D$37,2,0),"0000")</f>
        <v>0030</v>
      </c>
      <c r="G910" s="261" t="str">
        <f t="shared" si="141"/>
        <v>0105</v>
      </c>
      <c r="H910" s="408">
        <f t="shared" si="142"/>
        <v>5</v>
      </c>
      <c r="I910" s="407" t="s">
        <v>1448</v>
      </c>
      <c r="J910" s="413" t="s">
        <v>98</v>
      </c>
      <c r="K910" s="413" t="s">
        <v>103</v>
      </c>
      <c r="L910" s="413" t="s">
        <v>3547</v>
      </c>
      <c r="M910" s="428">
        <v>181000000</v>
      </c>
      <c r="N910" s="416">
        <v>3996</v>
      </c>
      <c r="O910" s="258" t="s">
        <v>77</v>
      </c>
      <c r="P910" s="413" t="s">
        <v>73</v>
      </c>
      <c r="Q910" s="413" t="s">
        <v>72</v>
      </c>
      <c r="R910" s="416">
        <v>4</v>
      </c>
      <c r="S910" s="410">
        <v>1</v>
      </c>
      <c r="T910" s="261">
        <v>6</v>
      </c>
      <c r="U910" s="261">
        <v>6</v>
      </c>
      <c r="V910" s="258" t="s">
        <v>71</v>
      </c>
      <c r="W910" s="261" t="str">
        <f t="shared" si="144"/>
        <v>PORSCHECayenneCayenne coupe turbo GT181000000</v>
      </c>
      <c r="X910" s="411">
        <f t="shared" si="145"/>
        <v>4684</v>
      </c>
      <c r="Y910" s="261">
        <v>6</v>
      </c>
      <c r="Z910" s="261">
        <v>6</v>
      </c>
      <c r="AA910" s="407" t="s">
        <v>1448</v>
      </c>
      <c r="AB910" s="258" t="s">
        <v>70</v>
      </c>
      <c r="AC910" s="258"/>
      <c r="AD910" s="258">
        <v>5</v>
      </c>
      <c r="AE910" s="258">
        <v>2</v>
      </c>
      <c r="AF910" s="259"/>
      <c r="AG910" s="260"/>
      <c r="AH910" s="259"/>
      <c r="AI910" s="259"/>
      <c r="AJ910" s="259"/>
      <c r="AK910" s="259">
        <v>12</v>
      </c>
      <c r="AL910" s="259"/>
      <c r="AM910" s="259" t="s">
        <v>3661</v>
      </c>
      <c r="AN910" s="449"/>
      <c r="AO910" s="449"/>
      <c r="AP910" s="449"/>
      <c r="AQ910" s="392" t="str">
        <f>IFERROR(VLOOKUP(BG910,#REF!,1,0),"")</f>
        <v/>
      </c>
      <c r="AS910" s="259" t="s">
        <v>3189</v>
      </c>
      <c r="BD910" s="202" t="str">
        <f t="shared" si="137"/>
        <v>CayenneCayenne coupe turbo GT</v>
      </c>
      <c r="BE910" s="261" t="str">
        <f t="shared" si="143"/>
        <v>0105</v>
      </c>
      <c r="BF910" s="407" t="s">
        <v>1448</v>
      </c>
      <c r="BG910" s="202" t="str">
        <f t="shared" si="138"/>
        <v>0105-0909</v>
      </c>
    </row>
    <row r="911" spans="1:59">
      <c r="A911" s="405">
        <v>4685</v>
      </c>
      <c r="B911" s="406">
        <v>4685</v>
      </c>
      <c r="C911" s="261" t="str">
        <f t="shared" si="139"/>
        <v>0030-0105</v>
      </c>
      <c r="D911" s="261" t="str">
        <f t="shared" si="140"/>
        <v>0030-0105-0006</v>
      </c>
      <c r="E911" s="407" t="s">
        <v>1449</v>
      </c>
      <c r="F911" s="261" t="str">
        <f>TEXT(VLOOKUP(J911,'[3]1'!$B$2:$D$37,2,0),"0000")</f>
        <v>0030</v>
      </c>
      <c r="G911" s="261" t="str">
        <f t="shared" si="141"/>
        <v>0105</v>
      </c>
      <c r="H911" s="408">
        <f t="shared" si="142"/>
        <v>6</v>
      </c>
      <c r="I911" s="407" t="s">
        <v>1449</v>
      </c>
      <c r="J911" s="258" t="s">
        <v>98</v>
      </c>
      <c r="K911" s="258" t="s">
        <v>103</v>
      </c>
      <c r="L911" s="258" t="s">
        <v>1955</v>
      </c>
      <c r="M911" s="409">
        <v>119000000</v>
      </c>
      <c r="N911" s="258">
        <v>2995</v>
      </c>
      <c r="O911" s="258" t="s">
        <v>1173</v>
      </c>
      <c r="P911" s="258" t="s">
        <v>73</v>
      </c>
      <c r="Q911" s="258" t="s">
        <v>72</v>
      </c>
      <c r="R911" s="258">
        <v>5</v>
      </c>
      <c r="S911" s="410">
        <v>1</v>
      </c>
      <c r="T911" s="261">
        <v>6</v>
      </c>
      <c r="U911" s="261">
        <v>6</v>
      </c>
      <c r="V911" s="258" t="s">
        <v>71</v>
      </c>
      <c r="W911" s="261" t="str">
        <f t="shared" si="144"/>
        <v>PORSCHECayenneCayenne E-hybrid119000000</v>
      </c>
      <c r="X911" s="411">
        <f t="shared" si="145"/>
        <v>4685</v>
      </c>
      <c r="Y911" s="261">
        <v>6</v>
      </c>
      <c r="Z911" s="261">
        <v>6</v>
      </c>
      <c r="AA911" s="407" t="s">
        <v>1449</v>
      </c>
      <c r="AB911" s="258" t="s">
        <v>70</v>
      </c>
      <c r="AC911" s="258"/>
      <c r="AD911" s="258">
        <v>5</v>
      </c>
      <c r="AE911" s="258">
        <v>0</v>
      </c>
      <c r="AF911" s="259"/>
      <c r="AG911" s="260"/>
      <c r="AH911" s="259"/>
      <c r="AI911" s="259"/>
      <c r="AJ911" s="259"/>
      <c r="AK911" s="259">
        <v>6</v>
      </c>
      <c r="AL911" s="259"/>
      <c r="AM911" s="259" t="s">
        <v>3964</v>
      </c>
      <c r="AN911" s="449"/>
      <c r="AO911" s="449"/>
      <c r="AP911" s="449"/>
      <c r="AQ911" s="392" t="str">
        <f>IFERROR(VLOOKUP(BG911,#REF!,1,0),"")</f>
        <v/>
      </c>
      <c r="AS911" s="259" t="s">
        <v>3189</v>
      </c>
      <c r="AW911" s="392" t="s">
        <v>3959</v>
      </c>
      <c r="BD911" s="202" t="str">
        <f t="shared" si="137"/>
        <v>CayenneCayenne E-hybrid</v>
      </c>
      <c r="BE911" s="261" t="str">
        <f t="shared" si="143"/>
        <v>0105</v>
      </c>
      <c r="BF911" s="407" t="s">
        <v>1449</v>
      </c>
      <c r="BG911" s="202" t="str">
        <f t="shared" si="138"/>
        <v>0105-0910</v>
      </c>
    </row>
    <row r="912" spans="1:59">
      <c r="A912" s="405">
        <v>4686</v>
      </c>
      <c r="B912" s="406">
        <v>4686</v>
      </c>
      <c r="C912" s="261" t="str">
        <f t="shared" si="139"/>
        <v>0030-0106</v>
      </c>
      <c r="D912" s="261" t="str">
        <f t="shared" si="140"/>
        <v>0030-0106-0001</v>
      </c>
      <c r="E912" s="407" t="s">
        <v>1450</v>
      </c>
      <c r="F912" s="261" t="str">
        <f>TEXT(VLOOKUP(J912,'[3]1'!$B$2:$D$37,2,0),"0000")</f>
        <v>0030</v>
      </c>
      <c r="G912" s="261" t="str">
        <f t="shared" si="141"/>
        <v>0106</v>
      </c>
      <c r="H912" s="408">
        <f t="shared" si="142"/>
        <v>1</v>
      </c>
      <c r="I912" s="407" t="s">
        <v>1450</v>
      </c>
      <c r="J912" s="258" t="s">
        <v>98</v>
      </c>
      <c r="K912" s="258" t="s">
        <v>102</v>
      </c>
      <c r="L912" s="258" t="s">
        <v>2901</v>
      </c>
      <c r="M912" s="409">
        <v>114800000</v>
      </c>
      <c r="N912" s="258">
        <v>3995</v>
      </c>
      <c r="O912" s="258" t="s">
        <v>77</v>
      </c>
      <c r="P912" s="258" t="s">
        <v>73</v>
      </c>
      <c r="Q912" s="258" t="s">
        <v>72</v>
      </c>
      <c r="R912" s="258">
        <v>2</v>
      </c>
      <c r="S912" s="410">
        <v>26</v>
      </c>
      <c r="T912" s="261">
        <v>6</v>
      </c>
      <c r="U912" s="261">
        <v>6</v>
      </c>
      <c r="V912" s="258" t="s">
        <v>71</v>
      </c>
      <c r="W912" s="261" t="str">
        <f t="shared" si="144"/>
        <v>PORSCHECayman718 Cayman GTS 4.0114800000</v>
      </c>
      <c r="X912" s="411">
        <f t="shared" si="145"/>
        <v>4686</v>
      </c>
      <c r="Y912" s="261">
        <v>6</v>
      </c>
      <c r="Z912" s="261">
        <v>6</v>
      </c>
      <c r="AA912" s="407" t="s">
        <v>1450</v>
      </c>
      <c r="AB912" s="258" t="s">
        <v>73</v>
      </c>
      <c r="AC912" s="258"/>
      <c r="AD912" s="258">
        <v>5</v>
      </c>
      <c r="AE912" s="258">
        <v>2</v>
      </c>
      <c r="AF912" s="259"/>
      <c r="AG912" s="260"/>
      <c r="AH912" s="259"/>
      <c r="AI912" s="259"/>
      <c r="AJ912" s="259"/>
      <c r="AK912" s="259">
        <v>6</v>
      </c>
      <c r="AL912" s="259"/>
      <c r="AM912" s="259" t="s">
        <v>3964</v>
      </c>
      <c r="AN912" s="449"/>
      <c r="AO912" s="449"/>
      <c r="AP912" s="449"/>
      <c r="AS912" s="259" t="s">
        <v>3681</v>
      </c>
      <c r="AW912" s="392" t="s">
        <v>3959</v>
      </c>
      <c r="BD912" s="202" t="str">
        <f t="shared" si="137"/>
        <v>Cayman718 Cayman GTS 4.0</v>
      </c>
      <c r="BE912" s="261" t="str">
        <f t="shared" si="143"/>
        <v>0106</v>
      </c>
      <c r="BF912" s="407" t="s">
        <v>1450</v>
      </c>
      <c r="BG912" s="202" t="str">
        <f t="shared" si="138"/>
        <v>0106-0911</v>
      </c>
    </row>
    <row r="913" spans="1:59">
      <c r="A913" s="405">
        <v>4687</v>
      </c>
      <c r="B913" s="406">
        <v>4687</v>
      </c>
      <c r="C913" s="261" t="str">
        <f t="shared" si="139"/>
        <v>0030-0107</v>
      </c>
      <c r="D913" s="261" t="str">
        <f t="shared" si="140"/>
        <v>0030-0107-0001</v>
      </c>
      <c r="E913" s="407" t="s">
        <v>1451</v>
      </c>
      <c r="F913" s="261" t="str">
        <f>TEXT(VLOOKUP(J913,'[3]1'!$B$2:$D$37,2,0),"0000")</f>
        <v>0030</v>
      </c>
      <c r="G913" s="261" t="str">
        <f t="shared" si="141"/>
        <v>0107</v>
      </c>
      <c r="H913" s="408">
        <f t="shared" si="142"/>
        <v>1</v>
      </c>
      <c r="I913" s="407" t="s">
        <v>1451</v>
      </c>
      <c r="J913" s="258" t="s">
        <v>98</v>
      </c>
      <c r="K913" s="258" t="s">
        <v>100</v>
      </c>
      <c r="L913" s="258" t="s">
        <v>100</v>
      </c>
      <c r="M913" s="409">
        <v>74500000</v>
      </c>
      <c r="N913" s="258">
        <v>1984</v>
      </c>
      <c r="O913" s="258" t="s">
        <v>77</v>
      </c>
      <c r="P913" s="258" t="s">
        <v>73</v>
      </c>
      <c r="Q913" s="258" t="s">
        <v>72</v>
      </c>
      <c r="R913" s="258">
        <v>5</v>
      </c>
      <c r="S913" s="410">
        <v>4</v>
      </c>
      <c r="T913" s="261">
        <v>6</v>
      </c>
      <c r="U913" s="261">
        <v>6</v>
      </c>
      <c r="V913" s="258" t="s">
        <v>71</v>
      </c>
      <c r="W913" s="261" t="str">
        <f t="shared" si="144"/>
        <v>PORSCHEMacanMacan74500000</v>
      </c>
      <c r="X913" s="411">
        <f t="shared" si="145"/>
        <v>4687</v>
      </c>
      <c r="Y913" s="261">
        <v>6</v>
      </c>
      <c r="Z913" s="261">
        <v>6</v>
      </c>
      <c r="AA913" s="407" t="s">
        <v>1451</v>
      </c>
      <c r="AB913" s="258" t="s">
        <v>70</v>
      </c>
      <c r="AC913" s="258"/>
      <c r="AD913" s="258">
        <v>3</v>
      </c>
      <c r="AE913" s="258">
        <v>0</v>
      </c>
      <c r="AF913" s="259"/>
      <c r="AG913" s="260"/>
      <c r="AH913" s="259"/>
      <c r="AI913" s="259"/>
      <c r="AJ913" s="259"/>
      <c r="AK913" s="259">
        <v>9</v>
      </c>
      <c r="AL913" s="259"/>
      <c r="AM913" s="259" t="s">
        <v>3962</v>
      </c>
      <c r="AN913" s="449"/>
      <c r="AO913" s="449"/>
      <c r="AP913" s="449"/>
      <c r="AQ913" s="392" t="str">
        <f>IFERROR(VLOOKUP(BG913,#REF!,1,0),"")</f>
        <v/>
      </c>
      <c r="AS913" s="259" t="s">
        <v>3226</v>
      </c>
      <c r="AW913" s="392" t="s">
        <v>3958</v>
      </c>
      <c r="BD913" s="202" t="str">
        <f t="shared" si="137"/>
        <v>MacanMacan</v>
      </c>
      <c r="BE913" s="261" t="str">
        <f t="shared" si="143"/>
        <v>0107</v>
      </c>
      <c r="BF913" s="407" t="s">
        <v>1451</v>
      </c>
      <c r="BG913" s="202" t="str">
        <f t="shared" si="138"/>
        <v>0107-0912</v>
      </c>
    </row>
    <row r="914" spans="1:59">
      <c r="A914" s="405">
        <v>4688</v>
      </c>
      <c r="B914" s="406">
        <v>4688</v>
      </c>
      <c r="C914" s="261" t="str">
        <f t="shared" si="139"/>
        <v>0030-0107</v>
      </c>
      <c r="D914" s="261" t="str">
        <f t="shared" si="140"/>
        <v>0030-0107-0002</v>
      </c>
      <c r="E914" s="407" t="s">
        <v>1452</v>
      </c>
      <c r="F914" s="261" t="str">
        <f>TEXT(VLOOKUP(J914,'[3]1'!$B$2:$D$37,2,0),"0000")</f>
        <v>0030</v>
      </c>
      <c r="G914" s="261" t="str">
        <f t="shared" si="141"/>
        <v>0107</v>
      </c>
      <c r="H914" s="408">
        <f t="shared" si="142"/>
        <v>2</v>
      </c>
      <c r="I914" s="407" t="s">
        <v>1452</v>
      </c>
      <c r="J914" s="258" t="s">
        <v>98</v>
      </c>
      <c r="K914" s="258" t="s">
        <v>100</v>
      </c>
      <c r="L914" s="258" t="s">
        <v>3551</v>
      </c>
      <c r="M914" s="409">
        <v>74500000</v>
      </c>
      <c r="N914" s="258">
        <v>1984</v>
      </c>
      <c r="O914" s="258" t="s">
        <v>77</v>
      </c>
      <c r="P914" s="258" t="s">
        <v>73</v>
      </c>
      <c r="Q914" s="258" t="s">
        <v>72</v>
      </c>
      <c r="R914" s="258">
        <v>5</v>
      </c>
      <c r="S914" s="410">
        <v>26</v>
      </c>
      <c r="T914" s="261">
        <v>6</v>
      </c>
      <c r="U914" s="261">
        <v>6</v>
      </c>
      <c r="V914" s="258" t="s">
        <v>71</v>
      </c>
      <c r="W914" s="261" t="str">
        <f t="shared" si="144"/>
        <v>PORSCHEMacanMarcan Turbo74500000</v>
      </c>
      <c r="X914" s="411">
        <f t="shared" si="145"/>
        <v>4688</v>
      </c>
      <c r="Y914" s="261">
        <v>6</v>
      </c>
      <c r="Z914" s="261">
        <v>6</v>
      </c>
      <c r="AA914" s="407" t="s">
        <v>1452</v>
      </c>
      <c r="AB914" s="258" t="s">
        <v>70</v>
      </c>
      <c r="AC914" s="258"/>
      <c r="AD914" s="258">
        <v>3</v>
      </c>
      <c r="AE914" s="258">
        <v>0</v>
      </c>
      <c r="AF914" s="259"/>
      <c r="AG914" s="260"/>
      <c r="AH914" s="259"/>
      <c r="AI914" s="259"/>
      <c r="AJ914" s="259"/>
      <c r="AK914" s="259">
        <v>14</v>
      </c>
      <c r="AL914" s="259"/>
      <c r="AM914" s="259" t="s">
        <v>3663</v>
      </c>
      <c r="AN914" s="449"/>
      <c r="AO914" s="449"/>
      <c r="AP914" s="449"/>
      <c r="AS914" s="259" t="s">
        <v>3681</v>
      </c>
      <c r="BD914" s="202" t="str">
        <f t="shared" si="137"/>
        <v>MacanMarcan Turbo</v>
      </c>
      <c r="BE914" s="261" t="str">
        <f t="shared" si="143"/>
        <v>0107</v>
      </c>
      <c r="BF914" s="407" t="s">
        <v>1452</v>
      </c>
      <c r="BG914" s="202" t="str">
        <f t="shared" si="138"/>
        <v>0107-0913</v>
      </c>
    </row>
    <row r="915" spans="1:59">
      <c r="A915" s="405">
        <v>4689</v>
      </c>
      <c r="B915" s="406">
        <v>4689</v>
      </c>
      <c r="C915" s="261" t="str">
        <f t="shared" si="139"/>
        <v>0030-0107</v>
      </c>
      <c r="D915" s="261" t="str">
        <f t="shared" si="140"/>
        <v>0030-0107-0003</v>
      </c>
      <c r="E915" s="407" t="s">
        <v>1453</v>
      </c>
      <c r="F915" s="261" t="str">
        <f>TEXT(VLOOKUP(J915,'[3]1'!$B$2:$D$37,2,0),"0000")</f>
        <v>0030</v>
      </c>
      <c r="G915" s="261" t="str">
        <f t="shared" si="141"/>
        <v>0107</v>
      </c>
      <c r="H915" s="408">
        <f t="shared" si="142"/>
        <v>3</v>
      </c>
      <c r="I915" s="407" t="s">
        <v>1453</v>
      </c>
      <c r="J915" s="258" t="s">
        <v>98</v>
      </c>
      <c r="K915" s="258" t="s">
        <v>100</v>
      </c>
      <c r="L915" s="258" t="s">
        <v>101</v>
      </c>
      <c r="M915" s="409">
        <v>101100000</v>
      </c>
      <c r="N915" s="258">
        <v>2997</v>
      </c>
      <c r="O915" s="258" t="s">
        <v>77</v>
      </c>
      <c r="P915" s="258" t="s">
        <v>73</v>
      </c>
      <c r="Q915" s="258" t="s">
        <v>72</v>
      </c>
      <c r="R915" s="258">
        <v>5</v>
      </c>
      <c r="S915" s="410">
        <v>4</v>
      </c>
      <c r="T915" s="261">
        <v>6</v>
      </c>
      <c r="U915" s="261">
        <v>6</v>
      </c>
      <c r="V915" s="258" t="s">
        <v>71</v>
      </c>
      <c r="W915" s="261" t="str">
        <f t="shared" si="144"/>
        <v>PORSCHEMacanMacan GTS101100000</v>
      </c>
      <c r="X915" s="411">
        <f t="shared" si="145"/>
        <v>4689</v>
      </c>
      <c r="Y915" s="261">
        <v>6</v>
      </c>
      <c r="Z915" s="261">
        <v>6</v>
      </c>
      <c r="AA915" s="407" t="s">
        <v>1453</v>
      </c>
      <c r="AB915" s="258" t="s">
        <v>70</v>
      </c>
      <c r="AC915" s="258"/>
      <c r="AD915" s="258">
        <v>3</v>
      </c>
      <c r="AE915" s="258">
        <v>0</v>
      </c>
      <c r="AF915" s="259"/>
      <c r="AG915" s="260"/>
      <c r="AH915" s="259"/>
      <c r="AI915" s="259"/>
      <c r="AJ915" s="259"/>
      <c r="AK915" s="259">
        <v>11</v>
      </c>
      <c r="AL915" s="259"/>
      <c r="AM915" s="259" t="s">
        <v>3965</v>
      </c>
      <c r="AN915" s="449"/>
      <c r="AO915" s="449"/>
      <c r="AP915" s="449"/>
      <c r="AQ915" s="392" t="str">
        <f>IFERROR(VLOOKUP(BG915,#REF!,1,0),"")</f>
        <v/>
      </c>
      <c r="AS915" s="259" t="s">
        <v>3226</v>
      </c>
      <c r="AW915" s="392" t="s">
        <v>3959</v>
      </c>
      <c r="BD915" s="202" t="str">
        <f t="shared" si="137"/>
        <v>MacanMacan GTS</v>
      </c>
      <c r="BE915" s="261" t="str">
        <f t="shared" si="143"/>
        <v>0107</v>
      </c>
      <c r="BF915" s="407" t="s">
        <v>1453</v>
      </c>
      <c r="BG915" s="202" t="str">
        <f t="shared" si="138"/>
        <v>0107-0914</v>
      </c>
    </row>
    <row r="916" spans="1:59">
      <c r="A916" s="405">
        <v>4690</v>
      </c>
      <c r="B916" s="406">
        <v>4690</v>
      </c>
      <c r="C916" s="261" t="str">
        <f t="shared" si="139"/>
        <v>0030-0108</v>
      </c>
      <c r="D916" s="261" t="str">
        <f t="shared" si="140"/>
        <v>0030-0108-0001</v>
      </c>
      <c r="E916" s="407" t="s">
        <v>1454</v>
      </c>
      <c r="F916" s="261" t="str">
        <f>TEXT(VLOOKUP(J916,'[3]1'!$B$2:$D$37,2,0),"0000")</f>
        <v>0030</v>
      </c>
      <c r="G916" s="261" t="str">
        <f t="shared" si="141"/>
        <v>0108</v>
      </c>
      <c r="H916" s="408">
        <f t="shared" si="142"/>
        <v>1</v>
      </c>
      <c r="I916" s="407" t="s">
        <v>1454</v>
      </c>
      <c r="J916" s="258" t="s">
        <v>98</v>
      </c>
      <c r="K916" s="258" t="s">
        <v>2856</v>
      </c>
      <c r="L916" s="258" t="s">
        <v>2857</v>
      </c>
      <c r="M916" s="409">
        <v>140300000</v>
      </c>
      <c r="N916" s="258">
        <v>2995</v>
      </c>
      <c r="O916" s="258" t="s">
        <v>77</v>
      </c>
      <c r="P916" s="258" t="s">
        <v>73</v>
      </c>
      <c r="Q916" s="258" t="s">
        <v>72</v>
      </c>
      <c r="R916" s="258">
        <v>4</v>
      </c>
      <c r="S916" s="410">
        <v>1</v>
      </c>
      <c r="T916" s="261">
        <v>6</v>
      </c>
      <c r="U916" s="261">
        <v>6</v>
      </c>
      <c r="V916" s="258" t="s">
        <v>71</v>
      </c>
      <c r="W916" s="261" t="str">
        <f t="shared" si="144"/>
        <v>PORSCHEPanameraPanamera 4140300000</v>
      </c>
      <c r="X916" s="411">
        <f t="shared" si="145"/>
        <v>4690</v>
      </c>
      <c r="Y916" s="261">
        <v>6</v>
      </c>
      <c r="Z916" s="261">
        <v>6</v>
      </c>
      <c r="AA916" s="407" t="s">
        <v>1454</v>
      </c>
      <c r="AB916" s="258" t="s">
        <v>73</v>
      </c>
      <c r="AC916" s="258"/>
      <c r="AD916" s="258">
        <v>5</v>
      </c>
      <c r="AE916" s="258">
        <v>2</v>
      </c>
      <c r="AF916" s="259"/>
      <c r="AG916" s="260"/>
      <c r="AH916" s="259"/>
      <c r="AI916" s="259"/>
      <c r="AJ916" s="259"/>
      <c r="AK916" s="259">
        <v>6</v>
      </c>
      <c r="AL916" s="259"/>
      <c r="AM916" s="259" t="s">
        <v>3964</v>
      </c>
      <c r="AN916" s="449"/>
      <c r="AO916" s="449"/>
      <c r="AP916" s="449"/>
      <c r="AQ916" s="392" t="str">
        <f>IFERROR(VLOOKUP(BG916,#REF!,1,0),"")</f>
        <v/>
      </c>
      <c r="AS916" s="259" t="s">
        <v>3189</v>
      </c>
      <c r="AW916" s="392" t="s">
        <v>3959</v>
      </c>
      <c r="BD916" s="202" t="str">
        <f t="shared" si="137"/>
        <v>PanameraPanamera 4</v>
      </c>
      <c r="BE916" s="261" t="str">
        <f t="shared" si="143"/>
        <v>0108</v>
      </c>
      <c r="BF916" s="407" t="s">
        <v>1454</v>
      </c>
      <c r="BG916" s="202" t="str">
        <f t="shared" si="138"/>
        <v>0108-0915</v>
      </c>
    </row>
    <row r="917" spans="1:59">
      <c r="A917" s="405">
        <v>4691</v>
      </c>
      <c r="B917" s="406">
        <v>4691</v>
      </c>
      <c r="C917" s="261" t="str">
        <f t="shared" si="139"/>
        <v>0030-0108</v>
      </c>
      <c r="D917" s="261" t="str">
        <f t="shared" si="140"/>
        <v>0030-0108-0002</v>
      </c>
      <c r="E917" s="407" t="s">
        <v>1455</v>
      </c>
      <c r="F917" s="261" t="str">
        <f>TEXT(VLOOKUP(J917,'[3]1'!$B$2:$D$37,2,0),"0000")</f>
        <v>0030</v>
      </c>
      <c r="G917" s="261" t="str">
        <f t="shared" si="141"/>
        <v>0108</v>
      </c>
      <c r="H917" s="408">
        <f t="shared" si="142"/>
        <v>2</v>
      </c>
      <c r="I917" s="407" t="s">
        <v>1455</v>
      </c>
      <c r="J917" s="258" t="s">
        <v>98</v>
      </c>
      <c r="K917" s="258" t="s">
        <v>97</v>
      </c>
      <c r="L917" s="258" t="s">
        <v>2860</v>
      </c>
      <c r="M917" s="409">
        <v>206600000</v>
      </c>
      <c r="N917" s="258">
        <v>4806</v>
      </c>
      <c r="O917" s="258" t="s">
        <v>77</v>
      </c>
      <c r="P917" s="258" t="s">
        <v>73</v>
      </c>
      <c r="Q917" s="258" t="s">
        <v>72</v>
      </c>
      <c r="R917" s="258">
        <v>4</v>
      </c>
      <c r="S917" s="410">
        <v>1</v>
      </c>
      <c r="T917" s="261">
        <v>6</v>
      </c>
      <c r="U917" s="261">
        <v>6</v>
      </c>
      <c r="V917" s="258" t="s">
        <v>71</v>
      </c>
      <c r="W917" s="261" t="str">
        <f t="shared" si="144"/>
        <v>PORSCHEPanameraPanamera GTS206600000</v>
      </c>
      <c r="X917" s="411">
        <f t="shared" si="145"/>
        <v>4691</v>
      </c>
      <c r="Y917" s="261">
        <v>6</v>
      </c>
      <c r="Z917" s="261">
        <v>6</v>
      </c>
      <c r="AA917" s="407" t="s">
        <v>1455</v>
      </c>
      <c r="AB917" s="258" t="s">
        <v>73</v>
      </c>
      <c r="AC917" s="258"/>
      <c r="AD917" s="258">
        <v>5</v>
      </c>
      <c r="AE917" s="258">
        <v>0</v>
      </c>
      <c r="AF917" s="259"/>
      <c r="AG917" s="260"/>
      <c r="AH917" s="259"/>
      <c r="AI917" s="259"/>
      <c r="AJ917" s="259"/>
      <c r="AK917" s="259">
        <v>9</v>
      </c>
      <c r="AL917" s="259"/>
      <c r="AM917" s="259" t="s">
        <v>3658</v>
      </c>
      <c r="AN917" s="449"/>
      <c r="AO917" s="449"/>
      <c r="AP917" s="449"/>
      <c r="AQ917" s="392" t="str">
        <f>IFERROR(VLOOKUP(BG917,#REF!,1,0),"")</f>
        <v/>
      </c>
      <c r="AS917" s="259" t="s">
        <v>3189</v>
      </c>
      <c r="BD917" s="202" t="str">
        <f t="shared" si="137"/>
        <v>PanameraPanamera GTS</v>
      </c>
      <c r="BE917" s="261" t="str">
        <f t="shared" si="143"/>
        <v>0108</v>
      </c>
      <c r="BF917" s="407" t="s">
        <v>1455</v>
      </c>
      <c r="BG917" s="202" t="str">
        <f t="shared" si="138"/>
        <v>0108-0916</v>
      </c>
    </row>
    <row r="918" spans="1:59">
      <c r="A918" s="405">
        <v>4692</v>
      </c>
      <c r="B918" s="406">
        <v>4692</v>
      </c>
      <c r="C918" s="261" t="str">
        <f t="shared" si="139"/>
        <v>0030-0108</v>
      </c>
      <c r="D918" s="261" t="str">
        <f t="shared" si="140"/>
        <v>0030-0108-0003</v>
      </c>
      <c r="E918" s="407" t="s">
        <v>1456</v>
      </c>
      <c r="F918" s="261" t="str">
        <f>TEXT(VLOOKUP(J918,'[3]1'!$B$2:$D$37,2,0),"0000")</f>
        <v>0030</v>
      </c>
      <c r="G918" s="261" t="str">
        <f t="shared" si="141"/>
        <v>0108</v>
      </c>
      <c r="H918" s="408">
        <f t="shared" si="142"/>
        <v>3</v>
      </c>
      <c r="I918" s="407" t="s">
        <v>1456</v>
      </c>
      <c r="J918" s="258" t="s">
        <v>98</v>
      </c>
      <c r="K918" s="258" t="s">
        <v>97</v>
      </c>
      <c r="L918" s="258" t="s">
        <v>2861</v>
      </c>
      <c r="M918" s="409">
        <v>252400000</v>
      </c>
      <c r="N918" s="258">
        <v>3996</v>
      </c>
      <c r="O918" s="258" t="s">
        <v>77</v>
      </c>
      <c r="P918" s="258" t="s">
        <v>73</v>
      </c>
      <c r="Q918" s="258" t="s">
        <v>72</v>
      </c>
      <c r="R918" s="258">
        <v>4</v>
      </c>
      <c r="S918" s="410">
        <v>5</v>
      </c>
      <c r="T918" s="261">
        <v>6</v>
      </c>
      <c r="U918" s="261">
        <v>6</v>
      </c>
      <c r="V918" s="258" t="s">
        <v>71</v>
      </c>
      <c r="W918" s="261" t="str">
        <f t="shared" si="144"/>
        <v>PORSCHEPanameraPanamera Turbo252400000</v>
      </c>
      <c r="X918" s="411">
        <f t="shared" si="145"/>
        <v>4692</v>
      </c>
      <c r="Y918" s="261">
        <v>6</v>
      </c>
      <c r="Z918" s="261">
        <v>6</v>
      </c>
      <c r="AA918" s="407" t="s">
        <v>1456</v>
      </c>
      <c r="AB918" s="258" t="s">
        <v>73</v>
      </c>
      <c r="AC918" s="258"/>
      <c r="AD918" s="258">
        <v>5</v>
      </c>
      <c r="AE918" s="258">
        <v>0</v>
      </c>
      <c r="AF918" s="259"/>
      <c r="AG918" s="260"/>
      <c r="AH918" s="259"/>
      <c r="AI918" s="259"/>
      <c r="AJ918" s="259"/>
      <c r="AK918" s="259">
        <v>12</v>
      </c>
      <c r="AL918" s="259"/>
      <c r="AM918" s="259" t="s">
        <v>3661</v>
      </c>
      <c r="AN918" s="449"/>
      <c r="AO918" s="449"/>
      <c r="AP918" s="449"/>
      <c r="AQ918" s="392" t="str">
        <f>IFERROR(VLOOKUP(BG918,#REF!,1,0),"")</f>
        <v/>
      </c>
      <c r="AS918" s="259" t="s">
        <v>93</v>
      </c>
      <c r="BD918" s="202" t="str">
        <f t="shared" si="137"/>
        <v>PanameraPanamera Turbo</v>
      </c>
      <c r="BE918" s="261" t="str">
        <f t="shared" si="143"/>
        <v>0108</v>
      </c>
      <c r="BF918" s="407" t="s">
        <v>1456</v>
      </c>
      <c r="BG918" s="202" t="str">
        <f t="shared" si="138"/>
        <v>0108-0917</v>
      </c>
    </row>
    <row r="919" spans="1:59">
      <c r="A919" s="405">
        <v>4693</v>
      </c>
      <c r="B919" s="406">
        <v>4693</v>
      </c>
      <c r="C919" s="261" t="str">
        <f t="shared" si="139"/>
        <v>0030-0108</v>
      </c>
      <c r="D919" s="261" t="str">
        <f t="shared" si="140"/>
        <v>0030-0108-0004</v>
      </c>
      <c r="E919" s="407" t="s">
        <v>1457</v>
      </c>
      <c r="F919" s="261" t="str">
        <f>TEXT(VLOOKUP(J919,'[3]1'!$B$2:$D$37,2,0),"0000")</f>
        <v>0030</v>
      </c>
      <c r="G919" s="261" t="str">
        <f t="shared" si="141"/>
        <v>0108</v>
      </c>
      <c r="H919" s="408">
        <f t="shared" si="142"/>
        <v>4</v>
      </c>
      <c r="I919" s="407" t="s">
        <v>1457</v>
      </c>
      <c r="J919" s="258" t="s">
        <v>98</v>
      </c>
      <c r="K919" s="258" t="s">
        <v>97</v>
      </c>
      <c r="L919" s="258" t="s">
        <v>3546</v>
      </c>
      <c r="M919" s="409">
        <v>152500000</v>
      </c>
      <c r="N919" s="258">
        <v>2894</v>
      </c>
      <c r="O919" s="258" t="s">
        <v>77</v>
      </c>
      <c r="P919" s="258" t="s">
        <v>73</v>
      </c>
      <c r="Q919" s="258" t="s">
        <v>72</v>
      </c>
      <c r="R919" s="258">
        <v>4</v>
      </c>
      <c r="S919" s="410">
        <v>1</v>
      </c>
      <c r="T919" s="261">
        <v>6</v>
      </c>
      <c r="U919" s="261">
        <v>6</v>
      </c>
      <c r="V919" s="258" t="s">
        <v>71</v>
      </c>
      <c r="W919" s="261" t="str">
        <f t="shared" si="144"/>
        <v>PORSCHEPanameraPanamera 4 Executive152500000</v>
      </c>
      <c r="X919" s="411">
        <f t="shared" si="145"/>
        <v>4693</v>
      </c>
      <c r="Y919" s="261">
        <v>6</v>
      </c>
      <c r="Z919" s="261">
        <v>6</v>
      </c>
      <c r="AA919" s="407" t="s">
        <v>1457</v>
      </c>
      <c r="AB919" s="258" t="s">
        <v>73</v>
      </c>
      <c r="AC919" s="258"/>
      <c r="AD919" s="258"/>
      <c r="AE919" s="258"/>
      <c r="AF919" s="259"/>
      <c r="AG919" s="260"/>
      <c r="AH919" s="259"/>
      <c r="AI919" s="259"/>
      <c r="AJ919" s="259"/>
      <c r="AK919" s="259">
        <v>6</v>
      </c>
      <c r="AL919" s="259"/>
      <c r="AM919" s="259" t="s">
        <v>3964</v>
      </c>
      <c r="AN919" s="449"/>
      <c r="AO919" s="449"/>
      <c r="AP919" s="449"/>
      <c r="AQ919" s="392" t="str">
        <f>IFERROR(VLOOKUP(BG919,#REF!,1,0),"")</f>
        <v/>
      </c>
      <c r="AS919" s="259" t="s">
        <v>3189</v>
      </c>
      <c r="AT919" s="392" t="s">
        <v>3171</v>
      </c>
      <c r="AW919" s="392" t="s">
        <v>3959</v>
      </c>
      <c r="BD919" s="202" t="str">
        <f t="shared" si="137"/>
        <v>PanameraPanamera 4 Executive</v>
      </c>
      <c r="BE919" s="261" t="str">
        <f t="shared" si="143"/>
        <v>0108</v>
      </c>
      <c r="BF919" s="407" t="s">
        <v>1457</v>
      </c>
      <c r="BG919" s="202" t="str">
        <f t="shared" si="138"/>
        <v>0108-0918</v>
      </c>
    </row>
    <row r="920" spans="1:59">
      <c r="A920" s="405">
        <v>4694</v>
      </c>
      <c r="B920" s="406">
        <v>4694</v>
      </c>
      <c r="C920" s="261" t="str">
        <f t="shared" si="139"/>
        <v>0030-0108</v>
      </c>
      <c r="D920" s="261" t="str">
        <f t="shared" si="140"/>
        <v>0030-0108-0005</v>
      </c>
      <c r="E920" s="407" t="s">
        <v>1458</v>
      </c>
      <c r="F920" s="261" t="str">
        <f>TEXT(VLOOKUP(J920,'[3]1'!$B$2:$D$37,2,0),"0000")</f>
        <v>0030</v>
      </c>
      <c r="G920" s="261" t="str">
        <f t="shared" si="141"/>
        <v>0108</v>
      </c>
      <c r="H920" s="408">
        <f t="shared" si="142"/>
        <v>5</v>
      </c>
      <c r="I920" s="407" t="s">
        <v>1458</v>
      </c>
      <c r="J920" s="258" t="s">
        <v>98</v>
      </c>
      <c r="K920" s="258" t="s">
        <v>97</v>
      </c>
      <c r="L920" s="258" t="s">
        <v>2858</v>
      </c>
      <c r="M920" s="409">
        <v>163100000</v>
      </c>
      <c r="N920" s="258">
        <v>2894</v>
      </c>
      <c r="O920" s="258" t="s">
        <v>74</v>
      </c>
      <c r="P920" s="258" t="s">
        <v>73</v>
      </c>
      <c r="Q920" s="258" t="s">
        <v>72</v>
      </c>
      <c r="R920" s="258">
        <v>4</v>
      </c>
      <c r="S920" s="410">
        <v>1</v>
      </c>
      <c r="T920" s="261">
        <v>6</v>
      </c>
      <c r="U920" s="261">
        <v>6</v>
      </c>
      <c r="V920" s="258" t="s">
        <v>71</v>
      </c>
      <c r="W920" s="261" t="str">
        <f t="shared" si="144"/>
        <v>PORSCHEPanameraPanamera 4 E-하이브리드163100000</v>
      </c>
      <c r="X920" s="411">
        <f t="shared" si="145"/>
        <v>4694</v>
      </c>
      <c r="Y920" s="261">
        <v>6</v>
      </c>
      <c r="Z920" s="261">
        <v>6</v>
      </c>
      <c r="AA920" s="407" t="s">
        <v>1458</v>
      </c>
      <c r="AB920" s="258" t="s">
        <v>73</v>
      </c>
      <c r="AC920" s="258"/>
      <c r="AD920" s="258">
        <v>6</v>
      </c>
      <c r="AE920" s="258">
        <v>0</v>
      </c>
      <c r="AF920" s="259"/>
      <c r="AG920" s="260"/>
      <c r="AH920" s="259"/>
      <c r="AI920" s="259"/>
      <c r="AJ920" s="259"/>
      <c r="AK920" s="259">
        <v>6</v>
      </c>
      <c r="AL920" s="259"/>
      <c r="AM920" s="259" t="s">
        <v>3964</v>
      </c>
      <c r="AN920" s="449"/>
      <c r="AO920" s="449"/>
      <c r="AP920" s="449"/>
      <c r="AQ920" s="392" t="str">
        <f>IFERROR(VLOOKUP(BG920,#REF!,1,0),"")</f>
        <v/>
      </c>
      <c r="AS920" s="259" t="s">
        <v>3189</v>
      </c>
      <c r="AW920" s="392" t="s">
        <v>3959</v>
      </c>
      <c r="BD920" s="202" t="str">
        <f t="shared" si="137"/>
        <v>PanameraPanamera 4 E-하이브리드</v>
      </c>
      <c r="BE920" s="261" t="str">
        <f t="shared" si="143"/>
        <v>0108</v>
      </c>
      <c r="BF920" s="407" t="s">
        <v>1458</v>
      </c>
      <c r="BG920" s="202" t="str">
        <f t="shared" si="138"/>
        <v>0108-0919</v>
      </c>
    </row>
    <row r="921" spans="1:59">
      <c r="A921" s="405">
        <v>4695</v>
      </c>
      <c r="B921" s="406">
        <v>4695</v>
      </c>
      <c r="C921" s="261" t="str">
        <f t="shared" si="139"/>
        <v>0030-0108</v>
      </c>
      <c r="D921" s="261" t="str">
        <f t="shared" si="140"/>
        <v>0030-0108-0006</v>
      </c>
      <c r="E921" s="407" t="s">
        <v>1459</v>
      </c>
      <c r="F921" s="261" t="str">
        <f>TEXT(VLOOKUP(J921,'[3]1'!$B$2:$D$37,2,0),"0000")</f>
        <v>0030</v>
      </c>
      <c r="G921" s="261" t="str">
        <f t="shared" si="141"/>
        <v>0108</v>
      </c>
      <c r="H921" s="408">
        <f t="shared" si="142"/>
        <v>6</v>
      </c>
      <c r="I921" s="407" t="s">
        <v>1459</v>
      </c>
      <c r="J921" s="258" t="s">
        <v>98</v>
      </c>
      <c r="K921" s="258" t="s">
        <v>97</v>
      </c>
      <c r="L921" s="258" t="s">
        <v>3503</v>
      </c>
      <c r="M921" s="409">
        <v>308100000</v>
      </c>
      <c r="N921" s="258">
        <v>3996</v>
      </c>
      <c r="O921" s="258" t="s">
        <v>77</v>
      </c>
      <c r="P921" s="258" t="s">
        <v>73</v>
      </c>
      <c r="Q921" s="258" t="s">
        <v>72</v>
      </c>
      <c r="R921" s="258">
        <v>4</v>
      </c>
      <c r="S921" s="410">
        <v>5</v>
      </c>
      <c r="T921" s="261">
        <v>6</v>
      </c>
      <c r="U921" s="261">
        <v>6</v>
      </c>
      <c r="V921" s="258" t="s">
        <v>71</v>
      </c>
      <c r="W921" s="261" t="str">
        <f t="shared" si="144"/>
        <v>PORSCHEPanameraTurbo S308100000</v>
      </c>
      <c r="X921" s="411">
        <f t="shared" si="145"/>
        <v>4695</v>
      </c>
      <c r="Y921" s="261">
        <v>6</v>
      </c>
      <c r="Z921" s="261">
        <v>6</v>
      </c>
      <c r="AA921" s="407" t="s">
        <v>1459</v>
      </c>
      <c r="AB921" s="258" t="s">
        <v>73</v>
      </c>
      <c r="AC921" s="258"/>
      <c r="AD921" s="258">
        <v>5</v>
      </c>
      <c r="AE921" s="258">
        <v>0</v>
      </c>
      <c r="AF921" s="259"/>
      <c r="AG921" s="260"/>
      <c r="AH921" s="259"/>
      <c r="AI921" s="259"/>
      <c r="AJ921" s="259"/>
      <c r="AK921" s="259">
        <v>12</v>
      </c>
      <c r="AL921" s="259"/>
      <c r="AM921" s="259" t="s">
        <v>3661</v>
      </c>
      <c r="AN921" s="449"/>
      <c r="AO921" s="449"/>
      <c r="AP921" s="449"/>
      <c r="AQ921" s="392" t="str">
        <f>IFERROR(VLOOKUP(BG921,#REF!,1,0),"")</f>
        <v/>
      </c>
      <c r="AS921" s="259" t="s">
        <v>93</v>
      </c>
      <c r="AT921" s="392">
        <v>2024.04</v>
      </c>
      <c r="BD921" s="202" t="str">
        <f t="shared" si="137"/>
        <v>PanameraTurbo S</v>
      </c>
      <c r="BE921" s="261" t="str">
        <f t="shared" si="143"/>
        <v>0108</v>
      </c>
      <c r="BF921" s="407" t="s">
        <v>1459</v>
      </c>
      <c r="BG921" s="202" t="str">
        <f t="shared" si="138"/>
        <v>0108-0920</v>
      </c>
    </row>
    <row r="922" spans="1:59">
      <c r="A922" s="405">
        <v>4696</v>
      </c>
      <c r="B922" s="406">
        <v>4696</v>
      </c>
      <c r="C922" s="261" t="str">
        <f t="shared" si="139"/>
        <v>0030-0108</v>
      </c>
      <c r="D922" s="261" t="str">
        <f t="shared" si="140"/>
        <v>0030-0108-0007</v>
      </c>
      <c r="E922" s="407" t="s">
        <v>1460</v>
      </c>
      <c r="F922" s="261" t="str">
        <f>TEXT(VLOOKUP(J922,'[3]1'!$B$2:$D$37,2,0),"0000")</f>
        <v>0030</v>
      </c>
      <c r="G922" s="261" t="str">
        <f t="shared" si="141"/>
        <v>0108</v>
      </c>
      <c r="H922" s="408">
        <f t="shared" si="142"/>
        <v>7</v>
      </c>
      <c r="I922" s="407" t="s">
        <v>1460</v>
      </c>
      <c r="J922" s="258" t="s">
        <v>98</v>
      </c>
      <c r="K922" s="258" t="s">
        <v>97</v>
      </c>
      <c r="L922" s="258" t="s">
        <v>3507</v>
      </c>
      <c r="M922" s="409">
        <v>317800000</v>
      </c>
      <c r="N922" s="258">
        <v>2894</v>
      </c>
      <c r="O922" s="258" t="s">
        <v>74</v>
      </c>
      <c r="P922" s="258" t="s">
        <v>73</v>
      </c>
      <c r="Q922" s="258" t="s">
        <v>72</v>
      </c>
      <c r="R922" s="258">
        <v>4</v>
      </c>
      <c r="S922" s="410">
        <v>5</v>
      </c>
      <c r="T922" s="261">
        <v>6</v>
      </c>
      <c r="U922" s="261">
        <v>6</v>
      </c>
      <c r="V922" s="258" t="s">
        <v>71</v>
      </c>
      <c r="W922" s="261" t="str">
        <f t="shared" si="144"/>
        <v>PORSCHEPanameraTurbo S E-Hybrid317800000</v>
      </c>
      <c r="X922" s="411">
        <f t="shared" si="145"/>
        <v>4696</v>
      </c>
      <c r="Y922" s="261">
        <v>6</v>
      </c>
      <c r="Z922" s="261">
        <v>6</v>
      </c>
      <c r="AA922" s="407" t="s">
        <v>1460</v>
      </c>
      <c r="AB922" s="258" t="s">
        <v>73</v>
      </c>
      <c r="AC922" s="258"/>
      <c r="AD922" s="258">
        <v>6</v>
      </c>
      <c r="AE922" s="258">
        <v>0</v>
      </c>
      <c r="AF922" s="259"/>
      <c r="AG922" s="260"/>
      <c r="AH922" s="259"/>
      <c r="AI922" s="259"/>
      <c r="AJ922" s="259"/>
      <c r="AK922" s="259">
        <v>11</v>
      </c>
      <c r="AL922" s="259"/>
      <c r="AM922" s="259" t="s">
        <v>3965</v>
      </c>
      <c r="AN922" s="449"/>
      <c r="AO922" s="449"/>
      <c r="AP922" s="449"/>
      <c r="AQ922" s="392" t="str">
        <f>IFERROR(VLOOKUP(BG922,#REF!,1,0),"")</f>
        <v/>
      </c>
      <c r="AS922" s="259" t="s">
        <v>93</v>
      </c>
      <c r="AT922" s="392">
        <v>2024.04</v>
      </c>
      <c r="AW922" s="392" t="s">
        <v>3959</v>
      </c>
      <c r="BD922" s="202" t="str">
        <f t="shared" si="137"/>
        <v>PanameraTurbo S E-Hybrid</v>
      </c>
      <c r="BE922" s="261" t="str">
        <f t="shared" si="143"/>
        <v>0108</v>
      </c>
      <c r="BF922" s="407" t="s">
        <v>1460</v>
      </c>
      <c r="BG922" s="202" t="str">
        <f t="shared" si="138"/>
        <v>0108-0921</v>
      </c>
    </row>
    <row r="923" spans="1:59">
      <c r="A923" s="405">
        <v>4697</v>
      </c>
      <c r="B923" s="406">
        <v>4697</v>
      </c>
      <c r="C923" s="261" t="str">
        <f t="shared" si="139"/>
        <v>0030-0109</v>
      </c>
      <c r="D923" s="261" t="str">
        <f t="shared" si="140"/>
        <v>0030-0109-0001</v>
      </c>
      <c r="E923" s="407" t="s">
        <v>1461</v>
      </c>
      <c r="F923" s="261" t="str">
        <f>TEXT(VLOOKUP(J923,'[3]1'!$B$2:$D$37,2,0),"0000")</f>
        <v>0030</v>
      </c>
      <c r="G923" s="261" t="str">
        <f t="shared" si="141"/>
        <v>0109</v>
      </c>
      <c r="H923" s="408">
        <f t="shared" si="142"/>
        <v>1</v>
      </c>
      <c r="I923" s="407" t="s">
        <v>1461</v>
      </c>
      <c r="J923" s="258" t="s">
        <v>98</v>
      </c>
      <c r="K923" s="258" t="s">
        <v>2853</v>
      </c>
      <c r="L923" s="258" t="s">
        <v>3500</v>
      </c>
      <c r="M923" s="409">
        <v>123800000</v>
      </c>
      <c r="N923" s="258">
        <v>0</v>
      </c>
      <c r="O923" s="258" t="s">
        <v>2117</v>
      </c>
      <c r="P923" s="258" t="s">
        <v>73</v>
      </c>
      <c r="Q923" s="258" t="s">
        <v>72</v>
      </c>
      <c r="R923" s="258">
        <v>4</v>
      </c>
      <c r="S923" s="410">
        <v>1</v>
      </c>
      <c r="T923" s="261">
        <v>6</v>
      </c>
      <c r="U923" s="261">
        <v>6</v>
      </c>
      <c r="V923" s="258" t="s">
        <v>1969</v>
      </c>
      <c r="W923" s="261" t="str">
        <f t="shared" si="144"/>
        <v>PORSCHETaycanbase123800000</v>
      </c>
      <c r="X923" s="411">
        <f t="shared" si="145"/>
        <v>4697</v>
      </c>
      <c r="Y923" s="261">
        <v>6</v>
      </c>
      <c r="Z923" s="261">
        <v>6</v>
      </c>
      <c r="AA923" s="407" t="s">
        <v>1461</v>
      </c>
      <c r="AB923" s="267" t="s">
        <v>73</v>
      </c>
      <c r="AC923" s="267"/>
      <c r="AD923" s="267">
        <v>6</v>
      </c>
      <c r="AE923" s="267">
        <v>0</v>
      </c>
      <c r="AF923" s="270"/>
      <c r="AG923" s="307"/>
      <c r="AH923" s="270"/>
      <c r="AI923" s="270"/>
      <c r="AJ923" s="270"/>
      <c r="AK923" s="259">
        <v>15</v>
      </c>
      <c r="AL923" s="259"/>
      <c r="AM923" s="259" t="s">
        <v>3664</v>
      </c>
      <c r="AN923" s="449"/>
      <c r="AO923" s="449"/>
      <c r="AP923" s="449"/>
      <c r="AQ923" s="392" t="str">
        <f>IFERROR(VLOOKUP(BG923,#REF!,1,0),"")</f>
        <v/>
      </c>
      <c r="AS923" s="259" t="s">
        <v>3189</v>
      </c>
      <c r="AT923" s="392" t="s">
        <v>3159</v>
      </c>
      <c r="BD923" s="202" t="str">
        <f t="shared" si="137"/>
        <v>Taycanbase</v>
      </c>
      <c r="BE923" s="261" t="str">
        <f t="shared" si="143"/>
        <v>0109</v>
      </c>
      <c r="BF923" s="407" t="s">
        <v>1461</v>
      </c>
      <c r="BG923" s="202" t="str">
        <f t="shared" si="138"/>
        <v>0109-0922</v>
      </c>
    </row>
    <row r="924" spans="1:59">
      <c r="A924" s="405">
        <v>4698</v>
      </c>
      <c r="B924" s="406">
        <v>4698</v>
      </c>
      <c r="C924" s="261" t="str">
        <f t="shared" si="139"/>
        <v>0030-0109</v>
      </c>
      <c r="D924" s="261" t="str">
        <f t="shared" si="140"/>
        <v>0030-0109-0002</v>
      </c>
      <c r="E924" s="407" t="s">
        <v>1462</v>
      </c>
      <c r="F924" s="261" t="str">
        <f>TEXT(VLOOKUP(J924,'[3]1'!$B$2:$D$37,2,0),"0000")</f>
        <v>0030</v>
      </c>
      <c r="G924" s="261" t="str">
        <f t="shared" si="141"/>
        <v>0109</v>
      </c>
      <c r="H924" s="408">
        <f t="shared" si="142"/>
        <v>2</v>
      </c>
      <c r="I924" s="407" t="s">
        <v>1462</v>
      </c>
      <c r="J924" s="258" t="s">
        <v>98</v>
      </c>
      <c r="K924" s="258" t="s">
        <v>2853</v>
      </c>
      <c r="L924" s="258" t="s">
        <v>3501</v>
      </c>
      <c r="M924" s="409">
        <v>143100000</v>
      </c>
      <c r="N924" s="258">
        <v>0</v>
      </c>
      <c r="O924" s="258" t="s">
        <v>2117</v>
      </c>
      <c r="P924" s="258" t="s">
        <v>73</v>
      </c>
      <c r="Q924" s="258" t="s">
        <v>72</v>
      </c>
      <c r="R924" s="258">
        <v>4</v>
      </c>
      <c r="S924" s="410">
        <v>1</v>
      </c>
      <c r="T924" s="261">
        <v>6</v>
      </c>
      <c r="U924" s="261">
        <v>6</v>
      </c>
      <c r="V924" s="258" t="s">
        <v>1969</v>
      </c>
      <c r="W924" s="261" t="str">
        <f t="shared" si="144"/>
        <v>PORSCHETaycan4S143100000</v>
      </c>
      <c r="X924" s="411">
        <f t="shared" si="145"/>
        <v>4698</v>
      </c>
      <c r="Y924" s="261">
        <v>6</v>
      </c>
      <c r="Z924" s="261">
        <v>6</v>
      </c>
      <c r="AA924" s="407" t="s">
        <v>1462</v>
      </c>
      <c r="AB924" s="267" t="s">
        <v>73</v>
      </c>
      <c r="AC924" s="267"/>
      <c r="AD924" s="267">
        <v>6</v>
      </c>
      <c r="AE924" s="267">
        <v>0</v>
      </c>
      <c r="AF924" s="270"/>
      <c r="AG924" s="307"/>
      <c r="AH924" s="270"/>
      <c r="AI924" s="270"/>
      <c r="AJ924" s="270"/>
      <c r="AK924" s="259">
        <v>15</v>
      </c>
      <c r="AL924" s="259"/>
      <c r="AM924" s="259" t="s">
        <v>3664</v>
      </c>
      <c r="AN924" s="449"/>
      <c r="AO924" s="449"/>
      <c r="AP924" s="449"/>
      <c r="AQ924" s="392" t="str">
        <f>IFERROR(VLOOKUP(BG924,#REF!,1,0),"")</f>
        <v/>
      </c>
      <c r="AS924" s="259" t="s">
        <v>3189</v>
      </c>
      <c r="BD924" s="202" t="str">
        <f t="shared" si="137"/>
        <v>Taycan4S</v>
      </c>
      <c r="BE924" s="261" t="str">
        <f t="shared" si="143"/>
        <v>0109</v>
      </c>
      <c r="BF924" s="407" t="s">
        <v>1462</v>
      </c>
      <c r="BG924" s="202" t="str">
        <f t="shared" si="138"/>
        <v>0109-0923</v>
      </c>
    </row>
    <row r="925" spans="1:59">
      <c r="A925" s="405">
        <v>4699</v>
      </c>
      <c r="B925" s="406">
        <v>4699</v>
      </c>
      <c r="C925" s="261" t="str">
        <f t="shared" si="139"/>
        <v>0030-0109</v>
      </c>
      <c r="D925" s="261" t="str">
        <f t="shared" si="140"/>
        <v>0030-0109-0003</v>
      </c>
      <c r="E925" s="407" t="s">
        <v>1463</v>
      </c>
      <c r="F925" s="261" t="str">
        <f>TEXT(VLOOKUP(J925,'[3]1'!$B$2:$D$37,2,0),"0000")</f>
        <v>0030</v>
      </c>
      <c r="G925" s="261" t="str">
        <f t="shared" si="141"/>
        <v>0109</v>
      </c>
      <c r="H925" s="408">
        <f t="shared" si="142"/>
        <v>3</v>
      </c>
      <c r="I925" s="407" t="s">
        <v>1463</v>
      </c>
      <c r="J925" s="258" t="s">
        <v>98</v>
      </c>
      <c r="K925" s="258" t="s">
        <v>2853</v>
      </c>
      <c r="L925" s="258" t="s">
        <v>3502</v>
      </c>
      <c r="M925" s="409">
        <v>192200000</v>
      </c>
      <c r="N925" s="258">
        <v>0</v>
      </c>
      <c r="O925" s="258" t="s">
        <v>2117</v>
      </c>
      <c r="P925" s="258" t="s">
        <v>73</v>
      </c>
      <c r="Q925" s="258" t="s">
        <v>72</v>
      </c>
      <c r="R925" s="258">
        <v>4</v>
      </c>
      <c r="S925" s="410">
        <v>1</v>
      </c>
      <c r="T925" s="261">
        <v>6</v>
      </c>
      <c r="U925" s="261">
        <v>6</v>
      </c>
      <c r="V925" s="258" t="s">
        <v>1969</v>
      </c>
      <c r="W925" s="261" t="str">
        <f t="shared" si="144"/>
        <v>PORSCHETaycanTurbo192200000</v>
      </c>
      <c r="X925" s="411">
        <f t="shared" si="145"/>
        <v>4699</v>
      </c>
      <c r="Y925" s="261">
        <v>6</v>
      </c>
      <c r="Z925" s="261">
        <v>6</v>
      </c>
      <c r="AA925" s="407" t="s">
        <v>1463</v>
      </c>
      <c r="AB925" s="267" t="s">
        <v>73</v>
      </c>
      <c r="AC925" s="267"/>
      <c r="AD925" s="267">
        <v>6</v>
      </c>
      <c r="AE925" s="267">
        <v>0</v>
      </c>
      <c r="AF925" s="270"/>
      <c r="AG925" s="307"/>
      <c r="AH925" s="270"/>
      <c r="AI925" s="270"/>
      <c r="AJ925" s="270"/>
      <c r="AK925" s="259">
        <v>15</v>
      </c>
      <c r="AL925" s="259"/>
      <c r="AM925" s="259" t="s">
        <v>3664</v>
      </c>
      <c r="AN925" s="449"/>
      <c r="AO925" s="449"/>
      <c r="AP925" s="449"/>
      <c r="AQ925" s="392" t="str">
        <f>IFERROR(VLOOKUP(BG925,#REF!,1,0),"")</f>
        <v/>
      </c>
      <c r="AS925" s="259" t="s">
        <v>3189</v>
      </c>
      <c r="BD925" s="202" t="str">
        <f t="shared" si="137"/>
        <v>TaycanTurbo</v>
      </c>
      <c r="BE925" s="261" t="str">
        <f t="shared" si="143"/>
        <v>0109</v>
      </c>
      <c r="BF925" s="407" t="s">
        <v>1463</v>
      </c>
      <c r="BG925" s="202" t="str">
        <f t="shared" si="138"/>
        <v>0109-0924</v>
      </c>
    </row>
    <row r="926" spans="1:59">
      <c r="A926" s="405">
        <v>4700</v>
      </c>
      <c r="B926" s="406">
        <v>4700</v>
      </c>
      <c r="C926" s="261" t="str">
        <f t="shared" si="139"/>
        <v>0030-0109</v>
      </c>
      <c r="D926" s="261" t="str">
        <f t="shared" si="140"/>
        <v>0030-0109-0004</v>
      </c>
      <c r="E926" s="407" t="s">
        <v>1464</v>
      </c>
      <c r="F926" s="261" t="str">
        <f>TEXT(VLOOKUP(J926,'[3]1'!$B$2:$D$37,2,0),"0000")</f>
        <v>0030</v>
      </c>
      <c r="G926" s="261" t="str">
        <f t="shared" si="141"/>
        <v>0109</v>
      </c>
      <c r="H926" s="408">
        <f t="shared" si="142"/>
        <v>4</v>
      </c>
      <c r="I926" s="407" t="s">
        <v>1464</v>
      </c>
      <c r="J926" s="258" t="s">
        <v>98</v>
      </c>
      <c r="K926" s="258" t="s">
        <v>2853</v>
      </c>
      <c r="L926" s="258" t="s">
        <v>3503</v>
      </c>
      <c r="M926" s="409">
        <v>229600000</v>
      </c>
      <c r="N926" s="258">
        <v>0</v>
      </c>
      <c r="O926" s="258" t="s">
        <v>2117</v>
      </c>
      <c r="P926" s="258" t="s">
        <v>73</v>
      </c>
      <c r="Q926" s="258" t="s">
        <v>72</v>
      </c>
      <c r="R926" s="258">
        <v>4</v>
      </c>
      <c r="S926" s="410">
        <v>1</v>
      </c>
      <c r="T926" s="261">
        <v>6</v>
      </c>
      <c r="U926" s="261">
        <v>6</v>
      </c>
      <c r="V926" s="258" t="s">
        <v>1969</v>
      </c>
      <c r="W926" s="261" t="str">
        <f t="shared" si="144"/>
        <v>PORSCHETaycanTurbo S229600000</v>
      </c>
      <c r="X926" s="411">
        <f t="shared" si="145"/>
        <v>4700</v>
      </c>
      <c r="Y926" s="261">
        <v>6</v>
      </c>
      <c r="Z926" s="261">
        <v>6</v>
      </c>
      <c r="AA926" s="407" t="s">
        <v>1464</v>
      </c>
      <c r="AB926" s="267" t="s">
        <v>73</v>
      </c>
      <c r="AC926" s="267"/>
      <c r="AD926" s="267">
        <v>6</v>
      </c>
      <c r="AE926" s="267">
        <v>0</v>
      </c>
      <c r="AF926" s="270"/>
      <c r="AG926" s="307"/>
      <c r="AH926" s="270"/>
      <c r="AI926" s="270"/>
      <c r="AJ926" s="270"/>
      <c r="AK926" s="259">
        <v>15</v>
      </c>
      <c r="AL926" s="259"/>
      <c r="AM926" s="259" t="s">
        <v>3664</v>
      </c>
      <c r="AN926" s="449"/>
      <c r="AO926" s="449"/>
      <c r="AP926" s="449"/>
      <c r="AQ926" s="392" t="str">
        <f>IFERROR(VLOOKUP(BG926,#REF!,1,0),"")</f>
        <v/>
      </c>
      <c r="AS926" s="259" t="s">
        <v>3189</v>
      </c>
      <c r="BD926" s="202" t="str">
        <f t="shared" si="137"/>
        <v>TaycanTurbo S</v>
      </c>
      <c r="BE926" s="261" t="str">
        <f t="shared" si="143"/>
        <v>0109</v>
      </c>
      <c r="BF926" s="407" t="s">
        <v>1464</v>
      </c>
      <c r="BG926" s="202" t="str">
        <f t="shared" si="138"/>
        <v>0109-0925</v>
      </c>
    </row>
    <row r="927" spans="1:59">
      <c r="A927" s="405">
        <v>4701</v>
      </c>
      <c r="B927" s="406">
        <v>4701</v>
      </c>
      <c r="C927" s="261" t="str">
        <f t="shared" si="139"/>
        <v>0030-0109</v>
      </c>
      <c r="D927" s="261" t="str">
        <f t="shared" si="140"/>
        <v>0030-0109-0005</v>
      </c>
      <c r="E927" s="407" t="s">
        <v>1465</v>
      </c>
      <c r="F927" s="261" t="str">
        <f>TEXT(VLOOKUP(J927,'[3]1'!$B$2:$D$37,2,0),"0000")</f>
        <v>0030</v>
      </c>
      <c r="G927" s="261" t="str">
        <f t="shared" si="141"/>
        <v>0109</v>
      </c>
      <c r="H927" s="408">
        <f t="shared" si="142"/>
        <v>5</v>
      </c>
      <c r="I927" s="407" t="s">
        <v>1465</v>
      </c>
      <c r="J927" s="258" t="s">
        <v>98</v>
      </c>
      <c r="K927" s="258" t="s">
        <v>2853</v>
      </c>
      <c r="L927" s="258" t="s">
        <v>3554</v>
      </c>
      <c r="M927" s="409">
        <v>180300000</v>
      </c>
      <c r="N927" s="258">
        <v>0</v>
      </c>
      <c r="O927" s="258" t="s">
        <v>2117</v>
      </c>
      <c r="P927" s="258" t="s">
        <v>73</v>
      </c>
      <c r="Q927" s="258" t="s">
        <v>72</v>
      </c>
      <c r="R927" s="258">
        <v>4</v>
      </c>
      <c r="S927" s="410">
        <v>1</v>
      </c>
      <c r="T927" s="261">
        <v>6</v>
      </c>
      <c r="U927" s="261">
        <v>6</v>
      </c>
      <c r="V927" s="258" t="s">
        <v>1969</v>
      </c>
      <c r="W927" s="261" t="str">
        <f t="shared" si="144"/>
        <v>PORSCHETaycanGTS180300000</v>
      </c>
      <c r="X927" s="411">
        <f t="shared" si="145"/>
        <v>4701</v>
      </c>
      <c r="Y927" s="261">
        <v>6</v>
      </c>
      <c r="Z927" s="261">
        <v>6</v>
      </c>
      <c r="AA927" s="407" t="s">
        <v>1465</v>
      </c>
      <c r="AB927" s="267" t="s">
        <v>73</v>
      </c>
      <c r="AC927" s="267"/>
      <c r="AD927" s="267">
        <v>7</v>
      </c>
      <c r="AE927" s="267">
        <v>0</v>
      </c>
      <c r="AF927" s="270"/>
      <c r="AG927" s="307"/>
      <c r="AH927" s="270"/>
      <c r="AI927" s="270"/>
      <c r="AJ927" s="270"/>
      <c r="AK927" s="259">
        <v>15</v>
      </c>
      <c r="AL927" s="259"/>
      <c r="AM927" s="259" t="s">
        <v>3664</v>
      </c>
      <c r="AN927" s="449"/>
      <c r="AO927" s="449"/>
      <c r="AP927" s="449"/>
      <c r="AQ927" s="392" t="str">
        <f>IFERROR(VLOOKUP(BG927,#REF!,1,0),"")</f>
        <v/>
      </c>
      <c r="AS927" s="259" t="s">
        <v>3189</v>
      </c>
      <c r="BD927" s="202" t="str">
        <f t="shared" si="137"/>
        <v>TaycanGTS</v>
      </c>
      <c r="BE927" s="261" t="str">
        <f t="shared" si="143"/>
        <v>0109</v>
      </c>
      <c r="BF927" s="407" t="s">
        <v>1465</v>
      </c>
      <c r="BG927" s="202" t="str">
        <f t="shared" si="138"/>
        <v>0109-0926</v>
      </c>
    </row>
    <row r="928" spans="1:59">
      <c r="A928" s="405">
        <v>4702</v>
      </c>
      <c r="B928" s="406">
        <v>4702</v>
      </c>
      <c r="C928" s="261" t="str">
        <f t="shared" si="139"/>
        <v>0030-0109</v>
      </c>
      <c r="D928" s="261" t="str">
        <f t="shared" si="140"/>
        <v>0030-0109-0006</v>
      </c>
      <c r="E928" s="407" t="s">
        <v>1466</v>
      </c>
      <c r="F928" s="261" t="str">
        <f>TEXT(VLOOKUP(J928,'[3]1'!$B$2:$D$37,2,0),"0000")</f>
        <v>0030</v>
      </c>
      <c r="G928" s="261" t="str">
        <f t="shared" si="141"/>
        <v>0109</v>
      </c>
      <c r="H928" s="408">
        <f t="shared" si="142"/>
        <v>6</v>
      </c>
      <c r="I928" s="407" t="s">
        <v>1466</v>
      </c>
      <c r="J928" s="258" t="s">
        <v>98</v>
      </c>
      <c r="K928" s="258" t="s">
        <v>2853</v>
      </c>
      <c r="L928" s="258" t="s">
        <v>3505</v>
      </c>
      <c r="M928" s="409">
        <v>144100000</v>
      </c>
      <c r="N928" s="258">
        <v>0</v>
      </c>
      <c r="O928" s="258" t="s">
        <v>2117</v>
      </c>
      <c r="P928" s="258" t="s">
        <v>73</v>
      </c>
      <c r="Q928" s="258" t="s">
        <v>72</v>
      </c>
      <c r="R928" s="258">
        <v>4</v>
      </c>
      <c r="S928" s="410">
        <v>1</v>
      </c>
      <c r="T928" s="261">
        <v>6</v>
      </c>
      <c r="U928" s="261">
        <v>6</v>
      </c>
      <c r="V928" s="258" t="s">
        <v>1969</v>
      </c>
      <c r="W928" s="261" t="str">
        <f t="shared" si="144"/>
        <v>PORSCHETaycan크로스 투리스모 4144100000</v>
      </c>
      <c r="X928" s="411">
        <f t="shared" si="145"/>
        <v>4702</v>
      </c>
      <c r="Y928" s="261">
        <v>6</v>
      </c>
      <c r="Z928" s="261">
        <v>6</v>
      </c>
      <c r="AA928" s="407" t="s">
        <v>1466</v>
      </c>
      <c r="AB928" s="267" t="s">
        <v>73</v>
      </c>
      <c r="AC928" s="267"/>
      <c r="AD928" s="267">
        <v>7</v>
      </c>
      <c r="AE928" s="267">
        <v>0</v>
      </c>
      <c r="AF928" s="270"/>
      <c r="AG928" s="307"/>
      <c r="AH928" s="270"/>
      <c r="AI928" s="270"/>
      <c r="AJ928" s="270"/>
      <c r="AK928" s="259">
        <v>15</v>
      </c>
      <c r="AL928" s="259"/>
      <c r="AM928" s="259" t="s">
        <v>3664</v>
      </c>
      <c r="AN928" s="449"/>
      <c r="AO928" s="449"/>
      <c r="AP928" s="449"/>
      <c r="AQ928" s="392" t="str">
        <f>IFERROR(VLOOKUP(BG928,#REF!,1,0),"")</f>
        <v/>
      </c>
      <c r="AS928" s="259" t="s">
        <v>3189</v>
      </c>
      <c r="BD928" s="202" t="str">
        <f t="shared" si="137"/>
        <v>Taycan크로스 투리스모 4</v>
      </c>
      <c r="BE928" s="261" t="str">
        <f t="shared" si="143"/>
        <v>0109</v>
      </c>
      <c r="BF928" s="407" t="s">
        <v>1466</v>
      </c>
      <c r="BG928" s="202" t="str">
        <f t="shared" si="138"/>
        <v>0109-0927</v>
      </c>
    </row>
    <row r="929" spans="1:59">
      <c r="A929" s="405">
        <v>4703</v>
      </c>
      <c r="B929" s="406">
        <v>4703</v>
      </c>
      <c r="C929" s="261" t="str">
        <f t="shared" si="139"/>
        <v>0030-0109</v>
      </c>
      <c r="D929" s="261" t="str">
        <f t="shared" si="140"/>
        <v>0030-0109-0007</v>
      </c>
      <c r="E929" s="407" t="s">
        <v>1467</v>
      </c>
      <c r="F929" s="261" t="str">
        <f>TEXT(VLOOKUP(J929,'[3]1'!$B$2:$D$37,2,0),"0000")</f>
        <v>0030</v>
      </c>
      <c r="G929" s="261" t="str">
        <f t="shared" si="141"/>
        <v>0109</v>
      </c>
      <c r="H929" s="408">
        <f t="shared" si="142"/>
        <v>7</v>
      </c>
      <c r="I929" s="407" t="s">
        <v>1467</v>
      </c>
      <c r="J929" s="258" t="s">
        <v>98</v>
      </c>
      <c r="K929" s="258" t="s">
        <v>2853</v>
      </c>
      <c r="L929" s="258" t="s">
        <v>3504</v>
      </c>
      <c r="M929" s="409">
        <v>212200000</v>
      </c>
      <c r="N929" s="258">
        <v>0</v>
      </c>
      <c r="O929" s="258" t="s">
        <v>2117</v>
      </c>
      <c r="P929" s="258" t="s">
        <v>73</v>
      </c>
      <c r="Q929" s="258" t="s">
        <v>72</v>
      </c>
      <c r="R929" s="258">
        <v>4</v>
      </c>
      <c r="S929" s="410">
        <v>1</v>
      </c>
      <c r="T929" s="261">
        <v>6</v>
      </c>
      <c r="U929" s="261">
        <v>6</v>
      </c>
      <c r="V929" s="258" t="s">
        <v>1969</v>
      </c>
      <c r="W929" s="261" t="str">
        <f t="shared" si="144"/>
        <v>PORSCHETaycan크로스 투리스모 Turbo212200000</v>
      </c>
      <c r="X929" s="411">
        <f t="shared" si="145"/>
        <v>4703</v>
      </c>
      <c r="Y929" s="261">
        <v>6</v>
      </c>
      <c r="Z929" s="261">
        <v>6</v>
      </c>
      <c r="AA929" s="407" t="s">
        <v>1467</v>
      </c>
      <c r="AB929" s="267" t="s">
        <v>73</v>
      </c>
      <c r="AC929" s="267"/>
      <c r="AD929" s="267">
        <v>7</v>
      </c>
      <c r="AE929" s="267">
        <v>0</v>
      </c>
      <c r="AF929" s="270"/>
      <c r="AG929" s="307"/>
      <c r="AH929" s="270"/>
      <c r="AI929" s="270"/>
      <c r="AJ929" s="270"/>
      <c r="AK929" s="259">
        <v>15</v>
      </c>
      <c r="AL929" s="259"/>
      <c r="AM929" s="259" t="s">
        <v>3664</v>
      </c>
      <c r="AN929" s="449"/>
      <c r="AO929" s="449"/>
      <c r="AP929" s="449"/>
      <c r="AQ929" s="392" t="str">
        <f>IFERROR(VLOOKUP(BG929,#REF!,1,0),"")</f>
        <v/>
      </c>
      <c r="AS929" s="259" t="s">
        <v>3189</v>
      </c>
      <c r="BD929" s="202" t="str">
        <f t="shared" si="137"/>
        <v>Taycan크로스 투리스모 Turbo</v>
      </c>
      <c r="BE929" s="261" t="str">
        <f t="shared" si="143"/>
        <v>0109</v>
      </c>
      <c r="BF929" s="407" t="s">
        <v>1467</v>
      </c>
      <c r="BG929" s="202" t="str">
        <f t="shared" si="138"/>
        <v>0109-0928</v>
      </c>
    </row>
    <row r="930" spans="1:59">
      <c r="A930" s="405">
        <v>4704</v>
      </c>
      <c r="B930" s="406">
        <v>4704</v>
      </c>
      <c r="C930" s="261" t="str">
        <f t="shared" si="139"/>
        <v>0030-0109</v>
      </c>
      <c r="D930" s="261" t="str">
        <f t="shared" si="140"/>
        <v>0030-0109-0008</v>
      </c>
      <c r="E930" s="407" t="s">
        <v>1468</v>
      </c>
      <c r="F930" s="261" t="str">
        <f>TEXT(VLOOKUP(J930,'[3]1'!$B$2:$D$37,2,0),"0000")</f>
        <v>0030</v>
      </c>
      <c r="G930" s="261" t="str">
        <f t="shared" si="141"/>
        <v>0109</v>
      </c>
      <c r="H930" s="408">
        <f t="shared" si="142"/>
        <v>8</v>
      </c>
      <c r="I930" s="407" t="s">
        <v>1468</v>
      </c>
      <c r="J930" s="258" t="s">
        <v>98</v>
      </c>
      <c r="K930" s="258" t="s">
        <v>2853</v>
      </c>
      <c r="L930" s="258" t="s">
        <v>3506</v>
      </c>
      <c r="M930" s="409">
        <v>161700000</v>
      </c>
      <c r="N930" s="258">
        <v>0</v>
      </c>
      <c r="O930" s="258" t="s">
        <v>2117</v>
      </c>
      <c r="P930" s="258" t="s">
        <v>73</v>
      </c>
      <c r="Q930" s="258" t="s">
        <v>72</v>
      </c>
      <c r="R930" s="258">
        <v>4</v>
      </c>
      <c r="S930" s="410">
        <v>1</v>
      </c>
      <c r="T930" s="261">
        <v>6</v>
      </c>
      <c r="U930" s="261">
        <v>6</v>
      </c>
      <c r="V930" s="258" t="s">
        <v>1969</v>
      </c>
      <c r="W930" s="261" t="str">
        <f t="shared" si="144"/>
        <v>PORSCHETaycan크로스 투리스모 4S161700000</v>
      </c>
      <c r="X930" s="411">
        <f t="shared" si="145"/>
        <v>4704</v>
      </c>
      <c r="Y930" s="261">
        <v>6</v>
      </c>
      <c r="Z930" s="261">
        <v>6</v>
      </c>
      <c r="AA930" s="407" t="s">
        <v>1468</v>
      </c>
      <c r="AB930" s="267" t="s">
        <v>73</v>
      </c>
      <c r="AC930" s="267"/>
      <c r="AD930" s="267">
        <v>7</v>
      </c>
      <c r="AE930" s="267">
        <v>0</v>
      </c>
      <c r="AF930" s="270"/>
      <c r="AG930" s="307"/>
      <c r="AH930" s="270"/>
      <c r="AI930" s="270"/>
      <c r="AJ930" s="270"/>
      <c r="AK930" s="259">
        <v>15</v>
      </c>
      <c r="AL930" s="259"/>
      <c r="AM930" s="259" t="s">
        <v>3664</v>
      </c>
      <c r="AN930" s="449"/>
      <c r="AO930" s="449"/>
      <c r="AP930" s="449"/>
      <c r="AQ930" s="392" t="str">
        <f>IFERROR(VLOOKUP(BG930,#REF!,1,0),"")</f>
        <v/>
      </c>
      <c r="AS930" s="259" t="s">
        <v>3189</v>
      </c>
      <c r="BD930" s="202" t="str">
        <f t="shared" si="137"/>
        <v>Taycan크로스 투리스모 4S</v>
      </c>
      <c r="BE930" s="261" t="str">
        <f t="shared" si="143"/>
        <v>0109</v>
      </c>
      <c r="BF930" s="407" t="s">
        <v>1468</v>
      </c>
      <c r="BG930" s="202" t="str">
        <f t="shared" si="138"/>
        <v>0109-0929</v>
      </c>
    </row>
    <row r="931" spans="1:59">
      <c r="A931" s="405">
        <v>4705</v>
      </c>
      <c r="B931" s="406">
        <v>4705</v>
      </c>
      <c r="C931" s="261" t="str">
        <f t="shared" si="139"/>
        <v>0029-0110</v>
      </c>
      <c r="D931" s="261" t="str">
        <f t="shared" si="140"/>
        <v>0029-0110-0001</v>
      </c>
      <c r="E931" s="407" t="s">
        <v>1469</v>
      </c>
      <c r="F931" s="261" t="str">
        <f>TEXT(VLOOKUP(J931,'[3]1'!$B$2:$D$37,2,0),"0000")</f>
        <v>0029</v>
      </c>
      <c r="G931" s="261" t="str">
        <f t="shared" si="141"/>
        <v>0110</v>
      </c>
      <c r="H931" s="408">
        <f t="shared" si="142"/>
        <v>1</v>
      </c>
      <c r="I931" s="407" t="s">
        <v>1469</v>
      </c>
      <c r="J931" s="258" t="s">
        <v>110</v>
      </c>
      <c r="K931" s="258">
        <v>2008</v>
      </c>
      <c r="L931" s="258" t="s">
        <v>3820</v>
      </c>
      <c r="M931" s="409">
        <v>40000000</v>
      </c>
      <c r="N931" s="258">
        <v>1499</v>
      </c>
      <c r="O931" s="258" t="s">
        <v>78</v>
      </c>
      <c r="P931" s="258" t="s">
        <v>3781</v>
      </c>
      <c r="Q931" s="258" t="s">
        <v>72</v>
      </c>
      <c r="R931" s="258">
        <v>5</v>
      </c>
      <c r="S931" s="410">
        <v>26</v>
      </c>
      <c r="T931" s="261">
        <v>6</v>
      </c>
      <c r="U931" s="261">
        <v>6</v>
      </c>
      <c r="V931" s="258" t="s">
        <v>71</v>
      </c>
      <c r="W931" s="261" t="str">
        <f t="shared" si="144"/>
        <v>PEUGEOT2008GT 라인 1.5 블루Hdi40000000</v>
      </c>
      <c r="X931" s="411">
        <f t="shared" si="145"/>
        <v>4705</v>
      </c>
      <c r="Y931" s="261">
        <v>6</v>
      </c>
      <c r="Z931" s="261">
        <v>6</v>
      </c>
      <c r="AA931" s="407" t="s">
        <v>1469</v>
      </c>
      <c r="AB931" s="258" t="s">
        <v>3781</v>
      </c>
      <c r="AC931" s="258"/>
      <c r="AD931" s="258">
        <v>5</v>
      </c>
      <c r="AE931" s="258">
        <v>0</v>
      </c>
      <c r="AF931" s="259"/>
      <c r="AG931" s="260"/>
      <c r="AH931" s="259"/>
      <c r="AI931" s="259"/>
      <c r="AJ931" s="260"/>
      <c r="AK931" s="259">
        <v>17</v>
      </c>
      <c r="AL931" s="259"/>
      <c r="AM931" s="259" t="s">
        <v>3787</v>
      </c>
      <c r="AN931" s="449"/>
      <c r="AO931" s="449"/>
      <c r="AP931" s="449"/>
      <c r="AS931" s="259" t="s">
        <v>3234</v>
      </c>
      <c r="BD931" s="202" t="str">
        <f t="shared" si="137"/>
        <v>2008GT 라인 1.5 블루Hdi</v>
      </c>
      <c r="BE931" s="261" t="str">
        <f t="shared" si="143"/>
        <v>0110</v>
      </c>
      <c r="BF931" s="407" t="s">
        <v>1469</v>
      </c>
      <c r="BG931" s="202" t="str">
        <f t="shared" si="138"/>
        <v>0110-0930</v>
      </c>
    </row>
    <row r="932" spans="1:59">
      <c r="A932" s="405">
        <v>4706</v>
      </c>
      <c r="B932" s="406">
        <v>4706</v>
      </c>
      <c r="C932" s="261" t="str">
        <f t="shared" si="139"/>
        <v>0029-0110</v>
      </c>
      <c r="D932" s="261" t="str">
        <f t="shared" si="140"/>
        <v>0029-0110-0002</v>
      </c>
      <c r="E932" s="407" t="s">
        <v>1470</v>
      </c>
      <c r="F932" s="261" t="str">
        <f>TEXT(VLOOKUP(J932,'[3]1'!$B$2:$D$37,2,0),"0000")</f>
        <v>0029</v>
      </c>
      <c r="G932" s="261" t="str">
        <f t="shared" si="141"/>
        <v>0110</v>
      </c>
      <c r="H932" s="408">
        <f t="shared" si="142"/>
        <v>2</v>
      </c>
      <c r="I932" s="407" t="s">
        <v>1470</v>
      </c>
      <c r="J932" s="258" t="s">
        <v>110</v>
      </c>
      <c r="K932" s="258">
        <v>2008</v>
      </c>
      <c r="L932" s="258" t="s">
        <v>3821</v>
      </c>
      <c r="M932" s="409">
        <v>40000000</v>
      </c>
      <c r="N932" s="258">
        <v>1499</v>
      </c>
      <c r="O932" s="258" t="s">
        <v>78</v>
      </c>
      <c r="P932" s="258" t="s">
        <v>3781</v>
      </c>
      <c r="Q932" s="258" t="s">
        <v>72</v>
      </c>
      <c r="R932" s="258">
        <v>5</v>
      </c>
      <c r="S932" s="410">
        <v>26</v>
      </c>
      <c r="T932" s="261">
        <v>6</v>
      </c>
      <c r="U932" s="261">
        <v>6</v>
      </c>
      <c r="V932" s="258" t="s">
        <v>71</v>
      </c>
      <c r="W932" s="261" t="str">
        <f t="shared" si="144"/>
        <v>PEUGEOT2008알뤼르 1.5 블루Hdi40000000</v>
      </c>
      <c r="X932" s="411">
        <f t="shared" si="145"/>
        <v>4706</v>
      </c>
      <c r="Y932" s="261">
        <v>6</v>
      </c>
      <c r="Z932" s="261">
        <v>6</v>
      </c>
      <c r="AA932" s="407" t="s">
        <v>1470</v>
      </c>
      <c r="AB932" s="258" t="s">
        <v>3781</v>
      </c>
      <c r="AC932" s="258"/>
      <c r="AD932" s="258">
        <v>5</v>
      </c>
      <c r="AE932" s="258">
        <v>0</v>
      </c>
      <c r="AF932" s="259"/>
      <c r="AG932" s="260"/>
      <c r="AH932" s="259"/>
      <c r="AI932" s="259"/>
      <c r="AJ932" s="260"/>
      <c r="AK932" s="259">
        <v>17</v>
      </c>
      <c r="AL932" s="259"/>
      <c r="AM932" s="259" t="s">
        <v>3787</v>
      </c>
      <c r="AN932" s="449"/>
      <c r="AO932" s="449"/>
      <c r="AP932" s="449"/>
      <c r="AS932" s="259"/>
      <c r="BD932" s="202" t="str">
        <f t="shared" si="137"/>
        <v>2008알뤼르 1.5 블루Hdi</v>
      </c>
      <c r="BE932" s="261" t="str">
        <f t="shared" si="143"/>
        <v>0110</v>
      </c>
      <c r="BF932" s="407" t="s">
        <v>1470</v>
      </c>
      <c r="BG932" s="202" t="str">
        <f t="shared" si="138"/>
        <v>0110-0931</v>
      </c>
    </row>
    <row r="933" spans="1:59">
      <c r="A933" s="405">
        <v>4707</v>
      </c>
      <c r="B933" s="406">
        <v>4707</v>
      </c>
      <c r="C933" s="261" t="str">
        <f t="shared" si="139"/>
        <v>0029-0110</v>
      </c>
      <c r="D933" s="261" t="str">
        <f t="shared" si="140"/>
        <v>0029-0110-0003</v>
      </c>
      <c r="E933" s="407" t="s">
        <v>1471</v>
      </c>
      <c r="F933" s="261" t="str">
        <f>TEXT(VLOOKUP(J933,'[3]1'!$B$2:$D$37,2,0),"0000")</f>
        <v>0029</v>
      </c>
      <c r="G933" s="261" t="str">
        <f t="shared" si="141"/>
        <v>0110</v>
      </c>
      <c r="H933" s="408">
        <f t="shared" si="142"/>
        <v>3</v>
      </c>
      <c r="I933" s="407" t="s">
        <v>1471</v>
      </c>
      <c r="J933" s="258" t="s">
        <v>110</v>
      </c>
      <c r="K933" s="258">
        <v>2008</v>
      </c>
      <c r="L933" s="258" t="s">
        <v>3824</v>
      </c>
      <c r="M933" s="409">
        <v>40000000</v>
      </c>
      <c r="N933" s="258">
        <v>0</v>
      </c>
      <c r="O933" s="258" t="s">
        <v>3826</v>
      </c>
      <c r="P933" s="258" t="s">
        <v>3781</v>
      </c>
      <c r="Q933" s="258" t="s">
        <v>72</v>
      </c>
      <c r="R933" s="258">
        <v>5</v>
      </c>
      <c r="S933" s="410">
        <v>26</v>
      </c>
      <c r="T933" s="261">
        <v>6</v>
      </c>
      <c r="U933" s="261">
        <v>6</v>
      </c>
      <c r="V933" s="258" t="s">
        <v>71</v>
      </c>
      <c r="W933" s="261" t="str">
        <f t="shared" si="144"/>
        <v>PEUGEOT2008GT 라인 일렉트릭40000000</v>
      </c>
      <c r="X933" s="411">
        <f t="shared" si="145"/>
        <v>4707</v>
      </c>
      <c r="Y933" s="261">
        <v>6</v>
      </c>
      <c r="Z933" s="261">
        <v>6</v>
      </c>
      <c r="AA933" s="407" t="s">
        <v>1471</v>
      </c>
      <c r="AB933" s="258" t="s">
        <v>3781</v>
      </c>
      <c r="AC933" s="258"/>
      <c r="AD933" s="258">
        <v>5</v>
      </c>
      <c r="AE933" s="258">
        <v>0</v>
      </c>
      <c r="AF933" s="259"/>
      <c r="AG933" s="260"/>
      <c r="AH933" s="259"/>
      <c r="AI933" s="259"/>
      <c r="AJ933" s="260"/>
      <c r="AK933" s="259">
        <v>18</v>
      </c>
      <c r="AL933" s="259"/>
      <c r="AM933" s="259" t="s">
        <v>3828</v>
      </c>
      <c r="AN933" s="449"/>
      <c r="AO933" s="449"/>
      <c r="AP933" s="449"/>
      <c r="AS933" s="259"/>
      <c r="BD933" s="202" t="str">
        <f t="shared" si="137"/>
        <v>2008GT 라인 일렉트릭</v>
      </c>
      <c r="BE933" s="261" t="str">
        <f t="shared" si="143"/>
        <v>0110</v>
      </c>
      <c r="BF933" s="407" t="s">
        <v>1471</v>
      </c>
      <c r="BG933" s="202" t="str">
        <f t="shared" si="138"/>
        <v>0110-0932</v>
      </c>
    </row>
    <row r="934" spans="1:59">
      <c r="A934" s="405">
        <v>4708</v>
      </c>
      <c r="B934" s="406">
        <v>4708</v>
      </c>
      <c r="C934" s="261" t="str">
        <f t="shared" si="139"/>
        <v>0029-0110</v>
      </c>
      <c r="D934" s="261" t="str">
        <f t="shared" si="140"/>
        <v>0029-0110-0004</v>
      </c>
      <c r="E934" s="407" t="s">
        <v>1472</v>
      </c>
      <c r="F934" s="261" t="str">
        <f>TEXT(VLOOKUP(J934,'[3]1'!$B$2:$D$37,2,0),"0000")</f>
        <v>0029</v>
      </c>
      <c r="G934" s="261" t="str">
        <f t="shared" si="141"/>
        <v>0110</v>
      </c>
      <c r="H934" s="408">
        <f t="shared" si="142"/>
        <v>4</v>
      </c>
      <c r="I934" s="407" t="s">
        <v>1472</v>
      </c>
      <c r="J934" s="258" t="s">
        <v>110</v>
      </c>
      <c r="K934" s="258">
        <v>2008</v>
      </c>
      <c r="L934" s="258" t="s">
        <v>3825</v>
      </c>
      <c r="M934" s="409">
        <v>40000000</v>
      </c>
      <c r="N934" s="258">
        <v>0</v>
      </c>
      <c r="O934" s="258" t="s">
        <v>3826</v>
      </c>
      <c r="P934" s="258" t="s">
        <v>3781</v>
      </c>
      <c r="Q934" s="258" t="s">
        <v>72</v>
      </c>
      <c r="R934" s="258">
        <v>5</v>
      </c>
      <c r="S934" s="410">
        <v>26</v>
      </c>
      <c r="T934" s="261">
        <v>6</v>
      </c>
      <c r="U934" s="261">
        <v>6</v>
      </c>
      <c r="V934" s="258" t="s">
        <v>71</v>
      </c>
      <c r="W934" s="261" t="str">
        <f t="shared" si="144"/>
        <v>PEUGEOT2008알뤼르 일렉트릭40000000</v>
      </c>
      <c r="X934" s="411">
        <f t="shared" si="145"/>
        <v>4708</v>
      </c>
      <c r="Y934" s="261">
        <v>6</v>
      </c>
      <c r="Z934" s="261">
        <v>6</v>
      </c>
      <c r="AA934" s="407" t="s">
        <v>1472</v>
      </c>
      <c r="AB934" s="258" t="s">
        <v>3781</v>
      </c>
      <c r="AC934" s="258"/>
      <c r="AD934" s="258">
        <v>5</v>
      </c>
      <c r="AE934" s="258">
        <v>0</v>
      </c>
      <c r="AF934" s="259"/>
      <c r="AG934" s="260"/>
      <c r="AH934" s="259"/>
      <c r="AI934" s="259"/>
      <c r="AJ934" s="260"/>
      <c r="AK934" s="259">
        <v>18</v>
      </c>
      <c r="AL934" s="259"/>
      <c r="AM934" s="259" t="s">
        <v>3828</v>
      </c>
      <c r="AN934" s="449"/>
      <c r="AO934" s="449"/>
      <c r="AP934" s="449"/>
      <c r="AS934" s="259"/>
      <c r="BD934" s="202" t="str">
        <f t="shared" si="137"/>
        <v>2008알뤼르 일렉트릭</v>
      </c>
      <c r="BE934" s="261" t="str">
        <f t="shared" si="143"/>
        <v>0110</v>
      </c>
      <c r="BF934" s="407" t="s">
        <v>1472</v>
      </c>
      <c r="BG934" s="202" t="str">
        <f t="shared" si="138"/>
        <v>0110-0933</v>
      </c>
    </row>
    <row r="935" spans="1:59">
      <c r="A935" s="405">
        <v>4709</v>
      </c>
      <c r="B935" s="406">
        <v>4709</v>
      </c>
      <c r="C935" s="261" t="str">
        <f t="shared" si="139"/>
        <v>0029-0111</v>
      </c>
      <c r="D935" s="261" t="str">
        <f t="shared" si="140"/>
        <v>0029-0111-0001</v>
      </c>
      <c r="E935" s="407" t="s">
        <v>1473</v>
      </c>
      <c r="F935" s="261" t="str">
        <f>TEXT(VLOOKUP(J935,'[3]1'!$B$2:$D$37,2,0),"0000")</f>
        <v>0029</v>
      </c>
      <c r="G935" s="261" t="str">
        <f t="shared" si="141"/>
        <v>0111</v>
      </c>
      <c r="H935" s="408">
        <f t="shared" si="142"/>
        <v>1</v>
      </c>
      <c r="I935" s="407" t="s">
        <v>1473</v>
      </c>
      <c r="J935" s="258" t="s">
        <v>110</v>
      </c>
      <c r="K935" s="258">
        <v>3008</v>
      </c>
      <c r="L935" s="258" t="s">
        <v>3822</v>
      </c>
      <c r="M935" s="409">
        <v>42200000</v>
      </c>
      <c r="N935" s="258">
        <v>1199</v>
      </c>
      <c r="O935" s="258" t="s">
        <v>3800</v>
      </c>
      <c r="P935" s="258" t="s">
        <v>3781</v>
      </c>
      <c r="Q935" s="258" t="s">
        <v>72</v>
      </c>
      <c r="R935" s="258">
        <v>5</v>
      </c>
      <c r="S935" s="410">
        <v>26</v>
      </c>
      <c r="T935" s="261">
        <v>6</v>
      </c>
      <c r="U935" s="261">
        <v>6</v>
      </c>
      <c r="V935" s="258" t="s">
        <v>71</v>
      </c>
      <c r="W935" s="261" t="str">
        <f t="shared" si="144"/>
        <v>PEUGEOT3008GT42200000</v>
      </c>
      <c r="X935" s="411">
        <f t="shared" si="145"/>
        <v>4709</v>
      </c>
      <c r="Y935" s="261">
        <v>6</v>
      </c>
      <c r="Z935" s="261">
        <v>6</v>
      </c>
      <c r="AA935" s="407" t="s">
        <v>1473</v>
      </c>
      <c r="AB935" s="258" t="s">
        <v>3781</v>
      </c>
      <c r="AC935" s="258"/>
      <c r="AD935" s="258">
        <v>5</v>
      </c>
      <c r="AE935" s="258">
        <v>0</v>
      </c>
      <c r="AF935" s="259"/>
      <c r="AG935" s="260"/>
      <c r="AH935" s="259"/>
      <c r="AI935" s="259"/>
      <c r="AJ935" s="260"/>
      <c r="AK935" s="259">
        <v>17</v>
      </c>
      <c r="AL935" s="259"/>
      <c r="AM935" s="259" t="s">
        <v>3787</v>
      </c>
      <c r="AN935" s="449"/>
      <c r="AO935" s="449"/>
      <c r="AP935" s="449"/>
      <c r="AS935" s="259"/>
      <c r="BD935" s="202" t="str">
        <f t="shared" si="137"/>
        <v>3008GT</v>
      </c>
      <c r="BE935" s="261" t="str">
        <f t="shared" si="143"/>
        <v>0111</v>
      </c>
      <c r="BF935" s="407" t="s">
        <v>1473</v>
      </c>
      <c r="BG935" s="202" t="str">
        <f t="shared" si="138"/>
        <v>0111-0934</v>
      </c>
    </row>
    <row r="936" spans="1:59">
      <c r="A936" s="405">
        <v>4710</v>
      </c>
      <c r="B936" s="406">
        <v>4710</v>
      </c>
      <c r="C936" s="261" t="str">
        <f t="shared" si="139"/>
        <v>0029-0111</v>
      </c>
      <c r="D936" s="261" t="str">
        <f t="shared" si="140"/>
        <v>0029-0111-0002</v>
      </c>
      <c r="E936" s="407" t="s">
        <v>1474</v>
      </c>
      <c r="F936" s="261" t="str">
        <f>TEXT(VLOOKUP(J936,'[3]1'!$B$2:$D$37,2,0),"0000")</f>
        <v>0029</v>
      </c>
      <c r="G936" s="261" t="str">
        <f t="shared" si="141"/>
        <v>0111</v>
      </c>
      <c r="H936" s="408">
        <f t="shared" si="142"/>
        <v>2</v>
      </c>
      <c r="I936" s="407" t="s">
        <v>1474</v>
      </c>
      <c r="J936" s="258" t="s">
        <v>110</v>
      </c>
      <c r="K936" s="258">
        <v>3008</v>
      </c>
      <c r="L936" s="258" t="s">
        <v>3823</v>
      </c>
      <c r="M936" s="409">
        <v>45500000</v>
      </c>
      <c r="N936" s="258">
        <v>1199</v>
      </c>
      <c r="O936" s="258" t="s">
        <v>3800</v>
      </c>
      <c r="P936" s="258" t="s">
        <v>3781</v>
      </c>
      <c r="Q936" s="258" t="s">
        <v>72</v>
      </c>
      <c r="R936" s="258">
        <v>5</v>
      </c>
      <c r="S936" s="410">
        <v>26</v>
      </c>
      <c r="T936" s="261">
        <v>6</v>
      </c>
      <c r="U936" s="261">
        <v>6</v>
      </c>
      <c r="V936" s="258" t="s">
        <v>71</v>
      </c>
      <c r="W936" s="261" t="str">
        <f t="shared" si="144"/>
        <v>PEUGEOT3008알뤼르45500000</v>
      </c>
      <c r="X936" s="411">
        <f t="shared" si="145"/>
        <v>4710</v>
      </c>
      <c r="Y936" s="261">
        <v>6</v>
      </c>
      <c r="Z936" s="261">
        <v>6</v>
      </c>
      <c r="AA936" s="407" t="s">
        <v>1474</v>
      </c>
      <c r="AB936" s="258" t="s">
        <v>3781</v>
      </c>
      <c r="AC936" s="258"/>
      <c r="AD936" s="258">
        <v>5</v>
      </c>
      <c r="AE936" s="258">
        <v>0</v>
      </c>
      <c r="AF936" s="259"/>
      <c r="AG936" s="260"/>
      <c r="AH936" s="259"/>
      <c r="AI936" s="259"/>
      <c r="AJ936" s="260"/>
      <c r="AK936" s="259">
        <v>17</v>
      </c>
      <c r="AL936" s="259"/>
      <c r="AM936" s="259" t="s">
        <v>3787</v>
      </c>
      <c r="AN936" s="449"/>
      <c r="AO936" s="449"/>
      <c r="AP936" s="449"/>
      <c r="AS936" s="259"/>
      <c r="BD936" s="202" t="str">
        <f t="shared" si="137"/>
        <v>3008알뤼르</v>
      </c>
      <c r="BE936" s="261" t="str">
        <f t="shared" si="143"/>
        <v>0111</v>
      </c>
      <c r="BF936" s="407" t="s">
        <v>1474</v>
      </c>
      <c r="BG936" s="202" t="str">
        <f t="shared" si="138"/>
        <v>0111-0935</v>
      </c>
    </row>
    <row r="937" spans="1:59">
      <c r="A937" s="405">
        <v>4711</v>
      </c>
      <c r="B937" s="406">
        <v>4711</v>
      </c>
      <c r="C937" s="261" t="str">
        <f t="shared" si="139"/>
        <v>0029-0112</v>
      </c>
      <c r="D937" s="261" t="str">
        <f t="shared" si="140"/>
        <v>0029-0112-0001</v>
      </c>
      <c r="E937" s="407" t="s">
        <v>1475</v>
      </c>
      <c r="F937" s="261" t="str">
        <f>TEXT(VLOOKUP(J937,'[3]1'!$B$2:$D$37,2,0),"0000")</f>
        <v>0029</v>
      </c>
      <c r="G937" s="261" t="str">
        <f t="shared" si="141"/>
        <v>0112</v>
      </c>
      <c r="H937" s="408">
        <f t="shared" si="142"/>
        <v>1</v>
      </c>
      <c r="I937" s="407" t="s">
        <v>1475</v>
      </c>
      <c r="J937" s="258" t="s">
        <v>110</v>
      </c>
      <c r="K937" s="258">
        <v>308</v>
      </c>
      <c r="L937" s="258" t="s">
        <v>3830</v>
      </c>
      <c r="M937" s="409">
        <v>45900000</v>
      </c>
      <c r="N937" s="258">
        <v>1499</v>
      </c>
      <c r="O937" s="258" t="s">
        <v>3831</v>
      </c>
      <c r="P937" s="258" t="s">
        <v>3827</v>
      </c>
      <c r="Q937" s="258" t="s">
        <v>72</v>
      </c>
      <c r="R937" s="258">
        <v>5</v>
      </c>
      <c r="S937" s="410">
        <v>26</v>
      </c>
      <c r="T937" s="261">
        <v>6</v>
      </c>
      <c r="U937" s="261">
        <v>6</v>
      </c>
      <c r="V937" s="258" t="s">
        <v>71</v>
      </c>
      <c r="W937" s="261" t="str">
        <f t="shared" si="144"/>
        <v>PEUGEOT3081.5 블루HDi 알뤼르45900000</v>
      </c>
      <c r="X937" s="411">
        <f t="shared" si="145"/>
        <v>4711</v>
      </c>
      <c r="Y937" s="261">
        <v>6</v>
      </c>
      <c r="Z937" s="261">
        <v>6</v>
      </c>
      <c r="AA937" s="407" t="s">
        <v>1475</v>
      </c>
      <c r="AB937" s="258" t="s">
        <v>3827</v>
      </c>
      <c r="AC937" s="258"/>
      <c r="AD937" s="258">
        <v>5</v>
      </c>
      <c r="AE937" s="258">
        <v>0</v>
      </c>
      <c r="AF937" s="259"/>
      <c r="AG937" s="260"/>
      <c r="AH937" s="259"/>
      <c r="AI937" s="259"/>
      <c r="AJ937" s="260"/>
      <c r="AK937" s="259">
        <v>17</v>
      </c>
      <c r="AL937" s="259"/>
      <c r="AM937" s="259" t="s">
        <v>3787</v>
      </c>
      <c r="AN937" s="449"/>
      <c r="AO937" s="449"/>
      <c r="AP937" s="449"/>
      <c r="AS937" s="259"/>
      <c r="BD937" s="202" t="str">
        <f t="shared" si="137"/>
        <v>3081.5 블루HDi 알뤼르</v>
      </c>
      <c r="BE937" s="261" t="str">
        <f t="shared" si="143"/>
        <v>0112</v>
      </c>
      <c r="BF937" s="407" t="s">
        <v>1475</v>
      </c>
      <c r="BG937" s="202" t="str">
        <f t="shared" si="138"/>
        <v>0112-0936</v>
      </c>
    </row>
    <row r="938" spans="1:59">
      <c r="A938" s="405">
        <v>4712</v>
      </c>
      <c r="B938" s="406">
        <v>4712</v>
      </c>
      <c r="C938" s="261" t="str">
        <f t="shared" si="139"/>
        <v>0029-0113</v>
      </c>
      <c r="D938" s="261" t="str">
        <f t="shared" si="140"/>
        <v>0029-0113-0001</v>
      </c>
      <c r="E938" s="407" t="s">
        <v>1476</v>
      </c>
      <c r="F938" s="261" t="str">
        <f>TEXT(VLOOKUP(J938,'[3]1'!$B$2:$D$37,2,0),"0000")</f>
        <v>0029</v>
      </c>
      <c r="G938" s="261" t="str">
        <f t="shared" si="141"/>
        <v>0113</v>
      </c>
      <c r="H938" s="408">
        <f t="shared" si="142"/>
        <v>1</v>
      </c>
      <c r="I938" s="407" t="s">
        <v>1476</v>
      </c>
      <c r="J938" s="258" t="s">
        <v>110</v>
      </c>
      <c r="K938" s="258">
        <v>408</v>
      </c>
      <c r="L938" s="258" t="s">
        <v>3832</v>
      </c>
      <c r="M938" s="409">
        <v>42900000</v>
      </c>
      <c r="N938" s="258">
        <v>1199</v>
      </c>
      <c r="O938" s="258" t="s">
        <v>3800</v>
      </c>
      <c r="P938" s="258" t="s">
        <v>3781</v>
      </c>
      <c r="Q938" s="258" t="s">
        <v>72</v>
      </c>
      <c r="R938" s="258">
        <v>5</v>
      </c>
      <c r="S938" s="410">
        <v>26</v>
      </c>
      <c r="T938" s="261">
        <v>6</v>
      </c>
      <c r="U938" s="261">
        <v>6</v>
      </c>
      <c r="V938" s="258" t="s">
        <v>71</v>
      </c>
      <c r="W938" s="261" t="str">
        <f t="shared" si="144"/>
        <v>PEUGEOT4081.2 퓨어테크 GT42900000</v>
      </c>
      <c r="X938" s="411">
        <f t="shared" si="145"/>
        <v>4712</v>
      </c>
      <c r="Y938" s="261">
        <v>6</v>
      </c>
      <c r="Z938" s="261">
        <v>6</v>
      </c>
      <c r="AA938" s="407" t="s">
        <v>1476</v>
      </c>
      <c r="AB938" s="258" t="s">
        <v>3781</v>
      </c>
      <c r="AC938" s="258"/>
      <c r="AD938" s="258">
        <v>5</v>
      </c>
      <c r="AE938" s="258">
        <v>0</v>
      </c>
      <c r="AF938" s="259"/>
      <c r="AG938" s="260"/>
      <c r="AH938" s="259"/>
      <c r="AI938" s="259"/>
      <c r="AJ938" s="260"/>
      <c r="AK938" s="259">
        <v>17</v>
      </c>
      <c r="AL938" s="259"/>
      <c r="AM938" s="259" t="s">
        <v>3787</v>
      </c>
      <c r="AN938" s="449"/>
      <c r="AO938" s="449"/>
      <c r="AP938" s="449"/>
      <c r="AS938" s="259"/>
      <c r="BD938" s="202" t="str">
        <f t="shared" si="137"/>
        <v>4081.2 퓨어테크 GT</v>
      </c>
      <c r="BE938" s="261" t="str">
        <f t="shared" si="143"/>
        <v>0113</v>
      </c>
      <c r="BF938" s="407" t="s">
        <v>1476</v>
      </c>
      <c r="BG938" s="202" t="str">
        <f t="shared" si="138"/>
        <v>0113-0937</v>
      </c>
    </row>
    <row r="939" spans="1:59">
      <c r="A939" s="405">
        <v>4713</v>
      </c>
      <c r="B939" s="406">
        <v>4713</v>
      </c>
      <c r="C939" s="261" t="str">
        <f t="shared" si="139"/>
        <v>0029-0113</v>
      </c>
      <c r="D939" s="261" t="str">
        <f t="shared" si="140"/>
        <v>0029-0113-0002</v>
      </c>
      <c r="E939" s="407" t="s">
        <v>1477</v>
      </c>
      <c r="F939" s="261" t="str">
        <f>TEXT(VLOOKUP(J939,'[3]1'!$B$2:$D$37,2,0),"0000")</f>
        <v>0029</v>
      </c>
      <c r="G939" s="261" t="str">
        <f t="shared" si="141"/>
        <v>0113</v>
      </c>
      <c r="H939" s="408">
        <f t="shared" si="142"/>
        <v>2</v>
      </c>
      <c r="I939" s="407" t="s">
        <v>1477</v>
      </c>
      <c r="J939" s="258" t="s">
        <v>110</v>
      </c>
      <c r="K939" s="258">
        <v>408</v>
      </c>
      <c r="L939" s="258" t="s">
        <v>3833</v>
      </c>
      <c r="M939" s="409">
        <v>46900000</v>
      </c>
      <c r="N939" s="258">
        <v>1199</v>
      </c>
      <c r="O939" s="258" t="s">
        <v>3800</v>
      </c>
      <c r="P939" s="258" t="s">
        <v>3781</v>
      </c>
      <c r="Q939" s="258" t="s">
        <v>72</v>
      </c>
      <c r="R939" s="258">
        <v>5</v>
      </c>
      <c r="S939" s="410">
        <v>26</v>
      </c>
      <c r="T939" s="261">
        <v>6</v>
      </c>
      <c r="U939" s="261">
        <v>6</v>
      </c>
      <c r="V939" s="258" t="s">
        <v>71</v>
      </c>
      <c r="W939" s="261" t="str">
        <f t="shared" si="144"/>
        <v>PEUGEOT4081.2 퓨어테크 알뤼르46900000</v>
      </c>
      <c r="X939" s="411">
        <f t="shared" si="145"/>
        <v>4713</v>
      </c>
      <c r="Y939" s="261">
        <v>6</v>
      </c>
      <c r="Z939" s="261">
        <v>6</v>
      </c>
      <c r="AA939" s="407" t="s">
        <v>1477</v>
      </c>
      <c r="AB939" s="258" t="s">
        <v>3781</v>
      </c>
      <c r="AC939" s="267"/>
      <c r="AD939" s="267"/>
      <c r="AE939" s="267"/>
      <c r="AF939" s="270"/>
      <c r="AG939" s="307"/>
      <c r="AH939" s="270"/>
      <c r="AI939" s="270"/>
      <c r="AJ939" s="270"/>
      <c r="AK939" s="259">
        <v>17</v>
      </c>
      <c r="AL939" s="259"/>
      <c r="AM939" s="259" t="s">
        <v>3787</v>
      </c>
      <c r="AN939" s="449"/>
      <c r="AO939" s="449"/>
      <c r="AP939" s="449"/>
      <c r="AS939" s="259"/>
      <c r="BD939" s="202" t="str">
        <f t="shared" si="137"/>
        <v>4081.2 퓨어테크 알뤼르</v>
      </c>
      <c r="BE939" s="261" t="str">
        <f t="shared" si="143"/>
        <v>0113</v>
      </c>
      <c r="BF939" s="407" t="s">
        <v>1477</v>
      </c>
      <c r="BG939" s="202" t="str">
        <f t="shared" si="138"/>
        <v>0113-0938</v>
      </c>
    </row>
    <row r="940" spans="1:59">
      <c r="A940" s="405">
        <v>4714</v>
      </c>
      <c r="B940" s="406">
        <v>4714</v>
      </c>
      <c r="C940" s="261" t="str">
        <f t="shared" si="139"/>
        <v>0029-0114</v>
      </c>
      <c r="D940" s="261" t="str">
        <f t="shared" si="140"/>
        <v>0029-0114-0001</v>
      </c>
      <c r="E940" s="407" t="s">
        <v>1478</v>
      </c>
      <c r="F940" s="261" t="str">
        <f>TEXT(VLOOKUP(J940,'[3]1'!$B$2:$D$37,2,0),"0000")</f>
        <v>0029</v>
      </c>
      <c r="G940" s="261" t="str">
        <f t="shared" si="141"/>
        <v>0114</v>
      </c>
      <c r="H940" s="408">
        <f t="shared" si="142"/>
        <v>1</v>
      </c>
      <c r="I940" s="407" t="s">
        <v>1478</v>
      </c>
      <c r="J940" s="258" t="s">
        <v>110</v>
      </c>
      <c r="K940" s="258">
        <v>5008</v>
      </c>
      <c r="L940" s="258" t="s">
        <v>3835</v>
      </c>
      <c r="M940" s="409">
        <v>46000000</v>
      </c>
      <c r="N940" s="258">
        <v>1199</v>
      </c>
      <c r="O940" s="258" t="s">
        <v>3800</v>
      </c>
      <c r="P940" s="258" t="s">
        <v>3781</v>
      </c>
      <c r="Q940" s="258" t="s">
        <v>72</v>
      </c>
      <c r="R940" s="258">
        <v>5</v>
      </c>
      <c r="S940" s="410">
        <v>26</v>
      </c>
      <c r="T940" s="261">
        <v>6</v>
      </c>
      <c r="U940" s="261">
        <v>6</v>
      </c>
      <c r="V940" s="258" t="s">
        <v>71</v>
      </c>
      <c r="W940" s="261" t="str">
        <f t="shared" si="144"/>
        <v>PEUGEOT50081.2 알뤼르46000000</v>
      </c>
      <c r="X940" s="411">
        <f t="shared" si="145"/>
        <v>4714</v>
      </c>
      <c r="Y940" s="261">
        <v>6</v>
      </c>
      <c r="Z940" s="261">
        <v>6</v>
      </c>
      <c r="AA940" s="407" t="s">
        <v>1478</v>
      </c>
      <c r="AB940" s="258" t="s">
        <v>3781</v>
      </c>
      <c r="AC940" s="267"/>
      <c r="AD940" s="267"/>
      <c r="AE940" s="267"/>
      <c r="AF940" s="270"/>
      <c r="AG940" s="307"/>
      <c r="AH940" s="270"/>
      <c r="AI940" s="270"/>
      <c r="AJ940" s="270"/>
      <c r="AK940" s="259">
        <v>17</v>
      </c>
      <c r="AL940" s="259"/>
      <c r="AM940" s="259" t="s">
        <v>3787</v>
      </c>
      <c r="AN940" s="449"/>
      <c r="AO940" s="449"/>
      <c r="AP940" s="449"/>
      <c r="AS940" s="259"/>
      <c r="BD940" s="202" t="str">
        <f t="shared" si="137"/>
        <v>50081.2 알뤼르</v>
      </c>
      <c r="BE940" s="261" t="str">
        <f t="shared" si="143"/>
        <v>0114</v>
      </c>
      <c r="BF940" s="407" t="s">
        <v>1478</v>
      </c>
      <c r="BG940" s="202" t="str">
        <f t="shared" si="138"/>
        <v>0114-0939</v>
      </c>
    </row>
    <row r="941" spans="1:59">
      <c r="A941" s="405">
        <v>4715</v>
      </c>
      <c r="B941" s="406">
        <v>4715</v>
      </c>
      <c r="C941" s="261" t="str">
        <f t="shared" si="139"/>
        <v>0029-0114</v>
      </c>
      <c r="D941" s="261" t="str">
        <f t="shared" si="140"/>
        <v>0029-0114-0002</v>
      </c>
      <c r="E941" s="407" t="s">
        <v>1479</v>
      </c>
      <c r="F941" s="261" t="str">
        <f>TEXT(VLOOKUP(J941,'[3]1'!$B$2:$D$37,2,0),"0000")</f>
        <v>0029</v>
      </c>
      <c r="G941" s="261" t="str">
        <f t="shared" si="141"/>
        <v>0114</v>
      </c>
      <c r="H941" s="408">
        <f t="shared" si="142"/>
        <v>2</v>
      </c>
      <c r="I941" s="407" t="s">
        <v>1479</v>
      </c>
      <c r="J941" s="258" t="s">
        <v>110</v>
      </c>
      <c r="K941" s="258">
        <v>5008</v>
      </c>
      <c r="L941" s="258" t="s">
        <v>3836</v>
      </c>
      <c r="M941" s="409">
        <v>49000000</v>
      </c>
      <c r="N941" s="258">
        <v>1199</v>
      </c>
      <c r="O941" s="258" t="s">
        <v>3800</v>
      </c>
      <c r="P941" s="258" t="s">
        <v>3781</v>
      </c>
      <c r="Q941" s="258" t="s">
        <v>72</v>
      </c>
      <c r="R941" s="258">
        <v>5</v>
      </c>
      <c r="S941" s="410">
        <v>26</v>
      </c>
      <c r="T941" s="261">
        <v>6</v>
      </c>
      <c r="U941" s="261">
        <v>6</v>
      </c>
      <c r="V941" s="258" t="s">
        <v>71</v>
      </c>
      <c r="W941" s="261" t="str">
        <f t="shared" si="144"/>
        <v>PEUGEOT50081.2 GT49000000</v>
      </c>
      <c r="X941" s="411">
        <f t="shared" si="145"/>
        <v>4715</v>
      </c>
      <c r="Y941" s="261">
        <v>6</v>
      </c>
      <c r="Z941" s="261">
        <v>6</v>
      </c>
      <c r="AA941" s="407" t="s">
        <v>1479</v>
      </c>
      <c r="AB941" s="258" t="s">
        <v>3781</v>
      </c>
      <c r="AC941" s="267"/>
      <c r="AD941" s="267"/>
      <c r="AE941" s="267"/>
      <c r="AF941" s="270"/>
      <c r="AG941" s="307"/>
      <c r="AH941" s="270"/>
      <c r="AI941" s="270"/>
      <c r="AJ941" s="270"/>
      <c r="AK941" s="259">
        <v>17</v>
      </c>
      <c r="AL941" s="259"/>
      <c r="AM941" s="259" t="s">
        <v>3787</v>
      </c>
      <c r="AN941" s="449"/>
      <c r="AO941" s="449"/>
      <c r="AP941" s="449"/>
      <c r="AS941" s="259"/>
      <c r="BD941" s="202" t="str">
        <f t="shared" si="137"/>
        <v>50081.2 GT</v>
      </c>
      <c r="BE941" s="261" t="str">
        <f t="shared" si="143"/>
        <v>0114</v>
      </c>
      <c r="BF941" s="407" t="s">
        <v>1479</v>
      </c>
      <c r="BG941" s="202" t="str">
        <f t="shared" si="138"/>
        <v>0114-0940</v>
      </c>
    </row>
    <row r="942" spans="1:59">
      <c r="A942" s="405">
        <v>4716</v>
      </c>
      <c r="B942" s="406">
        <v>4716</v>
      </c>
      <c r="C942" s="261" t="str">
        <f t="shared" si="139"/>
        <v>0029-0115</v>
      </c>
      <c r="D942" s="261" t="str">
        <f t="shared" si="140"/>
        <v>0029-0115-0001</v>
      </c>
      <c r="E942" s="407" t="s">
        <v>1480</v>
      </c>
      <c r="F942" s="261" t="str">
        <f>TEXT(VLOOKUP(J942,'[3]1'!$B$2:$D$37,2,0),"0000")</f>
        <v>0029</v>
      </c>
      <c r="G942" s="261" t="str">
        <f t="shared" si="141"/>
        <v>0115</v>
      </c>
      <c r="H942" s="408">
        <f t="shared" si="142"/>
        <v>1</v>
      </c>
      <c r="I942" s="407" t="s">
        <v>1480</v>
      </c>
      <c r="J942" s="258" t="s">
        <v>110</v>
      </c>
      <c r="K942" s="258">
        <v>508</v>
      </c>
      <c r="L942" s="258" t="s">
        <v>3834</v>
      </c>
      <c r="M942" s="409">
        <v>45900000</v>
      </c>
      <c r="N942" s="258">
        <v>1499</v>
      </c>
      <c r="O942" s="258" t="s">
        <v>3831</v>
      </c>
      <c r="P942" s="258" t="s">
        <v>3827</v>
      </c>
      <c r="Q942" s="258" t="s">
        <v>72</v>
      </c>
      <c r="R942" s="258">
        <v>5</v>
      </c>
      <c r="S942" s="410">
        <v>26</v>
      </c>
      <c r="T942" s="261">
        <v>6</v>
      </c>
      <c r="U942" s="261">
        <v>6</v>
      </c>
      <c r="V942" s="258" t="s">
        <v>71</v>
      </c>
      <c r="W942" s="261" t="str">
        <f t="shared" si="144"/>
        <v>PEUGEOT5081.5 블루HDi 알뤼르45900000</v>
      </c>
      <c r="X942" s="411">
        <f t="shared" si="145"/>
        <v>4716</v>
      </c>
      <c r="Y942" s="261">
        <v>6</v>
      </c>
      <c r="Z942" s="261">
        <v>6</v>
      </c>
      <c r="AA942" s="407" t="s">
        <v>1480</v>
      </c>
      <c r="AB942" s="267" t="s">
        <v>3827</v>
      </c>
      <c r="AC942" s="267"/>
      <c r="AD942" s="267"/>
      <c r="AE942" s="267"/>
      <c r="AF942" s="270"/>
      <c r="AG942" s="307"/>
      <c r="AH942" s="270"/>
      <c r="AI942" s="270"/>
      <c r="AJ942" s="270"/>
      <c r="AK942" s="259">
        <v>22</v>
      </c>
      <c r="AL942" s="259"/>
      <c r="AM942" s="259" t="s">
        <v>3829</v>
      </c>
      <c r="AN942" s="449"/>
      <c r="AO942" s="449"/>
      <c r="AP942" s="449"/>
      <c r="AS942" s="259"/>
      <c r="BD942" s="202" t="str">
        <f t="shared" si="137"/>
        <v>5081.5 블루HDi 알뤼르</v>
      </c>
      <c r="BE942" s="261" t="str">
        <f t="shared" si="143"/>
        <v>0115</v>
      </c>
      <c r="BF942" s="407" t="s">
        <v>1480</v>
      </c>
      <c r="BG942" s="202" t="str">
        <f t="shared" si="138"/>
        <v>0115-0941</v>
      </c>
    </row>
    <row r="943" spans="1:59">
      <c r="A943" s="405">
        <v>4717</v>
      </c>
      <c r="B943" s="406">
        <v>4717</v>
      </c>
      <c r="C943" s="261" t="str">
        <f t="shared" si="139"/>
        <v>0026-0116</v>
      </c>
      <c r="D943" s="261" t="str">
        <f t="shared" si="140"/>
        <v>0026-0116-0001</v>
      </c>
      <c r="E943" s="407" t="s">
        <v>1481</v>
      </c>
      <c r="F943" s="261" t="str">
        <f>TEXT(VLOOKUP(J943,'[3]1'!$B$2:$D$37,2,0),"0000")</f>
        <v>0026</v>
      </c>
      <c r="G943" s="261" t="str">
        <f t="shared" si="141"/>
        <v>0116</v>
      </c>
      <c r="H943" s="408">
        <f t="shared" si="142"/>
        <v>1</v>
      </c>
      <c r="I943" s="407" t="s">
        <v>1481</v>
      </c>
      <c r="J943" s="258" t="s">
        <v>112</v>
      </c>
      <c r="K943" s="258" t="s">
        <v>3846</v>
      </c>
      <c r="L943" s="258" t="s">
        <v>3839</v>
      </c>
      <c r="M943" s="409">
        <v>63400000</v>
      </c>
      <c r="N943" s="258">
        <v>1998</v>
      </c>
      <c r="O943" s="258" t="s">
        <v>78</v>
      </c>
      <c r="P943" s="258" t="s">
        <v>73</v>
      </c>
      <c r="Q943" s="258" t="s">
        <v>72</v>
      </c>
      <c r="R943" s="258">
        <v>5</v>
      </c>
      <c r="S943" s="410">
        <v>8</v>
      </c>
      <c r="T943" s="261">
        <v>6</v>
      </c>
      <c r="U943" s="261">
        <v>6</v>
      </c>
      <c r="V943" s="258" t="s">
        <v>71</v>
      </c>
      <c r="W943" s="261" t="str">
        <f t="shared" si="144"/>
        <v>MINI CLUBMANJCW 언톨드 에디션63400000</v>
      </c>
      <c r="X943" s="411">
        <f t="shared" si="145"/>
        <v>4717</v>
      </c>
      <c r="Y943" s="261">
        <v>6</v>
      </c>
      <c r="Z943" s="261">
        <v>6</v>
      </c>
      <c r="AA943" s="407" t="s">
        <v>1481</v>
      </c>
      <c r="AB943" s="258" t="s">
        <v>73</v>
      </c>
      <c r="AC943" s="258"/>
      <c r="AD943" s="258">
        <v>4</v>
      </c>
      <c r="AE943" s="258">
        <v>0</v>
      </c>
      <c r="AF943" s="259"/>
      <c r="AG943" s="260"/>
      <c r="AH943" s="259"/>
      <c r="AI943" s="259"/>
      <c r="AJ943" s="260"/>
      <c r="AK943" s="259">
        <v>15</v>
      </c>
      <c r="AL943" s="259"/>
      <c r="AM943" s="259" t="s">
        <v>3841</v>
      </c>
      <c r="AN943" s="449"/>
      <c r="AO943" s="449"/>
      <c r="AP943" s="449"/>
      <c r="AQ943" s="392" t="str">
        <f>IFERROR(VLOOKUP(BG943,#REF!,1,0),"")</f>
        <v/>
      </c>
      <c r="AS943" s="259" t="s">
        <v>3231</v>
      </c>
      <c r="BD943" s="202" t="str">
        <f t="shared" si="137"/>
        <v xml:space="preserve"> CLUBMANJCW 언톨드 에디션</v>
      </c>
      <c r="BE943" s="261" t="str">
        <f t="shared" si="143"/>
        <v>0116</v>
      </c>
      <c r="BF943" s="407" t="s">
        <v>1481</v>
      </c>
      <c r="BG943" s="202" t="str">
        <f t="shared" si="138"/>
        <v>0116-0942</v>
      </c>
    </row>
    <row r="944" spans="1:59">
      <c r="A944" s="405">
        <v>4718</v>
      </c>
      <c r="B944" s="406">
        <v>4718</v>
      </c>
      <c r="C944" s="261" t="str">
        <f t="shared" si="139"/>
        <v>0026-0116</v>
      </c>
      <c r="D944" s="261" t="str">
        <f t="shared" si="140"/>
        <v>0026-0116-0002</v>
      </c>
      <c r="E944" s="407" t="s">
        <v>1482</v>
      </c>
      <c r="F944" s="261" t="str">
        <f>TEXT(VLOOKUP(J944,'[3]1'!$B$2:$D$37,2,0),"0000")</f>
        <v>0026</v>
      </c>
      <c r="G944" s="261" t="str">
        <f t="shared" si="141"/>
        <v>0116</v>
      </c>
      <c r="H944" s="408">
        <f t="shared" si="142"/>
        <v>2</v>
      </c>
      <c r="I944" s="407" t="s">
        <v>1482</v>
      </c>
      <c r="J944" s="258" t="s">
        <v>112</v>
      </c>
      <c r="K944" s="258" t="s">
        <v>3846</v>
      </c>
      <c r="L944" s="258" t="s">
        <v>3837</v>
      </c>
      <c r="M944" s="409">
        <v>52300000</v>
      </c>
      <c r="N944" s="258">
        <v>1998</v>
      </c>
      <c r="O944" s="258" t="s">
        <v>78</v>
      </c>
      <c r="P944" s="258" t="s">
        <v>73</v>
      </c>
      <c r="Q944" s="258" t="s">
        <v>72</v>
      </c>
      <c r="R944" s="258">
        <v>5</v>
      </c>
      <c r="S944" s="410">
        <v>8</v>
      </c>
      <c r="T944" s="261">
        <v>6</v>
      </c>
      <c r="U944" s="261">
        <v>6</v>
      </c>
      <c r="V944" s="258" t="s">
        <v>71</v>
      </c>
      <c r="W944" s="261" t="str">
        <f t="shared" si="144"/>
        <v>MINI CLUBMAN쿠퍼 S 클래식52300000</v>
      </c>
      <c r="X944" s="411">
        <f t="shared" si="145"/>
        <v>4718</v>
      </c>
      <c r="Y944" s="261">
        <v>6</v>
      </c>
      <c r="Z944" s="261">
        <v>6</v>
      </c>
      <c r="AA944" s="407" t="s">
        <v>1482</v>
      </c>
      <c r="AB944" s="258" t="s">
        <v>73</v>
      </c>
      <c r="AC944" s="258"/>
      <c r="AD944" s="258">
        <v>4</v>
      </c>
      <c r="AE944" s="258">
        <v>0</v>
      </c>
      <c r="AF944" s="259"/>
      <c r="AG944" s="260"/>
      <c r="AH944" s="259"/>
      <c r="AI944" s="259"/>
      <c r="AJ944" s="260"/>
      <c r="AK944" s="259">
        <v>15</v>
      </c>
      <c r="AL944" s="259"/>
      <c r="AM944" s="259" t="s">
        <v>3841</v>
      </c>
      <c r="AN944" s="449"/>
      <c r="AO944" s="449"/>
      <c r="AP944" s="449"/>
      <c r="AQ944" s="392" t="str">
        <f>IFERROR(VLOOKUP(BG944,#REF!,1,0),"")</f>
        <v/>
      </c>
      <c r="AS944" s="259" t="s">
        <v>3231</v>
      </c>
      <c r="BD944" s="202" t="str">
        <f t="shared" si="137"/>
        <v xml:space="preserve"> CLUBMAN쿠퍼 S 클래식</v>
      </c>
      <c r="BE944" s="261" t="str">
        <f t="shared" si="143"/>
        <v>0116</v>
      </c>
      <c r="BF944" s="407" t="s">
        <v>1482</v>
      </c>
      <c r="BG944" s="202" t="str">
        <f t="shared" si="138"/>
        <v>0116-0943</v>
      </c>
    </row>
    <row r="945" spans="1:59">
      <c r="A945" s="405">
        <v>4719</v>
      </c>
      <c r="B945" s="406">
        <v>4719</v>
      </c>
      <c r="C945" s="261" t="str">
        <f t="shared" si="139"/>
        <v>0026-0116</v>
      </c>
      <c r="D945" s="261" t="str">
        <f t="shared" si="140"/>
        <v>0026-0116-0003</v>
      </c>
      <c r="E945" s="407" t="s">
        <v>1483</v>
      </c>
      <c r="F945" s="261" t="str">
        <f>TEXT(VLOOKUP(J945,'[3]1'!$B$2:$D$37,2,0),"0000")</f>
        <v>0026</v>
      </c>
      <c r="G945" s="261" t="str">
        <f t="shared" si="141"/>
        <v>0116</v>
      </c>
      <c r="H945" s="408">
        <f t="shared" si="142"/>
        <v>3</v>
      </c>
      <c r="I945" s="407" t="s">
        <v>1483</v>
      </c>
      <c r="J945" s="258" t="s">
        <v>112</v>
      </c>
      <c r="K945" s="258" t="s">
        <v>3846</v>
      </c>
      <c r="L945" s="258" t="s">
        <v>3840</v>
      </c>
      <c r="M945" s="409">
        <v>53200000</v>
      </c>
      <c r="N945" s="258">
        <v>1998</v>
      </c>
      <c r="O945" s="258" t="s">
        <v>77</v>
      </c>
      <c r="P945" s="258" t="s">
        <v>73</v>
      </c>
      <c r="Q945" s="258" t="s">
        <v>72</v>
      </c>
      <c r="R945" s="258">
        <v>5</v>
      </c>
      <c r="S945" s="410">
        <v>8</v>
      </c>
      <c r="T945" s="261">
        <v>6</v>
      </c>
      <c r="U945" s="261">
        <v>6</v>
      </c>
      <c r="V945" s="258" t="s">
        <v>71</v>
      </c>
      <c r="W945" s="261" t="str">
        <f t="shared" si="144"/>
        <v>MINI CLUBMAN쿠퍼 S 언톨드 에디션53200000</v>
      </c>
      <c r="X945" s="411">
        <f t="shared" si="145"/>
        <v>4719</v>
      </c>
      <c r="Y945" s="261">
        <v>6</v>
      </c>
      <c r="Z945" s="261">
        <v>6</v>
      </c>
      <c r="AA945" s="407" t="s">
        <v>1483</v>
      </c>
      <c r="AB945" s="258" t="s">
        <v>73</v>
      </c>
      <c r="AC945" s="258"/>
      <c r="AD945" s="258">
        <v>4</v>
      </c>
      <c r="AE945" s="258">
        <v>0</v>
      </c>
      <c r="AF945" s="259"/>
      <c r="AG945" s="260"/>
      <c r="AH945" s="259"/>
      <c r="AI945" s="259"/>
      <c r="AJ945" s="260"/>
      <c r="AK945" s="259">
        <v>15</v>
      </c>
      <c r="AL945" s="259"/>
      <c r="AM945" s="259" t="s">
        <v>3841</v>
      </c>
      <c r="AN945" s="449"/>
      <c r="AO945" s="449"/>
      <c r="AP945" s="449"/>
      <c r="AQ945" s="392" t="str">
        <f>IFERROR(VLOOKUP(BG945,#REF!,1,0),"")</f>
        <v/>
      </c>
      <c r="AS945" s="259" t="s">
        <v>3231</v>
      </c>
      <c r="BD945" s="202" t="str">
        <f t="shared" si="137"/>
        <v xml:space="preserve"> CLUBMAN쿠퍼 S 언톨드 에디션</v>
      </c>
      <c r="BE945" s="261" t="str">
        <f t="shared" si="143"/>
        <v>0116</v>
      </c>
      <c r="BF945" s="407" t="s">
        <v>1483</v>
      </c>
      <c r="BG945" s="202" t="str">
        <f t="shared" si="138"/>
        <v>0116-0944</v>
      </c>
    </row>
    <row r="946" spans="1:59">
      <c r="A946" s="405">
        <v>4720</v>
      </c>
      <c r="B946" s="406">
        <v>4720</v>
      </c>
      <c r="C946" s="261" t="str">
        <f t="shared" si="139"/>
        <v>0026-0116</v>
      </c>
      <c r="D946" s="261" t="str">
        <f t="shared" si="140"/>
        <v>0026-0116-0004</v>
      </c>
      <c r="E946" s="407" t="s">
        <v>1484</v>
      </c>
      <c r="F946" s="261" t="str">
        <f>TEXT(VLOOKUP(J946,'[3]1'!$B$2:$D$37,2,0),"0000")</f>
        <v>0026</v>
      </c>
      <c r="G946" s="261" t="str">
        <f t="shared" si="141"/>
        <v>0116</v>
      </c>
      <c r="H946" s="408">
        <f t="shared" si="142"/>
        <v>4</v>
      </c>
      <c r="I946" s="407" t="s">
        <v>1484</v>
      </c>
      <c r="J946" s="258" t="s">
        <v>112</v>
      </c>
      <c r="K946" s="258" t="s">
        <v>3846</v>
      </c>
      <c r="L946" s="258" t="s">
        <v>3838</v>
      </c>
      <c r="M946" s="409">
        <v>43700000</v>
      </c>
      <c r="N946" s="258">
        <v>1499</v>
      </c>
      <c r="O946" s="258" t="s">
        <v>77</v>
      </c>
      <c r="P946" s="258" t="s">
        <v>73</v>
      </c>
      <c r="Q946" s="258" t="s">
        <v>72</v>
      </c>
      <c r="R946" s="258">
        <v>5</v>
      </c>
      <c r="S946" s="410">
        <v>8</v>
      </c>
      <c r="T946" s="261">
        <v>6</v>
      </c>
      <c r="U946" s="261">
        <v>6</v>
      </c>
      <c r="V946" s="258" t="s">
        <v>71</v>
      </c>
      <c r="W946" s="261" t="str">
        <f t="shared" si="144"/>
        <v>MINI CLUBMAN쿠퍼 클래식43700000</v>
      </c>
      <c r="X946" s="411">
        <f t="shared" si="145"/>
        <v>4720</v>
      </c>
      <c r="Y946" s="261">
        <v>6</v>
      </c>
      <c r="Z946" s="261">
        <v>6</v>
      </c>
      <c r="AA946" s="407" t="s">
        <v>1484</v>
      </c>
      <c r="AB946" s="258" t="s">
        <v>73</v>
      </c>
      <c r="AC946" s="258"/>
      <c r="AD946" s="258">
        <v>4</v>
      </c>
      <c r="AE946" s="258">
        <v>0</v>
      </c>
      <c r="AF946" s="259"/>
      <c r="AG946" s="260"/>
      <c r="AH946" s="259"/>
      <c r="AI946" s="259"/>
      <c r="AJ946" s="260"/>
      <c r="AK946" s="259">
        <v>15</v>
      </c>
      <c r="AL946" s="259"/>
      <c r="AM946" s="259" t="s">
        <v>3841</v>
      </c>
      <c r="AN946" s="449"/>
      <c r="AO946" s="449"/>
      <c r="AP946" s="449"/>
      <c r="AQ946" s="392" t="str">
        <f>IFERROR(VLOOKUP(BG946,#REF!,1,0),"")</f>
        <v/>
      </c>
      <c r="AS946" s="259" t="s">
        <v>3231</v>
      </c>
      <c r="BD946" s="202" t="str">
        <f t="shared" si="137"/>
        <v xml:space="preserve"> CLUBMAN쿠퍼 클래식</v>
      </c>
      <c r="BE946" s="261" t="str">
        <f t="shared" si="143"/>
        <v>0116</v>
      </c>
      <c r="BF946" s="407" t="s">
        <v>1484</v>
      </c>
      <c r="BG946" s="202" t="str">
        <f t="shared" si="138"/>
        <v>0116-0945</v>
      </c>
    </row>
    <row r="947" spans="1:59">
      <c r="A947" s="405">
        <v>4721</v>
      </c>
      <c r="B947" s="406">
        <v>4721</v>
      </c>
      <c r="C947" s="261" t="str">
        <f t="shared" si="139"/>
        <v>0026-0116</v>
      </c>
      <c r="D947" s="261" t="str">
        <f t="shared" si="140"/>
        <v>0026-0116-0005</v>
      </c>
      <c r="E947" s="407" t="s">
        <v>1485</v>
      </c>
      <c r="F947" s="261" t="str">
        <f>TEXT(VLOOKUP(J947,'[3]1'!$B$2:$D$37,2,0),"0000")</f>
        <v>0026</v>
      </c>
      <c r="G947" s="261" t="str">
        <f t="shared" si="141"/>
        <v>0116</v>
      </c>
      <c r="H947" s="408">
        <f t="shared" si="142"/>
        <v>5</v>
      </c>
      <c r="I947" s="407" t="s">
        <v>1485</v>
      </c>
      <c r="J947" s="258" t="s">
        <v>112</v>
      </c>
      <c r="K947" s="258" t="s">
        <v>3846</v>
      </c>
      <c r="L947" s="258" t="s">
        <v>3845</v>
      </c>
      <c r="M947" s="409">
        <v>63200000</v>
      </c>
      <c r="N947" s="258">
        <v>1998</v>
      </c>
      <c r="O947" s="258" t="s">
        <v>77</v>
      </c>
      <c r="P947" s="258" t="s">
        <v>73</v>
      </c>
      <c r="Q947" s="258" t="s">
        <v>72</v>
      </c>
      <c r="R947" s="258">
        <v>5</v>
      </c>
      <c r="S947" s="410">
        <v>8</v>
      </c>
      <c r="T947" s="261">
        <v>6</v>
      </c>
      <c r="U947" s="261">
        <v>6</v>
      </c>
      <c r="V947" s="258" t="s">
        <v>71</v>
      </c>
      <c r="W947" s="261" t="str">
        <f t="shared" si="144"/>
        <v>MINI CLUBMANJCW 올포63200000</v>
      </c>
      <c r="X947" s="411">
        <f t="shared" si="145"/>
        <v>4721</v>
      </c>
      <c r="Y947" s="261">
        <v>6</v>
      </c>
      <c r="Z947" s="261">
        <v>6</v>
      </c>
      <c r="AA947" s="407" t="s">
        <v>1485</v>
      </c>
      <c r="AB947" s="258" t="s">
        <v>73</v>
      </c>
      <c r="AC947" s="258"/>
      <c r="AD947" s="258">
        <v>4</v>
      </c>
      <c r="AE947" s="258">
        <v>0</v>
      </c>
      <c r="AF947" s="259"/>
      <c r="AG947" s="260"/>
      <c r="AH947" s="259"/>
      <c r="AI947" s="259"/>
      <c r="AJ947" s="260"/>
      <c r="AK947" s="259">
        <v>15</v>
      </c>
      <c r="AL947" s="259"/>
      <c r="AM947" s="259" t="s">
        <v>3841</v>
      </c>
      <c r="AN947" s="449"/>
      <c r="AO947" s="449"/>
      <c r="AP947" s="449"/>
      <c r="AQ947" s="392" t="str">
        <f>IFERROR(VLOOKUP(BG947,#REF!,1,0),"")</f>
        <v/>
      </c>
      <c r="AS947" s="259" t="s">
        <v>3231</v>
      </c>
      <c r="BD947" s="202" t="str">
        <f t="shared" si="137"/>
        <v xml:space="preserve"> CLUBMANJCW 올포</v>
      </c>
      <c r="BE947" s="261" t="str">
        <f t="shared" si="143"/>
        <v>0116</v>
      </c>
      <c r="BF947" s="407" t="s">
        <v>1485</v>
      </c>
      <c r="BG947" s="202" t="str">
        <f t="shared" si="138"/>
        <v>0116-0946</v>
      </c>
    </row>
    <row r="948" spans="1:59">
      <c r="A948" s="405">
        <v>4722</v>
      </c>
      <c r="B948" s="406">
        <v>4722</v>
      </c>
      <c r="C948" s="261" t="str">
        <f t="shared" si="139"/>
        <v>0026-0117</v>
      </c>
      <c r="D948" s="261" t="str">
        <f t="shared" si="140"/>
        <v>0026-0117-0001</v>
      </c>
      <c r="E948" s="407" t="s">
        <v>1486</v>
      </c>
      <c r="F948" s="261" t="str">
        <f>TEXT(VLOOKUP(J948,'[3]1'!$B$2:$D$37,2,0),"0000")</f>
        <v>0026</v>
      </c>
      <c r="G948" s="261" t="str">
        <f t="shared" si="141"/>
        <v>0117</v>
      </c>
      <c r="H948" s="408">
        <f t="shared" si="142"/>
        <v>1</v>
      </c>
      <c r="I948" s="407" t="s">
        <v>1486</v>
      </c>
      <c r="J948" s="258" t="s">
        <v>112</v>
      </c>
      <c r="K948" s="258" t="s">
        <v>3847</v>
      </c>
      <c r="L948" s="258" t="s">
        <v>3842</v>
      </c>
      <c r="M948" s="409">
        <v>47000000</v>
      </c>
      <c r="N948" s="258">
        <v>1499</v>
      </c>
      <c r="O948" s="258" t="s">
        <v>77</v>
      </c>
      <c r="P948" s="258" t="s">
        <v>73</v>
      </c>
      <c r="Q948" s="258" t="s">
        <v>72</v>
      </c>
      <c r="R948" s="258">
        <v>4</v>
      </c>
      <c r="S948" s="410">
        <v>8</v>
      </c>
      <c r="T948" s="261">
        <v>6</v>
      </c>
      <c r="U948" s="261">
        <v>6</v>
      </c>
      <c r="V948" s="258" t="s">
        <v>71</v>
      </c>
      <c r="W948" s="261" t="str">
        <f t="shared" si="144"/>
        <v>MINI CONVERTIBLE쿠퍼 클래식47000000</v>
      </c>
      <c r="X948" s="411">
        <f t="shared" si="145"/>
        <v>4722</v>
      </c>
      <c r="Y948" s="261">
        <v>6</v>
      </c>
      <c r="Z948" s="261">
        <v>6</v>
      </c>
      <c r="AA948" s="407" t="s">
        <v>1486</v>
      </c>
      <c r="AB948" s="258" t="s">
        <v>73</v>
      </c>
      <c r="AC948" s="258"/>
      <c r="AD948" s="258">
        <v>5</v>
      </c>
      <c r="AE948" s="258">
        <v>2</v>
      </c>
      <c r="AF948" s="259"/>
      <c r="AG948" s="260"/>
      <c r="AH948" s="259"/>
      <c r="AI948" s="259"/>
      <c r="AJ948" s="260"/>
      <c r="AK948" s="259">
        <v>15</v>
      </c>
      <c r="AL948" s="259"/>
      <c r="AM948" s="259" t="s">
        <v>3841</v>
      </c>
      <c r="AN948" s="449"/>
      <c r="AO948" s="449"/>
      <c r="AP948" s="449"/>
      <c r="AQ948" s="392" t="str">
        <f>IFERROR(VLOOKUP(BG948,#REF!,1,0),"")</f>
        <v/>
      </c>
      <c r="AS948" s="259" t="s">
        <v>3231</v>
      </c>
      <c r="BD948" s="202" t="str">
        <f t="shared" si="137"/>
        <v xml:space="preserve"> CONVERTIBLE쿠퍼 클래식</v>
      </c>
      <c r="BE948" s="261" t="str">
        <f t="shared" si="143"/>
        <v>0117</v>
      </c>
      <c r="BF948" s="407" t="s">
        <v>1486</v>
      </c>
      <c r="BG948" s="202" t="str">
        <f t="shared" si="138"/>
        <v>0117-0947</v>
      </c>
    </row>
    <row r="949" spans="1:59">
      <c r="A949" s="405">
        <v>4723</v>
      </c>
      <c r="B949" s="406">
        <v>4723</v>
      </c>
      <c r="C949" s="261" t="str">
        <f t="shared" si="139"/>
        <v>0026-0117</v>
      </c>
      <c r="D949" s="261" t="str">
        <f t="shared" si="140"/>
        <v>0026-0117-0002</v>
      </c>
      <c r="E949" s="407" t="s">
        <v>1487</v>
      </c>
      <c r="F949" s="261" t="str">
        <f>TEXT(VLOOKUP(J949,'[3]1'!$B$2:$D$37,2,0),"0000")</f>
        <v>0026</v>
      </c>
      <c r="G949" s="261" t="str">
        <f t="shared" si="141"/>
        <v>0117</v>
      </c>
      <c r="H949" s="408">
        <f t="shared" si="142"/>
        <v>2</v>
      </c>
      <c r="I949" s="407" t="s">
        <v>1487</v>
      </c>
      <c r="J949" s="258" t="s">
        <v>112</v>
      </c>
      <c r="K949" s="258" t="s">
        <v>3847</v>
      </c>
      <c r="L949" s="258" t="s">
        <v>3859</v>
      </c>
      <c r="M949" s="409">
        <v>52700000</v>
      </c>
      <c r="N949" s="258">
        <v>1998</v>
      </c>
      <c r="O949" s="258" t="s">
        <v>77</v>
      </c>
      <c r="P949" s="258" t="s">
        <v>73</v>
      </c>
      <c r="Q949" s="258" t="s">
        <v>72</v>
      </c>
      <c r="R949" s="258">
        <v>4</v>
      </c>
      <c r="S949" s="410">
        <v>8</v>
      </c>
      <c r="T949" s="261">
        <v>6</v>
      </c>
      <c r="U949" s="261">
        <v>6</v>
      </c>
      <c r="V949" s="258" t="s">
        <v>71</v>
      </c>
      <c r="W949" s="261" t="str">
        <f t="shared" si="144"/>
        <v>MINI CONVERTIBLE쿠퍼 S 클래식52700000</v>
      </c>
      <c r="X949" s="411">
        <f t="shared" si="145"/>
        <v>4723</v>
      </c>
      <c r="Y949" s="261">
        <v>6</v>
      </c>
      <c r="Z949" s="261">
        <v>6</v>
      </c>
      <c r="AA949" s="407" t="s">
        <v>1487</v>
      </c>
      <c r="AB949" s="258" t="s">
        <v>73</v>
      </c>
      <c r="AC949" s="258"/>
      <c r="AD949" s="258">
        <v>5</v>
      </c>
      <c r="AE949" s="258">
        <v>2</v>
      </c>
      <c r="AF949" s="259"/>
      <c r="AG949" s="260"/>
      <c r="AH949" s="259"/>
      <c r="AI949" s="259"/>
      <c r="AJ949" s="260"/>
      <c r="AK949" s="259">
        <v>15</v>
      </c>
      <c r="AL949" s="259"/>
      <c r="AM949" s="259" t="s">
        <v>3841</v>
      </c>
      <c r="AN949" s="449"/>
      <c r="AO949" s="449"/>
      <c r="AP949" s="449"/>
      <c r="AQ949" s="392" t="str">
        <f>IFERROR(VLOOKUP(BG949,#REF!,1,0),"")</f>
        <v/>
      </c>
      <c r="AS949" s="259" t="s">
        <v>3231</v>
      </c>
      <c r="BD949" s="202" t="str">
        <f t="shared" si="137"/>
        <v xml:space="preserve"> CONVERTIBLE쿠퍼 S 클래식</v>
      </c>
      <c r="BE949" s="261" t="str">
        <f t="shared" si="143"/>
        <v>0117</v>
      </c>
      <c r="BF949" s="407" t="s">
        <v>1487</v>
      </c>
      <c r="BG949" s="202" t="str">
        <f t="shared" si="138"/>
        <v>0117-0948</v>
      </c>
    </row>
    <row r="950" spans="1:59">
      <c r="A950" s="405">
        <v>4724</v>
      </c>
      <c r="B950" s="406">
        <v>4724</v>
      </c>
      <c r="C950" s="261" t="str">
        <f t="shared" si="139"/>
        <v>0026-0117</v>
      </c>
      <c r="D950" s="261" t="str">
        <f t="shared" si="140"/>
        <v>0026-0117-0003</v>
      </c>
      <c r="E950" s="407" t="s">
        <v>1488</v>
      </c>
      <c r="F950" s="261" t="str">
        <f>TEXT(VLOOKUP(J950,'[3]1'!$B$2:$D$37,2,0),"0000")</f>
        <v>0026</v>
      </c>
      <c r="G950" s="261" t="str">
        <f t="shared" si="141"/>
        <v>0117</v>
      </c>
      <c r="H950" s="408">
        <f t="shared" si="142"/>
        <v>3</v>
      </c>
      <c r="I950" s="407" t="s">
        <v>1488</v>
      </c>
      <c r="J950" s="258" t="s">
        <v>112</v>
      </c>
      <c r="K950" s="258" t="s">
        <v>3847</v>
      </c>
      <c r="L950" s="258" t="s">
        <v>3844</v>
      </c>
      <c r="M950" s="409">
        <v>59300000</v>
      </c>
      <c r="N950" s="258">
        <v>1998</v>
      </c>
      <c r="O950" s="258" t="s">
        <v>77</v>
      </c>
      <c r="P950" s="258" t="s">
        <v>73</v>
      </c>
      <c r="Q950" s="258" t="s">
        <v>72</v>
      </c>
      <c r="R950" s="258">
        <v>4</v>
      </c>
      <c r="S950" s="410">
        <v>8</v>
      </c>
      <c r="T950" s="261">
        <v>6</v>
      </c>
      <c r="U950" s="261">
        <v>6</v>
      </c>
      <c r="V950" s="258" t="s">
        <v>71</v>
      </c>
      <c r="W950" s="261" t="str">
        <f t="shared" si="144"/>
        <v>MINI CONVERTIBLEJCW59300000</v>
      </c>
      <c r="X950" s="411">
        <f t="shared" si="145"/>
        <v>4724</v>
      </c>
      <c r="Y950" s="261">
        <v>6</v>
      </c>
      <c r="Z950" s="261">
        <v>6</v>
      </c>
      <c r="AA950" s="407" t="s">
        <v>1488</v>
      </c>
      <c r="AB950" s="258" t="s">
        <v>73</v>
      </c>
      <c r="AC950" s="258"/>
      <c r="AD950" s="258">
        <v>5</v>
      </c>
      <c r="AE950" s="258">
        <v>2</v>
      </c>
      <c r="AF950" s="259"/>
      <c r="AG950" s="260"/>
      <c r="AH950" s="259"/>
      <c r="AI950" s="259"/>
      <c r="AJ950" s="260"/>
      <c r="AK950" s="259">
        <v>15</v>
      </c>
      <c r="AL950" s="259"/>
      <c r="AM950" s="259" t="s">
        <v>3841</v>
      </c>
      <c r="AN950" s="449"/>
      <c r="AO950" s="449"/>
      <c r="AP950" s="449"/>
      <c r="AQ950" s="392" t="str">
        <f>IFERROR(VLOOKUP(BG950,#REF!,1,0),"")</f>
        <v/>
      </c>
      <c r="AS950" s="259" t="s">
        <v>3231</v>
      </c>
      <c r="BD950" s="202" t="str">
        <f t="shared" si="137"/>
        <v xml:space="preserve"> CONVERTIBLEJCW</v>
      </c>
      <c r="BE950" s="261" t="str">
        <f t="shared" si="143"/>
        <v>0117</v>
      </c>
      <c r="BF950" s="407" t="s">
        <v>1488</v>
      </c>
      <c r="BG950" s="202" t="str">
        <f t="shared" si="138"/>
        <v>0117-0949</v>
      </c>
    </row>
    <row r="951" spans="1:59">
      <c r="A951" s="405">
        <v>4725</v>
      </c>
      <c r="B951" s="406">
        <v>4725</v>
      </c>
      <c r="C951" s="261" t="str">
        <f t="shared" si="139"/>
        <v>0026-0117</v>
      </c>
      <c r="D951" s="261" t="str">
        <f t="shared" si="140"/>
        <v>0026-0117-0004</v>
      </c>
      <c r="E951" s="407" t="s">
        <v>1489</v>
      </c>
      <c r="F951" s="261" t="str">
        <f>TEXT(VLOOKUP(J951,'[3]1'!$B$2:$D$37,2,0),"0000")</f>
        <v>0026</v>
      </c>
      <c r="G951" s="261" t="str">
        <f t="shared" si="141"/>
        <v>0117</v>
      </c>
      <c r="H951" s="408">
        <f t="shared" si="142"/>
        <v>4</v>
      </c>
      <c r="I951" s="407" t="s">
        <v>1489</v>
      </c>
      <c r="J951" s="258" t="s">
        <v>112</v>
      </c>
      <c r="K951" s="258" t="s">
        <v>3847</v>
      </c>
      <c r="L951" s="258" t="s">
        <v>3843</v>
      </c>
      <c r="M951" s="409">
        <v>53700000</v>
      </c>
      <c r="N951" s="258">
        <v>1998</v>
      </c>
      <c r="O951" s="258" t="s">
        <v>77</v>
      </c>
      <c r="P951" s="258" t="s">
        <v>73</v>
      </c>
      <c r="Q951" s="258" t="s">
        <v>72</v>
      </c>
      <c r="R951" s="258">
        <v>4</v>
      </c>
      <c r="S951" s="410">
        <v>8</v>
      </c>
      <c r="T951" s="261">
        <v>6</v>
      </c>
      <c r="U951" s="261">
        <v>6</v>
      </c>
      <c r="V951" s="258" t="s">
        <v>71</v>
      </c>
      <c r="W951" s="261" t="str">
        <f t="shared" si="144"/>
        <v>MINI CONVERTIBLE레졸루트 에디션 쿠퍼 S 컨버터블53700000</v>
      </c>
      <c r="X951" s="411">
        <f t="shared" si="145"/>
        <v>4725</v>
      </c>
      <c r="Y951" s="261">
        <v>6</v>
      </c>
      <c r="Z951" s="261">
        <v>6</v>
      </c>
      <c r="AA951" s="407" t="s">
        <v>1489</v>
      </c>
      <c r="AB951" s="258" t="s">
        <v>73</v>
      </c>
      <c r="AC951" s="258"/>
      <c r="AD951" s="258">
        <v>5</v>
      </c>
      <c r="AE951" s="258">
        <v>2</v>
      </c>
      <c r="AF951" s="259"/>
      <c r="AG951" s="260"/>
      <c r="AH951" s="259"/>
      <c r="AI951" s="259"/>
      <c r="AJ951" s="260"/>
      <c r="AK951" s="259">
        <v>15</v>
      </c>
      <c r="AL951" s="259"/>
      <c r="AM951" s="259" t="s">
        <v>3841</v>
      </c>
      <c r="AN951" s="449"/>
      <c r="AO951" s="449"/>
      <c r="AP951" s="449"/>
      <c r="AQ951" s="392" t="str">
        <f>IFERROR(VLOOKUP(BG951,#REF!,1,0),"")</f>
        <v/>
      </c>
      <c r="AS951" s="259" t="s">
        <v>3231</v>
      </c>
      <c r="BD951" s="202" t="str">
        <f t="shared" si="137"/>
        <v xml:space="preserve"> CONVERTIBLE레졸루트 에디션 쿠퍼 S 컨버터블</v>
      </c>
      <c r="BE951" s="261" t="str">
        <f t="shared" si="143"/>
        <v>0117</v>
      </c>
      <c r="BF951" s="407" t="s">
        <v>1489</v>
      </c>
      <c r="BG951" s="202" t="str">
        <f t="shared" si="138"/>
        <v>0117-0950</v>
      </c>
    </row>
    <row r="952" spans="1:59">
      <c r="A952" s="405">
        <v>4726</v>
      </c>
      <c r="B952" s="406">
        <v>4726</v>
      </c>
      <c r="C952" s="261" t="str">
        <f t="shared" si="139"/>
        <v>0026-0118</v>
      </c>
      <c r="D952" s="261" t="str">
        <f t="shared" si="140"/>
        <v>0026-0118-0001</v>
      </c>
      <c r="E952" s="407" t="s">
        <v>1490</v>
      </c>
      <c r="F952" s="261" t="str">
        <f>TEXT(VLOOKUP(J952,'[3]1'!$B$2:$D$37,2,0),"0000")</f>
        <v>0026</v>
      </c>
      <c r="G952" s="261" t="str">
        <f t="shared" si="141"/>
        <v>0118</v>
      </c>
      <c r="H952" s="408">
        <f t="shared" si="142"/>
        <v>1</v>
      </c>
      <c r="I952" s="407" t="s">
        <v>1490</v>
      </c>
      <c r="J952" s="258" t="s">
        <v>112</v>
      </c>
      <c r="K952" s="258" t="s">
        <v>3848</v>
      </c>
      <c r="L952" s="258" t="s">
        <v>3849</v>
      </c>
      <c r="M952" s="409">
        <v>67000000</v>
      </c>
      <c r="N952" s="258">
        <v>1998</v>
      </c>
      <c r="O952" s="258" t="s">
        <v>77</v>
      </c>
      <c r="P952" s="258" t="s">
        <v>3781</v>
      </c>
      <c r="Q952" s="258" t="s">
        <v>72</v>
      </c>
      <c r="R952" s="258">
        <v>5</v>
      </c>
      <c r="S952" s="410">
        <v>8</v>
      </c>
      <c r="T952" s="261">
        <v>6</v>
      </c>
      <c r="U952" s="261">
        <v>6</v>
      </c>
      <c r="V952" s="258" t="s">
        <v>71</v>
      </c>
      <c r="W952" s="261" t="str">
        <f t="shared" si="144"/>
        <v>MINI COUNTRYMANJCW 올포 (2세대)67000000</v>
      </c>
      <c r="X952" s="411">
        <f t="shared" si="145"/>
        <v>4726</v>
      </c>
      <c r="Y952" s="261">
        <v>6</v>
      </c>
      <c r="Z952" s="261">
        <v>6</v>
      </c>
      <c r="AA952" s="407" t="s">
        <v>1490</v>
      </c>
      <c r="AB952" s="258" t="s">
        <v>3781</v>
      </c>
      <c r="AC952" s="258"/>
      <c r="AD952" s="258">
        <v>4</v>
      </c>
      <c r="AE952" s="258">
        <v>0</v>
      </c>
      <c r="AF952" s="259"/>
      <c r="AG952" s="260"/>
      <c r="AH952" s="259"/>
      <c r="AI952" s="259"/>
      <c r="AJ952" s="260"/>
      <c r="AK952" s="259">
        <v>13</v>
      </c>
      <c r="AL952" s="259"/>
      <c r="AM952" s="259" t="s">
        <v>3780</v>
      </c>
      <c r="AN952" s="449"/>
      <c r="AO952" s="449"/>
      <c r="AP952" s="449"/>
      <c r="AQ952" s="392" t="str">
        <f>IFERROR(VLOOKUP(BG952,#REF!,1,0),"")</f>
        <v/>
      </c>
      <c r="AS952" s="259" t="s">
        <v>3231</v>
      </c>
      <c r="BD952" s="202" t="str">
        <f t="shared" si="137"/>
        <v xml:space="preserve"> COUNTRYMANJCW 올포 (2세대)</v>
      </c>
      <c r="BE952" s="261" t="str">
        <f t="shared" si="143"/>
        <v>0118</v>
      </c>
      <c r="BF952" s="407" t="s">
        <v>1490</v>
      </c>
      <c r="BG952" s="202" t="str">
        <f t="shared" si="138"/>
        <v>0118-0951</v>
      </c>
    </row>
    <row r="953" spans="1:59">
      <c r="A953" s="405">
        <v>4727</v>
      </c>
      <c r="B953" s="406">
        <v>4727</v>
      </c>
      <c r="C953" s="261" t="str">
        <f t="shared" si="139"/>
        <v>0026-0118</v>
      </c>
      <c r="D953" s="261" t="str">
        <f t="shared" si="140"/>
        <v>0026-0118-0002</v>
      </c>
      <c r="E953" s="407" t="s">
        <v>1491</v>
      </c>
      <c r="F953" s="261" t="str">
        <f>TEXT(VLOOKUP(J953,'[3]1'!$B$2:$D$37,2,0),"0000")</f>
        <v>0026</v>
      </c>
      <c r="G953" s="261" t="str">
        <f t="shared" si="141"/>
        <v>0118</v>
      </c>
      <c r="H953" s="408">
        <f t="shared" si="142"/>
        <v>2</v>
      </c>
      <c r="I953" s="407" t="s">
        <v>1491</v>
      </c>
      <c r="J953" s="258" t="s">
        <v>112</v>
      </c>
      <c r="K953" s="258" t="s">
        <v>3848</v>
      </c>
      <c r="L953" s="258" t="s">
        <v>3850</v>
      </c>
      <c r="M953" s="409">
        <v>57000000</v>
      </c>
      <c r="N953" s="258">
        <v>1998</v>
      </c>
      <c r="O953" s="258" t="s">
        <v>77</v>
      </c>
      <c r="P953" s="258" t="s">
        <v>3781</v>
      </c>
      <c r="Q953" s="258" t="s">
        <v>72</v>
      </c>
      <c r="R953" s="258">
        <v>5</v>
      </c>
      <c r="S953" s="410">
        <v>8</v>
      </c>
      <c r="T953" s="261">
        <v>6</v>
      </c>
      <c r="U953" s="261">
        <v>6</v>
      </c>
      <c r="V953" s="258" t="s">
        <v>71</v>
      </c>
      <c r="W953" s="261" t="str">
        <f t="shared" si="144"/>
        <v>MINI COUNTRYMAN쿠퍼 S 언차티드 에디션 (2세대)57000000</v>
      </c>
      <c r="X953" s="411">
        <f t="shared" si="145"/>
        <v>4727</v>
      </c>
      <c r="Y953" s="261">
        <v>6</v>
      </c>
      <c r="Z953" s="261">
        <v>6</v>
      </c>
      <c r="AA953" s="407" t="s">
        <v>1491</v>
      </c>
      <c r="AB953" s="258" t="s">
        <v>3781</v>
      </c>
      <c r="AC953" s="258"/>
      <c r="AD953" s="258">
        <v>3</v>
      </c>
      <c r="AE953" s="258">
        <v>1</v>
      </c>
      <c r="AF953" s="259"/>
      <c r="AG953" s="260"/>
      <c r="AH953" s="259"/>
      <c r="AI953" s="259"/>
      <c r="AJ953" s="260"/>
      <c r="AK953" s="259">
        <v>13</v>
      </c>
      <c r="AL953" s="259"/>
      <c r="AM953" s="259" t="s">
        <v>3780</v>
      </c>
      <c r="AN953" s="449"/>
      <c r="AO953" s="449"/>
      <c r="AP953" s="449"/>
      <c r="AQ953" s="392" t="str">
        <f>IFERROR(VLOOKUP(BG953,#REF!,1,0),"")</f>
        <v/>
      </c>
      <c r="AS953" s="259" t="s">
        <v>3231</v>
      </c>
      <c r="BD953" s="202" t="str">
        <f t="shared" si="137"/>
        <v xml:space="preserve"> COUNTRYMAN쿠퍼 S 언차티드 에디션 (2세대)</v>
      </c>
      <c r="BE953" s="261" t="str">
        <f t="shared" si="143"/>
        <v>0118</v>
      </c>
      <c r="BF953" s="407" t="s">
        <v>1491</v>
      </c>
      <c r="BG953" s="202" t="str">
        <f t="shared" si="138"/>
        <v>0118-0952</v>
      </c>
    </row>
    <row r="954" spans="1:59">
      <c r="A954" s="405">
        <v>4728</v>
      </c>
      <c r="B954" s="406">
        <v>4728</v>
      </c>
      <c r="C954" s="261" t="str">
        <f t="shared" si="139"/>
        <v>0026-0118</v>
      </c>
      <c r="D954" s="261" t="str">
        <f t="shared" si="140"/>
        <v>0026-0118-0003</v>
      </c>
      <c r="E954" s="407" t="s">
        <v>1492</v>
      </c>
      <c r="F954" s="261" t="str">
        <f>TEXT(VLOOKUP(J954,'[3]1'!$B$2:$D$37,2,0),"0000")</f>
        <v>0026</v>
      </c>
      <c r="G954" s="261" t="str">
        <f t="shared" si="141"/>
        <v>0118</v>
      </c>
      <c r="H954" s="408">
        <f t="shared" si="142"/>
        <v>3</v>
      </c>
      <c r="I954" s="407" t="s">
        <v>1492</v>
      </c>
      <c r="J954" s="258" t="s">
        <v>112</v>
      </c>
      <c r="K954" s="258" t="s">
        <v>3848</v>
      </c>
      <c r="L954" s="258" t="s">
        <v>3851</v>
      </c>
      <c r="M954" s="409">
        <v>56500000</v>
      </c>
      <c r="N954" s="258">
        <v>1998</v>
      </c>
      <c r="O954" s="258" t="s">
        <v>77</v>
      </c>
      <c r="P954" s="258" t="s">
        <v>3781</v>
      </c>
      <c r="Q954" s="258" t="s">
        <v>72</v>
      </c>
      <c r="R954" s="258">
        <v>5</v>
      </c>
      <c r="S954" s="410">
        <v>8</v>
      </c>
      <c r="T954" s="261">
        <v>6</v>
      </c>
      <c r="U954" s="261">
        <v>6</v>
      </c>
      <c r="V954" s="258" t="s">
        <v>71</v>
      </c>
      <c r="W954" s="261" t="str">
        <f t="shared" si="144"/>
        <v>MINI COUNTRYMAN쿠퍼 S 올포 클래식 (2세대)56500000</v>
      </c>
      <c r="X954" s="411">
        <f t="shared" si="145"/>
        <v>4728</v>
      </c>
      <c r="Y954" s="261">
        <v>6</v>
      </c>
      <c r="Z954" s="261">
        <v>6</v>
      </c>
      <c r="AA954" s="407" t="s">
        <v>1492</v>
      </c>
      <c r="AB954" s="258" t="s">
        <v>3781</v>
      </c>
      <c r="AC954" s="258"/>
      <c r="AD954" s="258">
        <v>3</v>
      </c>
      <c r="AE954" s="258">
        <v>1</v>
      </c>
      <c r="AF954" s="259"/>
      <c r="AG954" s="260"/>
      <c r="AH954" s="259"/>
      <c r="AI954" s="259"/>
      <c r="AJ954" s="260"/>
      <c r="AK954" s="259">
        <v>13</v>
      </c>
      <c r="AL954" s="259"/>
      <c r="AM954" s="259" t="s">
        <v>3780</v>
      </c>
      <c r="AN954" s="449"/>
      <c r="AO954" s="449"/>
      <c r="AP954" s="449"/>
      <c r="AQ954" s="392" t="str">
        <f>IFERROR(VLOOKUP(BG954,#REF!,1,0),"")</f>
        <v/>
      </c>
      <c r="AS954" s="259" t="s">
        <v>3231</v>
      </c>
      <c r="BD954" s="202" t="str">
        <f t="shared" si="137"/>
        <v xml:space="preserve"> COUNTRYMAN쿠퍼 S 올포 클래식 (2세대)</v>
      </c>
      <c r="BE954" s="261" t="str">
        <f t="shared" si="143"/>
        <v>0118</v>
      </c>
      <c r="BF954" s="407" t="s">
        <v>1492</v>
      </c>
      <c r="BG954" s="202" t="str">
        <f t="shared" si="138"/>
        <v>0118-0953</v>
      </c>
    </row>
    <row r="955" spans="1:59">
      <c r="A955" s="405">
        <v>4729</v>
      </c>
      <c r="B955" s="406">
        <v>4729</v>
      </c>
      <c r="C955" s="261" t="str">
        <f t="shared" si="139"/>
        <v>0026-0118</v>
      </c>
      <c r="D955" s="261" t="str">
        <f t="shared" si="140"/>
        <v>0026-0118-0004</v>
      </c>
      <c r="E955" s="407" t="s">
        <v>1493</v>
      </c>
      <c r="F955" s="261" t="str">
        <f>TEXT(VLOOKUP(J955,'[3]1'!$B$2:$D$37,2,0),"0000")</f>
        <v>0026</v>
      </c>
      <c r="G955" s="261" t="str">
        <f t="shared" si="141"/>
        <v>0118</v>
      </c>
      <c r="H955" s="408">
        <f t="shared" si="142"/>
        <v>4</v>
      </c>
      <c r="I955" s="407" t="s">
        <v>1493</v>
      </c>
      <c r="J955" s="258" t="s">
        <v>112</v>
      </c>
      <c r="K955" s="258" t="s">
        <v>3848</v>
      </c>
      <c r="L955" s="258" t="s">
        <v>3852</v>
      </c>
      <c r="M955" s="409">
        <v>57300000</v>
      </c>
      <c r="N955" s="258">
        <v>1998</v>
      </c>
      <c r="O955" s="258" t="s">
        <v>77</v>
      </c>
      <c r="P955" s="258" t="s">
        <v>3781</v>
      </c>
      <c r="Q955" s="258" t="s">
        <v>72</v>
      </c>
      <c r="R955" s="258">
        <v>5</v>
      </c>
      <c r="S955" s="410">
        <v>8</v>
      </c>
      <c r="T955" s="261">
        <v>6</v>
      </c>
      <c r="U955" s="261">
        <v>6</v>
      </c>
      <c r="V955" s="258" t="s">
        <v>71</v>
      </c>
      <c r="W955" s="261" t="str">
        <f t="shared" si="144"/>
        <v>MINI COUNTRYMAN쿠퍼 S 하이랜드 에디션 (2세대)57300000</v>
      </c>
      <c r="X955" s="411">
        <f t="shared" si="145"/>
        <v>4729</v>
      </c>
      <c r="Y955" s="261">
        <v>6</v>
      </c>
      <c r="Z955" s="261">
        <v>6</v>
      </c>
      <c r="AA955" s="407" t="s">
        <v>1493</v>
      </c>
      <c r="AB955" s="258" t="s">
        <v>3781</v>
      </c>
      <c r="AC955" s="258"/>
      <c r="AD955" s="258">
        <v>4</v>
      </c>
      <c r="AE955" s="258">
        <v>0</v>
      </c>
      <c r="AF955" s="259"/>
      <c r="AG955" s="260"/>
      <c r="AH955" s="259"/>
      <c r="AI955" s="259"/>
      <c r="AJ955" s="260"/>
      <c r="AK955" s="259">
        <v>13</v>
      </c>
      <c r="AL955" s="259"/>
      <c r="AM955" s="259" t="s">
        <v>3780</v>
      </c>
      <c r="AN955" s="449"/>
      <c r="AO955" s="449"/>
      <c r="AP955" s="449"/>
      <c r="AQ955" s="392" t="str">
        <f>IFERROR(VLOOKUP(BG955,#REF!,1,0),"")</f>
        <v/>
      </c>
      <c r="AS955" s="259" t="s">
        <v>3231</v>
      </c>
      <c r="BD955" s="202" t="str">
        <f t="shared" si="137"/>
        <v xml:space="preserve"> COUNTRYMAN쿠퍼 S 하이랜드 에디션 (2세대)</v>
      </c>
      <c r="BE955" s="261" t="str">
        <f t="shared" si="143"/>
        <v>0118</v>
      </c>
      <c r="BF955" s="407" t="s">
        <v>1493</v>
      </c>
      <c r="BG955" s="202" t="str">
        <f t="shared" si="138"/>
        <v>0118-0954</v>
      </c>
    </row>
    <row r="956" spans="1:59">
      <c r="A956" s="405">
        <v>4730</v>
      </c>
      <c r="B956" s="406">
        <v>4730</v>
      </c>
      <c r="C956" s="261" t="str">
        <f t="shared" si="139"/>
        <v>0026-0118</v>
      </c>
      <c r="D956" s="261" t="str">
        <f t="shared" si="140"/>
        <v>0026-0118-0005</v>
      </c>
      <c r="E956" s="407" t="s">
        <v>1494</v>
      </c>
      <c r="F956" s="261" t="str">
        <f>TEXT(VLOOKUP(J956,'[3]1'!$B$2:$D$37,2,0),"0000")</f>
        <v>0026</v>
      </c>
      <c r="G956" s="261" t="str">
        <f t="shared" si="141"/>
        <v>0118</v>
      </c>
      <c r="H956" s="408">
        <f t="shared" si="142"/>
        <v>5</v>
      </c>
      <c r="I956" s="407" t="s">
        <v>1494</v>
      </c>
      <c r="J956" s="258" t="s">
        <v>112</v>
      </c>
      <c r="K956" s="258" t="s">
        <v>3848</v>
      </c>
      <c r="L956" s="258" t="s">
        <v>3853</v>
      </c>
      <c r="M956" s="409">
        <v>49500000</v>
      </c>
      <c r="N956" s="258">
        <v>1499</v>
      </c>
      <c r="O956" s="258" t="s">
        <v>77</v>
      </c>
      <c r="P956" s="258" t="s">
        <v>3781</v>
      </c>
      <c r="Q956" s="258" t="s">
        <v>72</v>
      </c>
      <c r="R956" s="258">
        <v>5</v>
      </c>
      <c r="S956" s="410">
        <v>8</v>
      </c>
      <c r="T956" s="261">
        <v>6</v>
      </c>
      <c r="U956" s="261">
        <v>6</v>
      </c>
      <c r="V956" s="258" t="s">
        <v>71</v>
      </c>
      <c r="W956" s="261" t="str">
        <f t="shared" si="144"/>
        <v>MINI COUNTRYMAN쿠퍼 하이랜드 에디션 (2세대)49500000</v>
      </c>
      <c r="X956" s="411">
        <f t="shared" si="145"/>
        <v>4730</v>
      </c>
      <c r="Y956" s="261">
        <v>6</v>
      </c>
      <c r="Z956" s="261">
        <v>6</v>
      </c>
      <c r="AA956" s="407" t="s">
        <v>1494</v>
      </c>
      <c r="AB956" s="258" t="s">
        <v>3781</v>
      </c>
      <c r="AC956" s="258"/>
      <c r="AD956" s="258">
        <v>3</v>
      </c>
      <c r="AE956" s="258">
        <v>1</v>
      </c>
      <c r="AF956" s="259"/>
      <c r="AG956" s="260"/>
      <c r="AH956" s="259"/>
      <c r="AI956" s="259"/>
      <c r="AJ956" s="260"/>
      <c r="AK956" s="259">
        <v>13</v>
      </c>
      <c r="AL956" s="259"/>
      <c r="AM956" s="259" t="s">
        <v>3780</v>
      </c>
      <c r="AN956" s="449"/>
      <c r="AO956" s="449"/>
      <c r="AP956" s="449"/>
      <c r="AQ956" s="392" t="str">
        <f>IFERROR(VLOOKUP(BG956,#REF!,1,0),"")</f>
        <v/>
      </c>
      <c r="AS956" s="259" t="s">
        <v>3231</v>
      </c>
      <c r="BD956" s="202" t="str">
        <f t="shared" si="137"/>
        <v xml:space="preserve"> COUNTRYMAN쿠퍼 하이랜드 에디션 (2세대)</v>
      </c>
      <c r="BE956" s="261" t="str">
        <f t="shared" si="143"/>
        <v>0118</v>
      </c>
      <c r="BF956" s="407" t="s">
        <v>1494</v>
      </c>
      <c r="BG956" s="202" t="str">
        <f t="shared" si="138"/>
        <v>0118-0955</v>
      </c>
    </row>
    <row r="957" spans="1:59">
      <c r="A957" s="405">
        <v>4731</v>
      </c>
      <c r="B957" s="406">
        <v>4731</v>
      </c>
      <c r="C957" s="261" t="str">
        <f t="shared" si="139"/>
        <v>0026-0118</v>
      </c>
      <c r="D957" s="261" t="str">
        <f t="shared" si="140"/>
        <v>0026-0118-0006</v>
      </c>
      <c r="E957" s="407" t="s">
        <v>1495</v>
      </c>
      <c r="F957" s="261" t="str">
        <f>TEXT(VLOOKUP(J957,'[3]1'!$B$2:$D$37,2,0),"0000")</f>
        <v>0026</v>
      </c>
      <c r="G957" s="261" t="str">
        <f t="shared" si="141"/>
        <v>0118</v>
      </c>
      <c r="H957" s="408">
        <f t="shared" si="142"/>
        <v>6</v>
      </c>
      <c r="I957" s="407" t="s">
        <v>1495</v>
      </c>
      <c r="J957" s="258" t="s">
        <v>112</v>
      </c>
      <c r="K957" s="258" t="s">
        <v>3848</v>
      </c>
      <c r="L957" s="258" t="s">
        <v>3854</v>
      </c>
      <c r="M957" s="409">
        <v>49900000</v>
      </c>
      <c r="N957" s="258">
        <v>1499</v>
      </c>
      <c r="O957" s="258" t="s">
        <v>77</v>
      </c>
      <c r="P957" s="258" t="s">
        <v>3781</v>
      </c>
      <c r="Q957" s="258" t="s">
        <v>72</v>
      </c>
      <c r="R957" s="258">
        <v>5</v>
      </c>
      <c r="S957" s="410">
        <v>8</v>
      </c>
      <c r="T957" s="261">
        <v>6</v>
      </c>
      <c r="U957" s="261">
        <v>6</v>
      </c>
      <c r="V957" s="258" t="s">
        <v>71</v>
      </c>
      <c r="W957" s="261" t="str">
        <f t="shared" si="144"/>
        <v>MINI COUNTRYMAN쿠퍼 언차티드 에디션 (2세대)49900000</v>
      </c>
      <c r="X957" s="411">
        <f t="shared" si="145"/>
        <v>4731</v>
      </c>
      <c r="Y957" s="261">
        <v>6</v>
      </c>
      <c r="Z957" s="261">
        <v>6</v>
      </c>
      <c r="AA957" s="407" t="s">
        <v>1495</v>
      </c>
      <c r="AB957" s="258" t="s">
        <v>3781</v>
      </c>
      <c r="AC957" s="258"/>
      <c r="AD957" s="258">
        <v>3</v>
      </c>
      <c r="AE957" s="258">
        <v>1</v>
      </c>
      <c r="AF957" s="259"/>
      <c r="AG957" s="260"/>
      <c r="AH957" s="259"/>
      <c r="AI957" s="259"/>
      <c r="AJ957" s="260"/>
      <c r="AK957" s="259">
        <v>13</v>
      </c>
      <c r="AL957" s="259"/>
      <c r="AM957" s="259" t="s">
        <v>3780</v>
      </c>
      <c r="AN957" s="449"/>
      <c r="AO957" s="449"/>
      <c r="AP957" s="449"/>
      <c r="AQ957" s="392" t="str">
        <f>IFERROR(VLOOKUP(BG957,#REF!,1,0),"")</f>
        <v/>
      </c>
      <c r="AS957" s="259" t="s">
        <v>3231</v>
      </c>
      <c r="BD957" s="202" t="str">
        <f t="shared" si="137"/>
        <v xml:space="preserve"> COUNTRYMAN쿠퍼 언차티드 에디션 (2세대)</v>
      </c>
      <c r="BE957" s="261" t="str">
        <f t="shared" si="143"/>
        <v>0118</v>
      </c>
      <c r="BF957" s="407" t="s">
        <v>1495</v>
      </c>
      <c r="BG957" s="202" t="str">
        <f t="shared" si="138"/>
        <v>0118-0956</v>
      </c>
    </row>
    <row r="958" spans="1:59">
      <c r="A958" s="405">
        <v>4732</v>
      </c>
      <c r="B958" s="406">
        <v>4732</v>
      </c>
      <c r="C958" s="261" t="str">
        <f t="shared" si="139"/>
        <v>0026-0118</v>
      </c>
      <c r="D958" s="261" t="str">
        <f t="shared" si="140"/>
        <v>0026-0118-0007</v>
      </c>
      <c r="E958" s="407" t="s">
        <v>1496</v>
      </c>
      <c r="F958" s="261" t="str">
        <f>TEXT(VLOOKUP(J958,'[3]1'!$B$2:$D$37,2,0),"0000")</f>
        <v>0026</v>
      </c>
      <c r="G958" s="261" t="str">
        <f t="shared" si="141"/>
        <v>0118</v>
      </c>
      <c r="H958" s="408">
        <f t="shared" si="142"/>
        <v>7</v>
      </c>
      <c r="I958" s="407" t="s">
        <v>1496</v>
      </c>
      <c r="J958" s="258" t="s">
        <v>112</v>
      </c>
      <c r="K958" s="258" t="s">
        <v>3848</v>
      </c>
      <c r="L958" s="258" t="s">
        <v>3855</v>
      </c>
      <c r="M958" s="409">
        <v>54700000</v>
      </c>
      <c r="N958" s="258">
        <v>1499</v>
      </c>
      <c r="O958" s="258" t="s">
        <v>77</v>
      </c>
      <c r="P958" s="258" t="s">
        <v>3781</v>
      </c>
      <c r="Q958" s="258" t="s">
        <v>72</v>
      </c>
      <c r="R958" s="258">
        <v>5</v>
      </c>
      <c r="S958" s="410">
        <v>8</v>
      </c>
      <c r="T958" s="261">
        <v>6</v>
      </c>
      <c r="U958" s="261">
        <v>6</v>
      </c>
      <c r="V958" s="258" t="s">
        <v>71</v>
      </c>
      <c r="W958" s="261" t="str">
        <f t="shared" si="144"/>
        <v>MINI COUNTRYMAN쿠퍼 클래식 (2세대)54700000</v>
      </c>
      <c r="X958" s="411">
        <f t="shared" si="145"/>
        <v>4732</v>
      </c>
      <c r="Y958" s="261">
        <v>6</v>
      </c>
      <c r="Z958" s="261">
        <v>6</v>
      </c>
      <c r="AA958" s="407" t="s">
        <v>1496</v>
      </c>
      <c r="AB958" s="258" t="s">
        <v>3781</v>
      </c>
      <c r="AC958" s="258"/>
      <c r="AD958" s="258">
        <v>3</v>
      </c>
      <c r="AE958" s="258">
        <v>1</v>
      </c>
      <c r="AF958" s="259"/>
      <c r="AG958" s="260"/>
      <c r="AH958" s="259"/>
      <c r="AI958" s="259"/>
      <c r="AJ958" s="260"/>
      <c r="AK958" s="259">
        <v>13</v>
      </c>
      <c r="AL958" s="259"/>
      <c r="AM958" s="259" t="s">
        <v>3780</v>
      </c>
      <c r="AN958" s="449"/>
      <c r="AO958" s="449"/>
      <c r="AP958" s="449"/>
      <c r="AQ958" s="392" t="str">
        <f>IFERROR(VLOOKUP(BG958,#REF!,1,0),"")</f>
        <v/>
      </c>
      <c r="AS958" s="259" t="s">
        <v>3231</v>
      </c>
      <c r="BD958" s="202" t="str">
        <f t="shared" si="137"/>
        <v xml:space="preserve"> COUNTRYMAN쿠퍼 클래식 (2세대)</v>
      </c>
      <c r="BE958" s="261" t="str">
        <f t="shared" si="143"/>
        <v>0118</v>
      </c>
      <c r="BF958" s="407" t="s">
        <v>1496</v>
      </c>
      <c r="BG958" s="202" t="str">
        <f t="shared" si="138"/>
        <v>0118-0957</v>
      </c>
    </row>
    <row r="959" spans="1:59">
      <c r="A959" s="405">
        <v>4733</v>
      </c>
      <c r="B959" s="406">
        <v>4733</v>
      </c>
      <c r="C959" s="261" t="str">
        <f t="shared" si="139"/>
        <v>0026-0118</v>
      </c>
      <c r="D959" s="261" t="str">
        <f t="shared" si="140"/>
        <v>0026-0118-0008</v>
      </c>
      <c r="E959" s="407" t="s">
        <v>1497</v>
      </c>
      <c r="F959" s="261" t="str">
        <f>TEXT(VLOOKUP(J959,'[3]1'!$B$2:$D$37,2,0),"0000")</f>
        <v>0026</v>
      </c>
      <c r="G959" s="261" t="str">
        <f t="shared" si="141"/>
        <v>0118</v>
      </c>
      <c r="H959" s="408">
        <f t="shared" si="142"/>
        <v>8</v>
      </c>
      <c r="I959" s="407" t="s">
        <v>1497</v>
      </c>
      <c r="J959" s="258" t="s">
        <v>112</v>
      </c>
      <c r="K959" s="258" t="s">
        <v>3848</v>
      </c>
      <c r="L959" s="258" t="s">
        <v>3856</v>
      </c>
      <c r="M959" s="409">
        <v>49900000</v>
      </c>
      <c r="N959" s="258">
        <v>1998</v>
      </c>
      <c r="O959" s="258" t="s">
        <v>77</v>
      </c>
      <c r="P959" s="258" t="s">
        <v>3781</v>
      </c>
      <c r="Q959" s="258" t="s">
        <v>72</v>
      </c>
      <c r="R959" s="258">
        <v>5</v>
      </c>
      <c r="S959" s="410">
        <v>8</v>
      </c>
      <c r="T959" s="261">
        <v>6</v>
      </c>
      <c r="U959" s="261">
        <v>6</v>
      </c>
      <c r="V959" s="258" t="s">
        <v>71</v>
      </c>
      <c r="W959" s="261" t="str">
        <f t="shared" si="144"/>
        <v>MINI COUNTRYMANS 올포 클래식 (3세대)49900000</v>
      </c>
      <c r="X959" s="411">
        <f t="shared" si="145"/>
        <v>4733</v>
      </c>
      <c r="Y959" s="261">
        <v>6</v>
      </c>
      <c r="Z959" s="261">
        <v>6</v>
      </c>
      <c r="AA959" s="407" t="s">
        <v>1497</v>
      </c>
      <c r="AB959" s="258" t="s">
        <v>3781</v>
      </c>
      <c r="AC959" s="258"/>
      <c r="AD959" s="258">
        <v>3</v>
      </c>
      <c r="AE959" s="258">
        <v>1</v>
      </c>
      <c r="AF959" s="259"/>
      <c r="AG959" s="260"/>
      <c r="AH959" s="259"/>
      <c r="AI959" s="259"/>
      <c r="AJ959" s="260"/>
      <c r="AK959" s="259">
        <v>13</v>
      </c>
      <c r="AL959" s="259"/>
      <c r="AM959" s="259" t="s">
        <v>3780</v>
      </c>
      <c r="AN959" s="449"/>
      <c r="AO959" s="449"/>
      <c r="AP959" s="449"/>
      <c r="AQ959" s="392" t="str">
        <f>IFERROR(VLOOKUP(BG959,#REF!,1,0),"")</f>
        <v/>
      </c>
      <c r="AS959" s="259" t="s">
        <v>3231</v>
      </c>
      <c r="BD959" s="202" t="str">
        <f t="shared" si="137"/>
        <v xml:space="preserve"> COUNTRYMANS 올포 클래식 (3세대)</v>
      </c>
      <c r="BE959" s="261" t="str">
        <f t="shared" si="143"/>
        <v>0118</v>
      </c>
      <c r="BF959" s="407" t="s">
        <v>1497</v>
      </c>
      <c r="BG959" s="202" t="str">
        <f t="shared" si="138"/>
        <v>0118-0958</v>
      </c>
    </row>
    <row r="960" spans="1:59">
      <c r="A960" s="405">
        <v>4734</v>
      </c>
      <c r="B960" s="406">
        <v>4734</v>
      </c>
      <c r="C960" s="261" t="str">
        <f t="shared" si="139"/>
        <v>0026-0118</v>
      </c>
      <c r="D960" s="261" t="str">
        <f t="shared" si="140"/>
        <v>0026-0118-0009</v>
      </c>
      <c r="E960" s="407" t="s">
        <v>1498</v>
      </c>
      <c r="F960" s="261" t="str">
        <f>TEXT(VLOOKUP(J960,'[3]1'!$B$2:$D$37,2,0),"0000")</f>
        <v>0026</v>
      </c>
      <c r="G960" s="261" t="str">
        <f t="shared" si="141"/>
        <v>0118</v>
      </c>
      <c r="H960" s="408">
        <f t="shared" si="142"/>
        <v>9</v>
      </c>
      <c r="I960" s="407" t="s">
        <v>1498</v>
      </c>
      <c r="J960" s="258" t="s">
        <v>112</v>
      </c>
      <c r="K960" s="258" t="s">
        <v>3848</v>
      </c>
      <c r="L960" s="258" t="s">
        <v>3857</v>
      </c>
      <c r="M960" s="409">
        <v>54700000</v>
      </c>
      <c r="N960" s="258">
        <v>1998</v>
      </c>
      <c r="O960" s="258" t="s">
        <v>77</v>
      </c>
      <c r="P960" s="258" t="s">
        <v>3781</v>
      </c>
      <c r="Q960" s="258" t="s">
        <v>72</v>
      </c>
      <c r="R960" s="258">
        <v>5</v>
      </c>
      <c r="S960" s="410">
        <v>8</v>
      </c>
      <c r="T960" s="261">
        <v>6</v>
      </c>
      <c r="U960" s="261">
        <v>6</v>
      </c>
      <c r="V960" s="258" t="s">
        <v>71</v>
      </c>
      <c r="W960" s="261" t="str">
        <f t="shared" si="144"/>
        <v>MINI COUNTRYMANS 올포 페이버드 (3세대)54700000</v>
      </c>
      <c r="X960" s="411">
        <f t="shared" si="145"/>
        <v>4734</v>
      </c>
      <c r="Y960" s="261">
        <v>6</v>
      </c>
      <c r="Z960" s="261">
        <v>6</v>
      </c>
      <c r="AA960" s="407" t="s">
        <v>1498</v>
      </c>
      <c r="AB960" s="258" t="s">
        <v>3781</v>
      </c>
      <c r="AC960" s="258"/>
      <c r="AD960" s="258">
        <v>3</v>
      </c>
      <c r="AE960" s="258">
        <v>1</v>
      </c>
      <c r="AF960" s="259"/>
      <c r="AG960" s="260"/>
      <c r="AH960" s="259"/>
      <c r="AI960" s="259"/>
      <c r="AJ960" s="260"/>
      <c r="AK960" s="259">
        <v>13</v>
      </c>
      <c r="AL960" s="259"/>
      <c r="AM960" s="259" t="s">
        <v>3780</v>
      </c>
      <c r="AN960" s="449"/>
      <c r="AO960" s="449"/>
      <c r="AP960" s="449"/>
      <c r="AQ960" s="392" t="str">
        <f>IFERROR(VLOOKUP(BG960,#REF!,1,0),"")</f>
        <v/>
      </c>
      <c r="AS960" s="259" t="s">
        <v>3231</v>
      </c>
      <c r="BD960" s="202" t="str">
        <f t="shared" si="137"/>
        <v xml:space="preserve"> COUNTRYMANS 올포 페이버드 (3세대)</v>
      </c>
      <c r="BE960" s="261" t="str">
        <f t="shared" si="143"/>
        <v>0118</v>
      </c>
      <c r="BF960" s="407" t="s">
        <v>1498</v>
      </c>
      <c r="BG960" s="202" t="str">
        <f t="shared" si="138"/>
        <v>0118-0959</v>
      </c>
    </row>
    <row r="961" spans="1:59">
      <c r="A961" s="405">
        <v>4735</v>
      </c>
      <c r="B961" s="406">
        <v>4735</v>
      </c>
      <c r="C961" s="261" t="str">
        <f t="shared" si="139"/>
        <v>0026-0118</v>
      </c>
      <c r="D961" s="261" t="str">
        <f t="shared" si="140"/>
        <v>0026-0118-0010</v>
      </c>
      <c r="E961" s="407" t="s">
        <v>1499</v>
      </c>
      <c r="F961" s="261" t="str">
        <f>TEXT(VLOOKUP(J961,'[3]1'!$B$2:$D$37,2,0),"0000")</f>
        <v>0026</v>
      </c>
      <c r="G961" s="261" t="str">
        <f t="shared" si="141"/>
        <v>0118</v>
      </c>
      <c r="H961" s="408">
        <f t="shared" si="142"/>
        <v>10</v>
      </c>
      <c r="I961" s="407" t="s">
        <v>1499</v>
      </c>
      <c r="J961" s="258" t="s">
        <v>112</v>
      </c>
      <c r="K961" s="258" t="s">
        <v>3848</v>
      </c>
      <c r="L961" s="258" t="s">
        <v>3858</v>
      </c>
      <c r="M961" s="409">
        <v>67000000</v>
      </c>
      <c r="N961" s="258">
        <v>1998</v>
      </c>
      <c r="O961" s="258" t="s">
        <v>77</v>
      </c>
      <c r="P961" s="258" t="s">
        <v>3781</v>
      </c>
      <c r="Q961" s="258" t="s">
        <v>72</v>
      </c>
      <c r="R961" s="258">
        <v>5</v>
      </c>
      <c r="S961" s="410">
        <v>8</v>
      </c>
      <c r="T961" s="261">
        <v>6</v>
      </c>
      <c r="U961" s="261">
        <v>6</v>
      </c>
      <c r="V961" s="258" t="s">
        <v>71</v>
      </c>
      <c r="W961" s="261" t="str">
        <f t="shared" si="144"/>
        <v>MINI COUNTRYMANJCW 올포 (3세대)67000000</v>
      </c>
      <c r="X961" s="411">
        <f t="shared" si="145"/>
        <v>4735</v>
      </c>
      <c r="Y961" s="261">
        <v>6</v>
      </c>
      <c r="Z961" s="261">
        <v>6</v>
      </c>
      <c r="AA961" s="407" t="s">
        <v>1499</v>
      </c>
      <c r="AB961" s="258" t="s">
        <v>3781</v>
      </c>
      <c r="AC961" s="258"/>
      <c r="AD961" s="258">
        <v>3</v>
      </c>
      <c r="AE961" s="258">
        <v>1</v>
      </c>
      <c r="AF961" s="259"/>
      <c r="AG961" s="260"/>
      <c r="AH961" s="259"/>
      <c r="AI961" s="259"/>
      <c r="AJ961" s="260"/>
      <c r="AK961" s="259">
        <v>13</v>
      </c>
      <c r="AL961" s="259"/>
      <c r="AM961" s="259" t="s">
        <v>3780</v>
      </c>
      <c r="AN961" s="449"/>
      <c r="AO961" s="449"/>
      <c r="AP961" s="449"/>
      <c r="AQ961" s="392" t="str">
        <f>IFERROR(VLOOKUP(BG961,#REF!,1,0),"")</f>
        <v/>
      </c>
      <c r="AS961" s="259" t="s">
        <v>3231</v>
      </c>
      <c r="BD961" s="202" t="str">
        <f t="shared" si="137"/>
        <v xml:space="preserve"> COUNTRYMANJCW 올포 (3세대)</v>
      </c>
      <c r="BE961" s="261" t="str">
        <f t="shared" si="143"/>
        <v>0118</v>
      </c>
      <c r="BF961" s="407" t="s">
        <v>1499</v>
      </c>
      <c r="BG961" s="202" t="str">
        <f t="shared" si="138"/>
        <v>0118-0960</v>
      </c>
    </row>
    <row r="962" spans="1:59">
      <c r="A962" s="405">
        <v>4736</v>
      </c>
      <c r="B962" s="406">
        <v>4736</v>
      </c>
      <c r="C962" s="261" t="str">
        <f t="shared" si="139"/>
        <v>0026-0119</v>
      </c>
      <c r="D962" s="261" t="str">
        <f t="shared" si="140"/>
        <v>0026-0119-0001</v>
      </c>
      <c r="E962" s="407" t="s">
        <v>1500</v>
      </c>
      <c r="F962" s="261" t="str">
        <f>TEXT(VLOOKUP(J962,'[3]1'!$B$2:$D$37,2,0),"0000")</f>
        <v>0026</v>
      </c>
      <c r="G962" s="261" t="str">
        <f t="shared" si="141"/>
        <v>0119</v>
      </c>
      <c r="H962" s="408">
        <f t="shared" si="142"/>
        <v>1</v>
      </c>
      <c r="I962" s="407" t="s">
        <v>1500</v>
      </c>
      <c r="J962" s="258" t="s">
        <v>112</v>
      </c>
      <c r="K962" s="258" t="s">
        <v>3860</v>
      </c>
      <c r="L962" s="258" t="s">
        <v>3865</v>
      </c>
      <c r="M962" s="409">
        <v>38000000</v>
      </c>
      <c r="N962" s="426">
        <v>1499</v>
      </c>
      <c r="O962" s="258" t="s">
        <v>77</v>
      </c>
      <c r="P962" s="426" t="s">
        <v>73</v>
      </c>
      <c r="Q962" s="258" t="s">
        <v>72</v>
      </c>
      <c r="R962" s="426">
        <v>4</v>
      </c>
      <c r="S962" s="427">
        <v>8</v>
      </c>
      <c r="T962" s="261">
        <v>6</v>
      </c>
      <c r="U962" s="261">
        <v>6</v>
      </c>
      <c r="V962" s="258" t="s">
        <v>3105</v>
      </c>
      <c r="W962" s="261" t="str">
        <f t="shared" si="144"/>
        <v>MINIHATCH3도어 쿠퍼 클래식 (3세대)38000000</v>
      </c>
      <c r="X962" s="411">
        <f t="shared" si="145"/>
        <v>4736</v>
      </c>
      <c r="Y962" s="261">
        <v>6</v>
      </c>
      <c r="Z962" s="261">
        <v>6</v>
      </c>
      <c r="AA962" s="407" t="s">
        <v>1500</v>
      </c>
      <c r="AB962" s="258" t="s">
        <v>3827</v>
      </c>
      <c r="AC962" s="258"/>
      <c r="AD962" s="258">
        <v>7</v>
      </c>
      <c r="AE962" s="258"/>
      <c r="AF962" s="259"/>
      <c r="AG962" s="260"/>
      <c r="AH962" s="259"/>
      <c r="AI962" s="259"/>
      <c r="AJ962" s="260"/>
      <c r="AK962" s="259">
        <v>13</v>
      </c>
      <c r="AL962" s="259"/>
      <c r="AM962" s="259" t="s">
        <v>3780</v>
      </c>
      <c r="AN962" s="449"/>
      <c r="AO962" s="449"/>
      <c r="AP962" s="449"/>
      <c r="AQ962" s="392" t="str">
        <f>IFERROR(VLOOKUP(BG962,#REF!,1,0),"")</f>
        <v/>
      </c>
      <c r="AS962" s="259" t="s">
        <v>3231</v>
      </c>
      <c r="AT962" s="392" t="s">
        <v>3099</v>
      </c>
      <c r="AW962" s="392" t="s">
        <v>3098</v>
      </c>
      <c r="AY962" s="312"/>
      <c r="BD962" s="202" t="str">
        <f t="shared" si="137"/>
        <v>HATCH3도어 쿠퍼 클래식 (3세대)</v>
      </c>
      <c r="BE962" s="261" t="str">
        <f t="shared" si="143"/>
        <v>0119</v>
      </c>
      <c r="BF962" s="407" t="s">
        <v>1500</v>
      </c>
      <c r="BG962" s="202" t="str">
        <f t="shared" si="138"/>
        <v>0119-0961</v>
      </c>
    </row>
    <row r="963" spans="1:59">
      <c r="A963" s="405">
        <v>4737</v>
      </c>
      <c r="B963" s="406">
        <v>4737</v>
      </c>
      <c r="C963" s="261" t="str">
        <f t="shared" si="139"/>
        <v>0026-0119</v>
      </c>
      <c r="D963" s="261" t="str">
        <f t="shared" si="140"/>
        <v>0026-0119-0002</v>
      </c>
      <c r="E963" s="407" t="s">
        <v>1501</v>
      </c>
      <c r="F963" s="261" t="str">
        <f>TEXT(VLOOKUP(J963,'[3]1'!$B$2:$D$37,2,0),"0000")</f>
        <v>0026</v>
      </c>
      <c r="G963" s="261" t="str">
        <f t="shared" si="141"/>
        <v>0119</v>
      </c>
      <c r="H963" s="408">
        <f t="shared" si="142"/>
        <v>2</v>
      </c>
      <c r="I963" s="407" t="s">
        <v>1501</v>
      </c>
      <c r="J963" s="258" t="s">
        <v>112</v>
      </c>
      <c r="K963" s="258" t="s">
        <v>3860</v>
      </c>
      <c r="L963" s="258" t="s">
        <v>3866</v>
      </c>
      <c r="M963" s="409">
        <v>40000000</v>
      </c>
      <c r="N963" s="426">
        <v>1499</v>
      </c>
      <c r="O963" s="258" t="s">
        <v>77</v>
      </c>
      <c r="P963" s="426" t="s">
        <v>73</v>
      </c>
      <c r="Q963" s="258" t="s">
        <v>72</v>
      </c>
      <c r="R963" s="426">
        <v>4</v>
      </c>
      <c r="S963" s="427">
        <v>8</v>
      </c>
      <c r="T963" s="261">
        <v>6</v>
      </c>
      <c r="U963" s="261">
        <v>6</v>
      </c>
      <c r="V963" s="258" t="s">
        <v>1969</v>
      </c>
      <c r="W963" s="261" t="str">
        <f t="shared" si="144"/>
        <v>MINIHATCH3도어 쿠퍼 클래식 플러스 (3세대)40000000</v>
      </c>
      <c r="X963" s="411">
        <f t="shared" si="145"/>
        <v>4737</v>
      </c>
      <c r="Y963" s="261">
        <v>6</v>
      </c>
      <c r="Z963" s="261">
        <v>6</v>
      </c>
      <c r="AA963" s="407" t="s">
        <v>1501</v>
      </c>
      <c r="AB963" s="258" t="s">
        <v>3827</v>
      </c>
      <c r="AC963" s="258"/>
      <c r="AD963" s="258">
        <v>7</v>
      </c>
      <c r="AE963" s="258"/>
      <c r="AF963" s="259"/>
      <c r="AG963" s="260"/>
      <c r="AH963" s="259"/>
      <c r="AI963" s="259"/>
      <c r="AJ963" s="260"/>
      <c r="AK963" s="259">
        <v>13</v>
      </c>
      <c r="AL963" s="259"/>
      <c r="AM963" s="259" t="s">
        <v>3780</v>
      </c>
      <c r="AN963" s="449"/>
      <c r="AO963" s="449"/>
      <c r="AP963" s="449"/>
      <c r="AQ963" s="392" t="str">
        <f>IFERROR(VLOOKUP(BG963,#REF!,1,0),"")</f>
        <v/>
      </c>
      <c r="AS963" s="259" t="s">
        <v>3231</v>
      </c>
      <c r="AT963" s="392" t="s">
        <v>3099</v>
      </c>
      <c r="AW963" s="392" t="s">
        <v>1914</v>
      </c>
      <c r="AY963" s="312"/>
      <c r="BD963" s="202" t="str">
        <f t="shared" si="137"/>
        <v>HATCH3도어 쿠퍼 클래식 플러스 (3세대)</v>
      </c>
      <c r="BE963" s="261" t="str">
        <f t="shared" si="143"/>
        <v>0119</v>
      </c>
      <c r="BF963" s="407" t="s">
        <v>1501</v>
      </c>
      <c r="BG963" s="202" t="str">
        <f t="shared" si="138"/>
        <v>0119-0962</v>
      </c>
    </row>
    <row r="964" spans="1:59">
      <c r="A964" s="405">
        <v>4738</v>
      </c>
      <c r="B964" s="406">
        <v>4738</v>
      </c>
      <c r="C964" s="261" t="str">
        <f t="shared" si="139"/>
        <v>0026-0119</v>
      </c>
      <c r="D964" s="261" t="str">
        <f t="shared" si="140"/>
        <v>0026-0119-0003</v>
      </c>
      <c r="E964" s="407" t="s">
        <v>1502</v>
      </c>
      <c r="F964" s="261" t="str">
        <f>TEXT(VLOOKUP(J964,'[3]1'!$B$2:$D$37,2,0),"0000")</f>
        <v>0026</v>
      </c>
      <c r="G964" s="261" t="str">
        <f t="shared" si="141"/>
        <v>0119</v>
      </c>
      <c r="H964" s="408">
        <f t="shared" si="142"/>
        <v>3</v>
      </c>
      <c r="I964" s="407" t="s">
        <v>1502</v>
      </c>
      <c r="J964" s="258" t="s">
        <v>112</v>
      </c>
      <c r="K964" s="258" t="s">
        <v>3860</v>
      </c>
      <c r="L964" s="258" t="s">
        <v>3867</v>
      </c>
      <c r="M964" s="409">
        <v>46700000</v>
      </c>
      <c r="N964" s="426">
        <v>1998</v>
      </c>
      <c r="O964" s="258" t="s">
        <v>77</v>
      </c>
      <c r="P964" s="426" t="s">
        <v>73</v>
      </c>
      <c r="Q964" s="258" t="s">
        <v>72</v>
      </c>
      <c r="R964" s="426">
        <v>4</v>
      </c>
      <c r="S964" s="427">
        <v>8</v>
      </c>
      <c r="T964" s="261">
        <v>6</v>
      </c>
      <c r="U964" s="261">
        <v>6</v>
      </c>
      <c r="V964" s="258" t="s">
        <v>1969</v>
      </c>
      <c r="W964" s="261" t="str">
        <f t="shared" si="144"/>
        <v>MINIHATCH3도어 쿠퍼 S 클래식 (3세대)46700000</v>
      </c>
      <c r="X964" s="411">
        <f t="shared" si="145"/>
        <v>4738</v>
      </c>
      <c r="Y964" s="261">
        <v>6</v>
      </c>
      <c r="Z964" s="261">
        <v>6</v>
      </c>
      <c r="AA964" s="407" t="s">
        <v>1502</v>
      </c>
      <c r="AB964" s="258" t="s">
        <v>3827</v>
      </c>
      <c r="AC964" s="258"/>
      <c r="AD964" s="258">
        <v>7</v>
      </c>
      <c r="AE964" s="258"/>
      <c r="AF964" s="259"/>
      <c r="AG964" s="260"/>
      <c r="AH964" s="259"/>
      <c r="AI964" s="259"/>
      <c r="AJ964" s="260"/>
      <c r="AK964" s="259">
        <v>13</v>
      </c>
      <c r="AL964" s="259"/>
      <c r="AM964" s="259" t="s">
        <v>3780</v>
      </c>
      <c r="AN964" s="449"/>
      <c r="AO964" s="449"/>
      <c r="AP964" s="449"/>
      <c r="AQ964" s="392" t="str">
        <f>IFERROR(VLOOKUP(BG964,#REF!,1,0),"")</f>
        <v/>
      </c>
      <c r="AS964" s="259" t="s">
        <v>3231</v>
      </c>
      <c r="AT964" s="392" t="s">
        <v>3099</v>
      </c>
      <c r="AW964" s="392" t="s">
        <v>1914</v>
      </c>
      <c r="AY964" s="312"/>
      <c r="BD964" s="202" t="str">
        <f t="shared" si="137"/>
        <v>HATCH3도어 쿠퍼 S 클래식 (3세대)</v>
      </c>
      <c r="BE964" s="261" t="str">
        <f t="shared" si="143"/>
        <v>0119</v>
      </c>
      <c r="BF964" s="407" t="s">
        <v>1502</v>
      </c>
      <c r="BG964" s="202" t="str">
        <f t="shared" si="138"/>
        <v>0119-0963</v>
      </c>
    </row>
    <row r="965" spans="1:59">
      <c r="A965" s="405">
        <v>4739</v>
      </c>
      <c r="B965" s="406">
        <v>4739</v>
      </c>
      <c r="C965" s="261" t="str">
        <f t="shared" si="139"/>
        <v>0026-0119</v>
      </c>
      <c r="D965" s="261" t="str">
        <f t="shared" si="140"/>
        <v>0026-0119-0004</v>
      </c>
      <c r="E965" s="407" t="s">
        <v>1503</v>
      </c>
      <c r="F965" s="261" t="str">
        <f>TEXT(VLOOKUP(J965,'[3]1'!$B$2:$D$37,2,0),"0000")</f>
        <v>0026</v>
      </c>
      <c r="G965" s="261" t="str">
        <f t="shared" si="141"/>
        <v>0119</v>
      </c>
      <c r="H965" s="408">
        <f t="shared" si="142"/>
        <v>4</v>
      </c>
      <c r="I965" s="407" t="s">
        <v>1503</v>
      </c>
      <c r="J965" s="258" t="s">
        <v>112</v>
      </c>
      <c r="K965" s="258" t="s">
        <v>3860</v>
      </c>
      <c r="L965" s="258" t="s">
        <v>3868</v>
      </c>
      <c r="M965" s="409">
        <v>48500000</v>
      </c>
      <c r="N965" s="426">
        <v>1998</v>
      </c>
      <c r="O965" s="258" t="s">
        <v>77</v>
      </c>
      <c r="P965" s="426" t="s">
        <v>73</v>
      </c>
      <c r="Q965" s="258" t="s">
        <v>72</v>
      </c>
      <c r="R965" s="426">
        <v>4</v>
      </c>
      <c r="S965" s="427">
        <v>8</v>
      </c>
      <c r="T965" s="261">
        <v>6</v>
      </c>
      <c r="U965" s="261">
        <v>6</v>
      </c>
      <c r="V965" s="258" t="s">
        <v>1969</v>
      </c>
      <c r="W965" s="261" t="str">
        <f t="shared" si="144"/>
        <v>MINIHATCH3도어 메이필드 에디션 (3세대)48500000</v>
      </c>
      <c r="X965" s="411">
        <f t="shared" si="145"/>
        <v>4739</v>
      </c>
      <c r="Y965" s="261">
        <v>6</v>
      </c>
      <c r="Z965" s="261">
        <v>6</v>
      </c>
      <c r="AA965" s="407" t="s">
        <v>1503</v>
      </c>
      <c r="AB965" s="258" t="s">
        <v>3827</v>
      </c>
      <c r="AC965" s="258"/>
      <c r="AD965" s="258">
        <v>7</v>
      </c>
      <c r="AE965" s="258"/>
      <c r="AF965" s="259"/>
      <c r="AG965" s="260"/>
      <c r="AH965" s="259"/>
      <c r="AI965" s="259"/>
      <c r="AJ965" s="260"/>
      <c r="AK965" s="259">
        <v>13</v>
      </c>
      <c r="AL965" s="259"/>
      <c r="AM965" s="259" t="s">
        <v>3780</v>
      </c>
      <c r="AN965" s="449"/>
      <c r="AO965" s="449"/>
      <c r="AP965" s="449"/>
      <c r="AQ965" s="392" t="str">
        <f>IFERROR(VLOOKUP(BG965,#REF!,1,0),"")</f>
        <v/>
      </c>
      <c r="AS965" s="259" t="s">
        <v>3231</v>
      </c>
      <c r="AT965" s="392" t="s">
        <v>3099</v>
      </c>
      <c r="AW965" s="392" t="s">
        <v>1914</v>
      </c>
      <c r="AY965" s="312"/>
      <c r="BD965" s="202" t="str">
        <f t="shared" ref="BD965:BD1028" si="146">K965&amp;L965</f>
        <v>HATCH3도어 메이필드 에디션 (3세대)</v>
      </c>
      <c r="BE965" s="261" t="str">
        <f t="shared" si="143"/>
        <v>0119</v>
      </c>
      <c r="BF965" s="407" t="s">
        <v>1503</v>
      </c>
      <c r="BG965" s="202" t="str">
        <f t="shared" ref="BG965:BG1028" si="147">BE965&amp;"-"&amp;BF965</f>
        <v>0119-0964</v>
      </c>
    </row>
    <row r="966" spans="1:59">
      <c r="A966" s="405">
        <v>4740</v>
      </c>
      <c r="B966" s="406">
        <v>4740</v>
      </c>
      <c r="C966" s="261" t="str">
        <f t="shared" ref="C966:C1029" si="148">TEXT(F966,"0000")&amp;"-"&amp;TEXT(G966,"0000")</f>
        <v>0026-0119</v>
      </c>
      <c r="D966" s="261" t="str">
        <f t="shared" ref="D966:D1029" si="149">TEXT(F966,"0000")&amp;"-"&amp;TEXT(G966,"0000")&amp;"-"&amp;TEXT(H966,"0000")</f>
        <v>0026-0119-0005</v>
      </c>
      <c r="E966" s="407" t="s">
        <v>1504</v>
      </c>
      <c r="F966" s="261" t="str">
        <f>TEXT(VLOOKUP(J966,'[3]1'!$B$2:$D$37,2,0),"0000")</f>
        <v>0026</v>
      </c>
      <c r="G966" s="261" t="str">
        <f t="shared" ref="G966:G1029" si="150">IF(K966=K965,TEXT(G965,"0000"),TEXT(G965+1,"0000"))</f>
        <v>0119</v>
      </c>
      <c r="H966" s="408">
        <f t="shared" ref="H966:H1029" si="151">IF(F966&amp;G966=F965&amp;G965,H965+1,1)</f>
        <v>5</v>
      </c>
      <c r="I966" s="407" t="s">
        <v>1504</v>
      </c>
      <c r="J966" s="258" t="s">
        <v>112</v>
      </c>
      <c r="K966" s="258" t="s">
        <v>3860</v>
      </c>
      <c r="L966" s="258" t="s">
        <v>3869</v>
      </c>
      <c r="M966" s="409">
        <v>55000000</v>
      </c>
      <c r="N966" s="426">
        <v>1998</v>
      </c>
      <c r="O966" s="258" t="s">
        <v>77</v>
      </c>
      <c r="P966" s="426" t="s">
        <v>73</v>
      </c>
      <c r="Q966" s="258" t="s">
        <v>72</v>
      </c>
      <c r="R966" s="426">
        <v>4</v>
      </c>
      <c r="S966" s="427">
        <v>8</v>
      </c>
      <c r="T966" s="261">
        <v>6</v>
      </c>
      <c r="U966" s="261">
        <v>6</v>
      </c>
      <c r="V966" s="258" t="s">
        <v>1969</v>
      </c>
      <c r="W966" s="261" t="str">
        <f t="shared" si="144"/>
        <v>MINIHATCH3도어 쿠퍼 JCW (3세대)55000000</v>
      </c>
      <c r="X966" s="411">
        <f t="shared" si="145"/>
        <v>4740</v>
      </c>
      <c r="Y966" s="261">
        <v>6</v>
      </c>
      <c r="Z966" s="261">
        <v>6</v>
      </c>
      <c r="AA966" s="407" t="s">
        <v>1504</v>
      </c>
      <c r="AB966" s="258" t="s">
        <v>3827</v>
      </c>
      <c r="AC966" s="258"/>
      <c r="AD966" s="258">
        <v>7</v>
      </c>
      <c r="AE966" s="258"/>
      <c r="AF966" s="259"/>
      <c r="AG966" s="260"/>
      <c r="AH966" s="259"/>
      <c r="AI966" s="259"/>
      <c r="AJ966" s="260"/>
      <c r="AK966" s="259">
        <v>13</v>
      </c>
      <c r="AL966" s="259"/>
      <c r="AM966" s="259" t="s">
        <v>3780</v>
      </c>
      <c r="AN966" s="449"/>
      <c r="AO966" s="449"/>
      <c r="AP966" s="449"/>
      <c r="AQ966" s="392" t="str">
        <f>IFERROR(VLOOKUP(BG966,#REF!,1,0),"")</f>
        <v/>
      </c>
      <c r="AS966" s="259" t="s">
        <v>3231</v>
      </c>
      <c r="AT966" s="392" t="s">
        <v>3099</v>
      </c>
      <c r="AW966" s="392" t="s">
        <v>1914</v>
      </c>
      <c r="AY966" s="312"/>
      <c r="BD966" s="202" t="str">
        <f t="shared" si="146"/>
        <v>HATCH3도어 쿠퍼 JCW (3세대)</v>
      </c>
      <c r="BE966" s="261" t="str">
        <f t="shared" ref="BE966:BE1029" si="152">IF(K965=K966,TEXT(G965,"0000"),TEXT(G965+1,"0000"))</f>
        <v>0119</v>
      </c>
      <c r="BF966" s="407" t="s">
        <v>1504</v>
      </c>
      <c r="BG966" s="202" t="str">
        <f t="shared" si="147"/>
        <v>0119-0965</v>
      </c>
    </row>
    <row r="967" spans="1:59">
      <c r="A967" s="405">
        <v>4741</v>
      </c>
      <c r="B967" s="406">
        <v>4741</v>
      </c>
      <c r="C967" s="261" t="str">
        <f t="shared" si="148"/>
        <v>0026-0119</v>
      </c>
      <c r="D967" s="261" t="str">
        <f t="shared" si="149"/>
        <v>0026-0119-0006</v>
      </c>
      <c r="E967" s="407" t="s">
        <v>1505</v>
      </c>
      <c r="F967" s="261" t="str">
        <f>TEXT(VLOOKUP(J967,'[3]1'!$B$2:$D$37,2,0),"0000")</f>
        <v>0026</v>
      </c>
      <c r="G967" s="261" t="str">
        <f t="shared" si="150"/>
        <v>0119</v>
      </c>
      <c r="H967" s="408">
        <f t="shared" si="151"/>
        <v>6</v>
      </c>
      <c r="I967" s="407" t="s">
        <v>1505</v>
      </c>
      <c r="J967" s="258" t="s">
        <v>112</v>
      </c>
      <c r="K967" s="258" t="s">
        <v>3860</v>
      </c>
      <c r="L967" s="258" t="s">
        <v>3870</v>
      </c>
      <c r="M967" s="409">
        <v>42000000</v>
      </c>
      <c r="N967" s="426">
        <v>1998</v>
      </c>
      <c r="O967" s="258" t="s">
        <v>77</v>
      </c>
      <c r="P967" s="426" t="s">
        <v>73</v>
      </c>
      <c r="Q967" s="258" t="s">
        <v>72</v>
      </c>
      <c r="R967" s="426">
        <v>5</v>
      </c>
      <c r="S967" s="427">
        <v>8</v>
      </c>
      <c r="T967" s="261">
        <v>6</v>
      </c>
      <c r="U967" s="261">
        <v>6</v>
      </c>
      <c r="V967" s="258" t="s">
        <v>1969</v>
      </c>
      <c r="W967" s="261" t="str">
        <f t="shared" ref="W967:W1030" si="153">J967&amp;K967&amp;L967&amp;M967</f>
        <v>MINIHATCH5도어 쿠퍼 클래식 (3세대)42000000</v>
      </c>
      <c r="X967" s="411">
        <f t="shared" ref="X967:X1030" si="154">B967</f>
        <v>4741</v>
      </c>
      <c r="Y967" s="261">
        <v>6</v>
      </c>
      <c r="Z967" s="261">
        <v>6</v>
      </c>
      <c r="AA967" s="407" t="s">
        <v>1505</v>
      </c>
      <c r="AB967" s="258" t="s">
        <v>3827</v>
      </c>
      <c r="AC967" s="258"/>
      <c r="AD967" s="258">
        <v>7</v>
      </c>
      <c r="AE967" s="258"/>
      <c r="AF967" s="259"/>
      <c r="AG967" s="260"/>
      <c r="AH967" s="259"/>
      <c r="AI967" s="259"/>
      <c r="AJ967" s="260"/>
      <c r="AK967" s="259">
        <v>13</v>
      </c>
      <c r="AL967" s="259"/>
      <c r="AM967" s="259" t="s">
        <v>3780</v>
      </c>
      <c r="AN967" s="449"/>
      <c r="AO967" s="449"/>
      <c r="AP967" s="449"/>
      <c r="AQ967" s="392" t="str">
        <f>IFERROR(VLOOKUP(BG967,#REF!,1,0),"")</f>
        <v/>
      </c>
      <c r="AS967" s="259" t="s">
        <v>3231</v>
      </c>
      <c r="AT967" s="392" t="s">
        <v>3099</v>
      </c>
      <c r="AW967" s="392" t="s">
        <v>1914</v>
      </c>
      <c r="AY967" s="312"/>
      <c r="BD967" s="202" t="str">
        <f t="shared" si="146"/>
        <v>HATCH5도어 쿠퍼 클래식 (3세대)</v>
      </c>
      <c r="BE967" s="261" t="str">
        <f t="shared" si="152"/>
        <v>0119</v>
      </c>
      <c r="BF967" s="407" t="s">
        <v>1505</v>
      </c>
      <c r="BG967" s="202" t="str">
        <f t="shared" si="147"/>
        <v>0119-0966</v>
      </c>
    </row>
    <row r="968" spans="1:59">
      <c r="A968" s="405">
        <v>4742</v>
      </c>
      <c r="B968" s="406">
        <v>4742</v>
      </c>
      <c r="C968" s="261" t="str">
        <f t="shared" si="148"/>
        <v>0026-0119</v>
      </c>
      <c r="D968" s="261" t="str">
        <f t="shared" si="149"/>
        <v>0026-0119-0007</v>
      </c>
      <c r="E968" s="407" t="s">
        <v>1506</v>
      </c>
      <c r="F968" s="261" t="str">
        <f>TEXT(VLOOKUP(J968,'[3]1'!$B$2:$D$37,2,0),"0000")</f>
        <v>0026</v>
      </c>
      <c r="G968" s="261" t="str">
        <f t="shared" si="150"/>
        <v>0119</v>
      </c>
      <c r="H968" s="408">
        <f t="shared" si="151"/>
        <v>7</v>
      </c>
      <c r="I968" s="407" t="s">
        <v>1506</v>
      </c>
      <c r="J968" s="258" t="s">
        <v>112</v>
      </c>
      <c r="K968" s="258" t="s">
        <v>3860</v>
      </c>
      <c r="L968" s="258" t="s">
        <v>3871</v>
      </c>
      <c r="M968" s="409">
        <v>48600000</v>
      </c>
      <c r="N968" s="426">
        <v>1998</v>
      </c>
      <c r="O968" s="258" t="s">
        <v>77</v>
      </c>
      <c r="P968" s="426" t="s">
        <v>73</v>
      </c>
      <c r="Q968" s="258" t="s">
        <v>72</v>
      </c>
      <c r="R968" s="426">
        <v>5</v>
      </c>
      <c r="S968" s="427">
        <v>8</v>
      </c>
      <c r="T968" s="261">
        <v>6</v>
      </c>
      <c r="U968" s="261">
        <v>6</v>
      </c>
      <c r="V968" s="258" t="s">
        <v>1969</v>
      </c>
      <c r="W968" s="261" t="str">
        <f t="shared" si="153"/>
        <v>MINIHATCH5도어 쿠퍼 S 클래식 (3세대)48600000</v>
      </c>
      <c r="X968" s="411">
        <f t="shared" si="154"/>
        <v>4742</v>
      </c>
      <c r="Y968" s="261">
        <v>6</v>
      </c>
      <c r="Z968" s="261">
        <v>6</v>
      </c>
      <c r="AA968" s="407" t="s">
        <v>1506</v>
      </c>
      <c r="AB968" s="258" t="s">
        <v>3827</v>
      </c>
      <c r="AC968" s="258"/>
      <c r="AD968" s="258">
        <v>7</v>
      </c>
      <c r="AE968" s="258"/>
      <c r="AF968" s="259"/>
      <c r="AG968" s="260"/>
      <c r="AH968" s="259"/>
      <c r="AI968" s="259"/>
      <c r="AJ968" s="260"/>
      <c r="AK968" s="259">
        <v>13</v>
      </c>
      <c r="AL968" s="259"/>
      <c r="AM968" s="259" t="s">
        <v>3780</v>
      </c>
      <c r="AN968" s="449"/>
      <c r="AO968" s="449"/>
      <c r="AP968" s="449"/>
      <c r="AQ968" s="392" t="str">
        <f>IFERROR(VLOOKUP(BG968,#REF!,1,0),"")</f>
        <v/>
      </c>
      <c r="AS968" s="259" t="s">
        <v>3231</v>
      </c>
      <c r="AT968" s="392" t="s">
        <v>3099</v>
      </c>
      <c r="AW968" s="392" t="s">
        <v>1914</v>
      </c>
      <c r="AY968" s="312"/>
      <c r="BD968" s="202" t="str">
        <f t="shared" si="146"/>
        <v>HATCH5도어 쿠퍼 S 클래식 (3세대)</v>
      </c>
      <c r="BE968" s="261" t="str">
        <f t="shared" si="152"/>
        <v>0119</v>
      </c>
      <c r="BF968" s="407" t="s">
        <v>1506</v>
      </c>
      <c r="BG968" s="202" t="str">
        <f t="shared" si="147"/>
        <v>0119-0967</v>
      </c>
    </row>
    <row r="969" spans="1:59">
      <c r="A969" s="405">
        <v>4743</v>
      </c>
      <c r="B969" s="406">
        <v>4743</v>
      </c>
      <c r="C969" s="261" t="str">
        <f t="shared" si="148"/>
        <v>0026-0119</v>
      </c>
      <c r="D969" s="261" t="str">
        <f t="shared" si="149"/>
        <v>0026-0119-0008</v>
      </c>
      <c r="E969" s="407" t="s">
        <v>1507</v>
      </c>
      <c r="F969" s="261" t="str">
        <f>TEXT(VLOOKUP(J969,'[3]1'!$B$2:$D$37,2,0),"0000")</f>
        <v>0026</v>
      </c>
      <c r="G969" s="261" t="str">
        <f t="shared" si="150"/>
        <v>0119</v>
      </c>
      <c r="H969" s="408">
        <f t="shared" si="151"/>
        <v>8</v>
      </c>
      <c r="I969" s="407" t="s">
        <v>1507</v>
      </c>
      <c r="J969" s="258" t="s">
        <v>112</v>
      </c>
      <c r="K969" s="258" t="s">
        <v>3860</v>
      </c>
      <c r="L969" s="258" t="s">
        <v>3872</v>
      </c>
      <c r="M969" s="409">
        <v>49900000</v>
      </c>
      <c r="N969" s="426">
        <v>1998</v>
      </c>
      <c r="O969" s="258" t="s">
        <v>77</v>
      </c>
      <c r="P969" s="426" t="s">
        <v>73</v>
      </c>
      <c r="Q969" s="258" t="s">
        <v>72</v>
      </c>
      <c r="R969" s="426">
        <v>5</v>
      </c>
      <c r="S969" s="427">
        <v>8</v>
      </c>
      <c r="T969" s="261">
        <v>6</v>
      </c>
      <c r="U969" s="261">
        <v>6</v>
      </c>
      <c r="V969" s="258" t="s">
        <v>1969</v>
      </c>
      <c r="W969" s="261" t="str">
        <f t="shared" si="153"/>
        <v>MINIHATCH5도어 메이필드 에디션 (3세대)49900000</v>
      </c>
      <c r="X969" s="411">
        <f t="shared" si="154"/>
        <v>4743</v>
      </c>
      <c r="Y969" s="261">
        <v>6</v>
      </c>
      <c r="Z969" s="261">
        <v>6</v>
      </c>
      <c r="AA969" s="407" t="s">
        <v>1507</v>
      </c>
      <c r="AB969" s="258" t="s">
        <v>3827</v>
      </c>
      <c r="AC969" s="258"/>
      <c r="AD969" s="258">
        <v>7</v>
      </c>
      <c r="AE969" s="258"/>
      <c r="AF969" s="259"/>
      <c r="AG969" s="260"/>
      <c r="AH969" s="259"/>
      <c r="AI969" s="259"/>
      <c r="AJ969" s="260"/>
      <c r="AK969" s="259">
        <v>13</v>
      </c>
      <c r="AL969" s="259"/>
      <c r="AM969" s="259" t="s">
        <v>3780</v>
      </c>
      <c r="AN969" s="449"/>
      <c r="AO969" s="449"/>
      <c r="AP969" s="449"/>
      <c r="AQ969" s="392" t="str">
        <f>IFERROR(VLOOKUP(BG969,#REF!,1,0),"")</f>
        <v/>
      </c>
      <c r="AS969" s="259" t="s">
        <v>3231</v>
      </c>
      <c r="AT969" s="392" t="s">
        <v>3099</v>
      </c>
      <c r="AW969" s="392" t="s">
        <v>1914</v>
      </c>
      <c r="AY969" s="312"/>
      <c r="BD969" s="202" t="str">
        <f t="shared" si="146"/>
        <v>HATCH5도어 메이필드 에디션 (3세대)</v>
      </c>
      <c r="BE969" s="261" t="str">
        <f t="shared" si="152"/>
        <v>0119</v>
      </c>
      <c r="BF969" s="407" t="s">
        <v>1507</v>
      </c>
      <c r="BG969" s="202" t="str">
        <f t="shared" si="147"/>
        <v>0119-0968</v>
      </c>
    </row>
    <row r="970" spans="1:59">
      <c r="A970" s="405">
        <v>4744</v>
      </c>
      <c r="B970" s="406">
        <v>4744</v>
      </c>
      <c r="C970" s="261" t="str">
        <f t="shared" si="148"/>
        <v>0026-0120</v>
      </c>
      <c r="D970" s="261" t="str">
        <f t="shared" si="149"/>
        <v>0026-0120-0001</v>
      </c>
      <c r="E970" s="407" t="s">
        <v>1508</v>
      </c>
      <c r="F970" s="261" t="str">
        <f>TEXT(VLOOKUP(J970,'[3]1'!$B$2:$D$37,2,0),"0000")</f>
        <v>0026</v>
      </c>
      <c r="G970" s="261" t="str">
        <f t="shared" si="150"/>
        <v>0120</v>
      </c>
      <c r="H970" s="408">
        <f t="shared" si="151"/>
        <v>1</v>
      </c>
      <c r="I970" s="407" t="s">
        <v>1508</v>
      </c>
      <c r="J970" s="258" t="s">
        <v>3158</v>
      </c>
      <c r="K970" s="258" t="s">
        <v>3861</v>
      </c>
      <c r="L970" s="258" t="s">
        <v>3862</v>
      </c>
      <c r="M970" s="409">
        <v>51400000</v>
      </c>
      <c r="N970" s="426">
        <v>0</v>
      </c>
      <c r="O970" s="258" t="s">
        <v>3826</v>
      </c>
      <c r="P970" s="426" t="s">
        <v>73</v>
      </c>
      <c r="Q970" s="258" t="s">
        <v>72</v>
      </c>
      <c r="R970" s="426">
        <v>5</v>
      </c>
      <c r="S970" s="427">
        <v>8</v>
      </c>
      <c r="T970" s="261">
        <v>6</v>
      </c>
      <c r="U970" s="261">
        <v>6</v>
      </c>
      <c r="V970" s="258" t="s">
        <v>1969</v>
      </c>
      <c r="W970" s="261" t="str">
        <f t="shared" si="153"/>
        <v>MINISE일렉트릭 쿠퍼 SE T1 (1세대)51400000</v>
      </c>
      <c r="X970" s="411">
        <f t="shared" si="154"/>
        <v>4744</v>
      </c>
      <c r="Y970" s="261">
        <v>6</v>
      </c>
      <c r="Z970" s="261">
        <v>6</v>
      </c>
      <c r="AA970" s="407" t="s">
        <v>1508</v>
      </c>
      <c r="AB970" s="258" t="s">
        <v>73</v>
      </c>
      <c r="AC970" s="258"/>
      <c r="AD970" s="258">
        <v>7</v>
      </c>
      <c r="AE970" s="258"/>
      <c r="AF970" s="259"/>
      <c r="AG970" s="260"/>
      <c r="AH970" s="259"/>
      <c r="AI970" s="259"/>
      <c r="AJ970" s="260"/>
      <c r="AK970" s="259">
        <v>13</v>
      </c>
      <c r="AL970" s="259"/>
      <c r="AM970" s="259" t="s">
        <v>3780</v>
      </c>
      <c r="AN970" s="449"/>
      <c r="AO970" s="449"/>
      <c r="AP970" s="449"/>
      <c r="AQ970" s="392" t="str">
        <f>IFERROR(VLOOKUP(BG970,#REF!,1,0),"")</f>
        <v/>
      </c>
      <c r="AS970" s="259" t="s">
        <v>3231</v>
      </c>
      <c r="AT970" s="392" t="s">
        <v>3099</v>
      </c>
      <c r="AW970" s="392" t="s">
        <v>1914</v>
      </c>
      <c r="AY970" s="312"/>
      <c r="BD970" s="202" t="str">
        <f t="shared" si="146"/>
        <v>SE일렉트릭 쿠퍼 SE T1 (1세대)</v>
      </c>
      <c r="BE970" s="261" t="str">
        <f t="shared" si="152"/>
        <v>0120</v>
      </c>
      <c r="BF970" s="407" t="s">
        <v>1508</v>
      </c>
      <c r="BG970" s="202" t="str">
        <f t="shared" si="147"/>
        <v>0120-0969</v>
      </c>
    </row>
    <row r="971" spans="1:59">
      <c r="A971" s="405">
        <v>4745</v>
      </c>
      <c r="B971" s="406">
        <v>4745</v>
      </c>
      <c r="C971" s="261" t="str">
        <f t="shared" si="148"/>
        <v>0026-0120</v>
      </c>
      <c r="D971" s="261" t="str">
        <f t="shared" si="149"/>
        <v>0026-0120-0002</v>
      </c>
      <c r="E971" s="407" t="s">
        <v>1509</v>
      </c>
      <c r="F971" s="261" t="str">
        <f>TEXT(VLOOKUP(J971,'[3]1'!$B$2:$D$37,2,0),"0000")</f>
        <v>0026</v>
      </c>
      <c r="G971" s="261" t="str">
        <f t="shared" si="150"/>
        <v>0120</v>
      </c>
      <c r="H971" s="408">
        <f t="shared" si="151"/>
        <v>2</v>
      </c>
      <c r="I971" s="407" t="s">
        <v>1509</v>
      </c>
      <c r="J971" s="258" t="s">
        <v>3158</v>
      </c>
      <c r="K971" s="258" t="s">
        <v>3861</v>
      </c>
      <c r="L971" s="258" t="s">
        <v>3863</v>
      </c>
      <c r="M971" s="409">
        <v>52100000</v>
      </c>
      <c r="N971" s="426">
        <v>0</v>
      </c>
      <c r="O971" s="258" t="s">
        <v>3826</v>
      </c>
      <c r="P971" s="426" t="s">
        <v>73</v>
      </c>
      <c r="Q971" s="258" t="s">
        <v>72</v>
      </c>
      <c r="R971" s="426">
        <v>5</v>
      </c>
      <c r="S971" s="427">
        <v>8</v>
      </c>
      <c r="T971" s="261">
        <v>6</v>
      </c>
      <c r="U971" s="261">
        <v>6</v>
      </c>
      <c r="V971" s="258" t="s">
        <v>1969</v>
      </c>
      <c r="W971" s="261" t="str">
        <f t="shared" si="153"/>
        <v>MINISE일렉트릭 쿠퍼 SE  (1세대)52100000</v>
      </c>
      <c r="X971" s="411">
        <f t="shared" si="154"/>
        <v>4745</v>
      </c>
      <c r="Y971" s="261">
        <v>6</v>
      </c>
      <c r="Z971" s="261">
        <v>6</v>
      </c>
      <c r="AA971" s="407" t="s">
        <v>1509</v>
      </c>
      <c r="AB971" s="258" t="s">
        <v>73</v>
      </c>
      <c r="AC971" s="258"/>
      <c r="AD971" s="258">
        <v>7</v>
      </c>
      <c r="AE971" s="258"/>
      <c r="AF971" s="259"/>
      <c r="AG971" s="260"/>
      <c r="AH971" s="259"/>
      <c r="AI971" s="259"/>
      <c r="AJ971" s="260"/>
      <c r="AK971" s="259">
        <v>13</v>
      </c>
      <c r="AL971" s="259"/>
      <c r="AM971" s="259" t="s">
        <v>3780</v>
      </c>
      <c r="AN971" s="449"/>
      <c r="AO971" s="449"/>
      <c r="AP971" s="449"/>
      <c r="AQ971" s="392" t="str">
        <f>IFERROR(VLOOKUP(BG971,#REF!,1,0),"")</f>
        <v/>
      </c>
      <c r="AS971" s="259" t="s">
        <v>3231</v>
      </c>
      <c r="AT971" s="392" t="s">
        <v>3099</v>
      </c>
      <c r="AW971" s="392" t="s">
        <v>1914</v>
      </c>
      <c r="AY971" s="312"/>
      <c r="BD971" s="202" t="str">
        <f t="shared" si="146"/>
        <v>SE일렉트릭 쿠퍼 SE  (1세대)</v>
      </c>
      <c r="BE971" s="261" t="str">
        <f t="shared" si="152"/>
        <v>0120</v>
      </c>
      <c r="BF971" s="407" t="s">
        <v>1509</v>
      </c>
      <c r="BG971" s="202" t="str">
        <f t="shared" si="147"/>
        <v>0120-0970</v>
      </c>
    </row>
    <row r="972" spans="1:59">
      <c r="A972" s="405">
        <v>4746</v>
      </c>
      <c r="B972" s="406">
        <v>4746</v>
      </c>
      <c r="C972" s="261" t="str">
        <f t="shared" si="148"/>
        <v>0026-0120</v>
      </c>
      <c r="D972" s="261" t="str">
        <f t="shared" si="149"/>
        <v>0026-0120-0003</v>
      </c>
      <c r="E972" s="407" t="s">
        <v>1510</v>
      </c>
      <c r="F972" s="261" t="str">
        <f>TEXT(VLOOKUP(J972,'[3]1'!$B$2:$D$37,2,0),"0000")</f>
        <v>0026</v>
      </c>
      <c r="G972" s="261" t="str">
        <f t="shared" si="150"/>
        <v>0120</v>
      </c>
      <c r="H972" s="408">
        <f t="shared" si="151"/>
        <v>3</v>
      </c>
      <c r="I972" s="407" t="s">
        <v>1510</v>
      </c>
      <c r="J972" s="258" t="s">
        <v>3158</v>
      </c>
      <c r="K972" s="258" t="s">
        <v>3861</v>
      </c>
      <c r="L972" s="258" t="s">
        <v>3864</v>
      </c>
      <c r="M972" s="409">
        <v>53500000</v>
      </c>
      <c r="N972" s="426">
        <v>0</v>
      </c>
      <c r="O972" s="258" t="s">
        <v>3826</v>
      </c>
      <c r="P972" s="426" t="s">
        <v>73</v>
      </c>
      <c r="Q972" s="258" t="s">
        <v>72</v>
      </c>
      <c r="R972" s="426">
        <v>5</v>
      </c>
      <c r="S972" s="427">
        <v>8</v>
      </c>
      <c r="T972" s="261">
        <v>6</v>
      </c>
      <c r="U972" s="261">
        <v>6</v>
      </c>
      <c r="V972" s="258" t="s">
        <v>1969</v>
      </c>
      <c r="W972" s="261" t="str">
        <f t="shared" si="153"/>
        <v>MINISE일렉트릭 쿠퍼 레졸루트 에디션 (1세대)53500000</v>
      </c>
      <c r="X972" s="411">
        <f t="shared" si="154"/>
        <v>4746</v>
      </c>
      <c r="Y972" s="261">
        <v>6</v>
      </c>
      <c r="Z972" s="261">
        <v>6</v>
      </c>
      <c r="AA972" s="407" t="s">
        <v>1510</v>
      </c>
      <c r="AB972" s="258" t="s">
        <v>73</v>
      </c>
      <c r="AC972" s="258"/>
      <c r="AD972" s="258">
        <v>7</v>
      </c>
      <c r="AE972" s="258"/>
      <c r="AF972" s="259"/>
      <c r="AG972" s="260"/>
      <c r="AH972" s="259"/>
      <c r="AI972" s="259"/>
      <c r="AJ972" s="260"/>
      <c r="AK972" s="259">
        <v>13</v>
      </c>
      <c r="AL972" s="259"/>
      <c r="AM972" s="259" t="s">
        <v>3780</v>
      </c>
      <c r="AN972" s="449"/>
      <c r="AO972" s="449"/>
      <c r="AP972" s="449"/>
      <c r="AQ972" s="392" t="str">
        <f>IFERROR(VLOOKUP(BG972,#REF!,1,0),"")</f>
        <v/>
      </c>
      <c r="AS972" s="259" t="s">
        <v>3231</v>
      </c>
      <c r="AT972" s="392" t="s">
        <v>3099</v>
      </c>
      <c r="AW972" s="392" t="s">
        <v>1914</v>
      </c>
      <c r="AY972" s="312"/>
      <c r="BD972" s="202" t="str">
        <f t="shared" si="146"/>
        <v>SE일렉트릭 쿠퍼 레졸루트 에디션 (1세대)</v>
      </c>
      <c r="BE972" s="261" t="str">
        <f t="shared" si="152"/>
        <v>0120</v>
      </c>
      <c r="BF972" s="407" t="s">
        <v>1510</v>
      </c>
      <c r="BG972" s="202" t="str">
        <f t="shared" si="147"/>
        <v>0120-0971</v>
      </c>
    </row>
    <row r="973" spans="1:59">
      <c r="A973" s="405">
        <v>4747</v>
      </c>
      <c r="B973" s="406">
        <v>4747</v>
      </c>
      <c r="C973" s="261" t="str">
        <f t="shared" si="148"/>
        <v>0025-0121</v>
      </c>
      <c r="D973" s="261" t="str">
        <f t="shared" si="149"/>
        <v>0025-0121-0001</v>
      </c>
      <c r="E973" s="407" t="s">
        <v>1511</v>
      </c>
      <c r="F973" s="261" t="str">
        <f>TEXT(VLOOKUP(J973,'[3]1'!$B$2:$D$37,2,0),"0000")</f>
        <v>0025</v>
      </c>
      <c r="G973" s="261" t="str">
        <f t="shared" si="150"/>
        <v>0121</v>
      </c>
      <c r="H973" s="408">
        <f t="shared" si="151"/>
        <v>1</v>
      </c>
      <c r="I973" s="407" t="s">
        <v>1511</v>
      </c>
      <c r="J973" s="260" t="s">
        <v>1935</v>
      </c>
      <c r="K973" s="260" t="s">
        <v>138</v>
      </c>
      <c r="L973" s="258" t="s">
        <v>3526</v>
      </c>
      <c r="M973" s="409">
        <v>41600000</v>
      </c>
      <c r="N973" s="258">
        <v>1950</v>
      </c>
      <c r="O973" s="258" t="s">
        <v>1961</v>
      </c>
      <c r="P973" s="258" t="s">
        <v>73</v>
      </c>
      <c r="Q973" s="258" t="s">
        <v>72</v>
      </c>
      <c r="R973" s="258">
        <v>5</v>
      </c>
      <c r="S973" s="410">
        <v>4</v>
      </c>
      <c r="T973" s="261">
        <v>6</v>
      </c>
      <c r="U973" s="261">
        <v>6</v>
      </c>
      <c r="V973" s="258" t="s">
        <v>71</v>
      </c>
      <c r="W973" s="261" t="str">
        <f t="shared" si="153"/>
        <v>MercedesBenzA-ClassA200d 세단41600000</v>
      </c>
      <c r="X973" s="411">
        <f t="shared" si="154"/>
        <v>4747</v>
      </c>
      <c r="Y973" s="261">
        <v>6</v>
      </c>
      <c r="Z973" s="261">
        <v>6</v>
      </c>
      <c r="AA973" s="407" t="s">
        <v>1511</v>
      </c>
      <c r="AB973" s="258" t="s">
        <v>73</v>
      </c>
      <c r="AC973" s="258"/>
      <c r="AD973" s="258">
        <v>7</v>
      </c>
      <c r="AE973" s="258">
        <v>0</v>
      </c>
      <c r="AF973" s="259"/>
      <c r="AG973" s="260"/>
      <c r="AH973" s="259"/>
      <c r="AI973" s="259"/>
      <c r="AJ973" s="260"/>
      <c r="AK973" s="259">
        <v>7</v>
      </c>
      <c r="AL973" s="259"/>
      <c r="AM973" s="259" t="s">
        <v>3701</v>
      </c>
      <c r="AN973" s="449"/>
      <c r="AO973" s="449"/>
      <c r="AP973" s="449"/>
      <c r="AQ973" s="392" t="str">
        <f>IFERROR(VLOOKUP(BG973,#REF!,1,0),"")</f>
        <v/>
      </c>
      <c r="AS973" s="259" t="s">
        <v>3226</v>
      </c>
      <c r="AW973" s="392" t="s">
        <v>3958</v>
      </c>
      <c r="BD973" s="202" t="str">
        <f t="shared" si="146"/>
        <v>A-ClassA200d 세단</v>
      </c>
      <c r="BE973" s="261" t="str">
        <f t="shared" si="152"/>
        <v>0121</v>
      </c>
      <c r="BF973" s="407" t="s">
        <v>1511</v>
      </c>
      <c r="BG973" s="202" t="str">
        <f t="shared" si="147"/>
        <v>0121-0972</v>
      </c>
    </row>
    <row r="974" spans="1:59">
      <c r="A974" s="405">
        <v>4748</v>
      </c>
      <c r="B974" s="406">
        <v>4748</v>
      </c>
      <c r="C974" s="261" t="str">
        <f t="shared" si="148"/>
        <v>0025-0121</v>
      </c>
      <c r="D974" s="261" t="str">
        <f t="shared" si="149"/>
        <v>0025-0121-0002</v>
      </c>
      <c r="E974" s="407" t="s">
        <v>1512</v>
      </c>
      <c r="F974" s="261" t="str">
        <f>TEXT(VLOOKUP(J974,'[3]1'!$B$2:$D$37,2,0),"0000")</f>
        <v>0025</v>
      </c>
      <c r="G974" s="261" t="str">
        <f t="shared" si="150"/>
        <v>0121</v>
      </c>
      <c r="H974" s="408">
        <f t="shared" si="151"/>
        <v>2</v>
      </c>
      <c r="I974" s="407" t="s">
        <v>1512</v>
      </c>
      <c r="J974" s="260" t="s">
        <v>1935</v>
      </c>
      <c r="K974" s="260" t="s">
        <v>138</v>
      </c>
      <c r="L974" s="258" t="s">
        <v>4004</v>
      </c>
      <c r="M974" s="429">
        <v>40600000</v>
      </c>
      <c r="N974" s="258">
        <v>1991</v>
      </c>
      <c r="O974" s="258" t="s">
        <v>77</v>
      </c>
      <c r="P974" s="260" t="s">
        <v>73</v>
      </c>
      <c r="Q974" s="260" t="s">
        <v>72</v>
      </c>
      <c r="R974" s="260">
        <v>5</v>
      </c>
      <c r="S974" s="410">
        <v>4</v>
      </c>
      <c r="T974" s="261">
        <v>6</v>
      </c>
      <c r="U974" s="261">
        <v>6</v>
      </c>
      <c r="V974" s="260" t="s">
        <v>71</v>
      </c>
      <c r="W974" s="261" t="str">
        <f t="shared" si="153"/>
        <v>MercedesBenzA-ClassA 220 세단40600000</v>
      </c>
      <c r="X974" s="411">
        <f t="shared" si="154"/>
        <v>4748</v>
      </c>
      <c r="Y974" s="261">
        <v>6</v>
      </c>
      <c r="Z974" s="261">
        <v>6</v>
      </c>
      <c r="AA974" s="407" t="s">
        <v>1512</v>
      </c>
      <c r="AB974" s="258" t="s">
        <v>73</v>
      </c>
      <c r="AC974" s="260"/>
      <c r="AD974" s="260">
        <v>2</v>
      </c>
      <c r="AE974" s="260">
        <v>0</v>
      </c>
      <c r="AF974" s="259"/>
      <c r="AG974" s="260"/>
      <c r="AH974" s="259"/>
      <c r="AI974" s="259"/>
      <c r="AJ974" s="260"/>
      <c r="AK974" s="259">
        <v>7</v>
      </c>
      <c r="AL974" s="259"/>
      <c r="AM974" s="259" t="s">
        <v>3701</v>
      </c>
      <c r="AN974" s="449"/>
      <c r="AO974" s="449"/>
      <c r="AP974" s="449"/>
      <c r="AQ974" s="392" t="str">
        <f>IFERROR(VLOOKUP(BG974,#REF!,1,0),"")</f>
        <v/>
      </c>
      <c r="AS974" s="259" t="s">
        <v>3226</v>
      </c>
      <c r="AW974" s="392" t="s">
        <v>3958</v>
      </c>
      <c r="BD974" s="202" t="str">
        <f t="shared" si="146"/>
        <v>A-ClassA 220 세단</v>
      </c>
      <c r="BE974" s="261" t="str">
        <f t="shared" si="152"/>
        <v>0121</v>
      </c>
      <c r="BF974" s="407" t="s">
        <v>1512</v>
      </c>
      <c r="BG974" s="202" t="str">
        <f t="shared" si="147"/>
        <v>0121-0973</v>
      </c>
    </row>
    <row r="975" spans="1:59">
      <c r="A975" s="405">
        <v>4749</v>
      </c>
      <c r="B975" s="406">
        <v>4749</v>
      </c>
      <c r="C975" s="261" t="str">
        <f t="shared" si="148"/>
        <v>0025-0121</v>
      </c>
      <c r="D975" s="261" t="str">
        <f t="shared" si="149"/>
        <v>0025-0121-0003</v>
      </c>
      <c r="E975" s="407" t="s">
        <v>1513</v>
      </c>
      <c r="F975" s="261" t="str">
        <f>TEXT(VLOOKUP(J975,'[3]1'!$B$2:$D$37,2,0),"0000")</f>
        <v>0025</v>
      </c>
      <c r="G975" s="261" t="str">
        <f t="shared" si="150"/>
        <v>0121</v>
      </c>
      <c r="H975" s="408">
        <f t="shared" si="151"/>
        <v>3</v>
      </c>
      <c r="I975" s="407" t="s">
        <v>1513</v>
      </c>
      <c r="J975" s="260" t="s">
        <v>1935</v>
      </c>
      <c r="K975" s="260" t="s">
        <v>138</v>
      </c>
      <c r="L975" s="258" t="s">
        <v>4005</v>
      </c>
      <c r="M975" s="429">
        <v>40600000</v>
      </c>
      <c r="N975" s="258">
        <v>1991</v>
      </c>
      <c r="O975" s="258" t="s">
        <v>77</v>
      </c>
      <c r="P975" s="260" t="s">
        <v>73</v>
      </c>
      <c r="Q975" s="260" t="s">
        <v>72</v>
      </c>
      <c r="R975" s="260">
        <v>5</v>
      </c>
      <c r="S975" s="410">
        <v>4</v>
      </c>
      <c r="T975" s="261">
        <v>6</v>
      </c>
      <c r="U975" s="261">
        <v>6</v>
      </c>
      <c r="V975" s="260" t="s">
        <v>71</v>
      </c>
      <c r="W975" s="261" t="str">
        <f t="shared" si="153"/>
        <v>MercedesBenzA-ClassA 220 해치백40600000</v>
      </c>
      <c r="X975" s="411">
        <f t="shared" si="154"/>
        <v>4749</v>
      </c>
      <c r="Y975" s="261">
        <v>6</v>
      </c>
      <c r="Z975" s="261">
        <v>6</v>
      </c>
      <c r="AA975" s="407" t="s">
        <v>1513</v>
      </c>
      <c r="AB975" s="258" t="s">
        <v>73</v>
      </c>
      <c r="AC975" s="260"/>
      <c r="AD975" s="260">
        <v>2</v>
      </c>
      <c r="AE975" s="260">
        <v>0</v>
      </c>
      <c r="AF975" s="259"/>
      <c r="AG975" s="260"/>
      <c r="AH975" s="259"/>
      <c r="AI975" s="259"/>
      <c r="AJ975" s="260"/>
      <c r="AK975" s="259">
        <v>7</v>
      </c>
      <c r="AL975" s="259"/>
      <c r="AM975" s="259" t="s">
        <v>3701</v>
      </c>
      <c r="AN975" s="449"/>
      <c r="AO975" s="449"/>
      <c r="AP975" s="449"/>
      <c r="AQ975" s="392" t="str">
        <f>IFERROR(VLOOKUP(BG975,#REF!,1,0),"")</f>
        <v/>
      </c>
      <c r="AS975" s="259" t="s">
        <v>3226</v>
      </c>
      <c r="AW975" s="392" t="s">
        <v>3958</v>
      </c>
      <c r="BD975" s="202" t="str">
        <f t="shared" si="146"/>
        <v>A-ClassA 220 해치백</v>
      </c>
      <c r="BE975" s="261" t="str">
        <f t="shared" si="152"/>
        <v>0121</v>
      </c>
      <c r="BF975" s="407" t="s">
        <v>1513</v>
      </c>
      <c r="BG975" s="202" t="str">
        <f t="shared" si="147"/>
        <v>0121-0974</v>
      </c>
    </row>
    <row r="976" spans="1:59">
      <c r="A976" s="405">
        <v>4750</v>
      </c>
      <c r="B976" s="406">
        <v>4750</v>
      </c>
      <c r="C976" s="261" t="str">
        <f t="shared" si="148"/>
        <v>0025-0121</v>
      </c>
      <c r="D976" s="261" t="str">
        <f t="shared" si="149"/>
        <v>0025-0121-0004</v>
      </c>
      <c r="E976" s="407" t="s">
        <v>1514</v>
      </c>
      <c r="F976" s="261" t="str">
        <f>TEXT(VLOOKUP(J976,'[3]1'!$B$2:$D$37,2,0),"0000")</f>
        <v>0025</v>
      </c>
      <c r="G976" s="261" t="str">
        <f t="shared" si="150"/>
        <v>0121</v>
      </c>
      <c r="H976" s="408">
        <f t="shared" si="151"/>
        <v>4</v>
      </c>
      <c r="I976" s="407" t="s">
        <v>1514</v>
      </c>
      <c r="J976" s="260" t="s">
        <v>1935</v>
      </c>
      <c r="K976" s="260" t="s">
        <v>138</v>
      </c>
      <c r="L976" s="258" t="s">
        <v>3527</v>
      </c>
      <c r="M976" s="429">
        <v>50900000</v>
      </c>
      <c r="N976" s="258">
        <v>1991</v>
      </c>
      <c r="O976" s="258" t="s">
        <v>77</v>
      </c>
      <c r="P976" s="260" t="s">
        <v>73</v>
      </c>
      <c r="Q976" s="260" t="s">
        <v>72</v>
      </c>
      <c r="R976" s="260">
        <v>5</v>
      </c>
      <c r="S976" s="410">
        <v>4</v>
      </c>
      <c r="T976" s="261">
        <v>6</v>
      </c>
      <c r="U976" s="261">
        <v>6</v>
      </c>
      <c r="V976" s="260" t="s">
        <v>71</v>
      </c>
      <c r="W976" s="261" t="str">
        <f t="shared" si="153"/>
        <v>MercedesBenzA-ClassA250 4matic  세단50900000</v>
      </c>
      <c r="X976" s="411">
        <f t="shared" si="154"/>
        <v>4750</v>
      </c>
      <c r="Y976" s="261">
        <v>6</v>
      </c>
      <c r="Z976" s="261">
        <v>6</v>
      </c>
      <c r="AA976" s="407" t="s">
        <v>1514</v>
      </c>
      <c r="AB976" s="258" t="s">
        <v>73</v>
      </c>
      <c r="AC976" s="258"/>
      <c r="AD976" s="258">
        <v>2</v>
      </c>
      <c r="AE976" s="258">
        <v>0</v>
      </c>
      <c r="AF976" s="260"/>
      <c r="AG976" s="260"/>
      <c r="AH976" s="259"/>
      <c r="AI976" s="260"/>
      <c r="AJ976" s="260"/>
      <c r="AK976" s="259">
        <v>7</v>
      </c>
      <c r="AL976" s="259"/>
      <c r="AM976" s="259" t="s">
        <v>3701</v>
      </c>
      <c r="AN976" s="449"/>
      <c r="AO976" s="449"/>
      <c r="AP976" s="449"/>
      <c r="AQ976" s="392" t="str">
        <f>IFERROR(VLOOKUP(BG976,#REF!,1,0),"")</f>
        <v/>
      </c>
      <c r="AS976" s="259" t="s">
        <v>3226</v>
      </c>
      <c r="AW976" s="392" t="s">
        <v>3958</v>
      </c>
      <c r="BD976" s="202" t="str">
        <f t="shared" si="146"/>
        <v>A-ClassA250 4matic  세단</v>
      </c>
      <c r="BE976" s="261" t="str">
        <f t="shared" si="152"/>
        <v>0121</v>
      </c>
      <c r="BF976" s="407" t="s">
        <v>1514</v>
      </c>
      <c r="BG976" s="202" t="str">
        <f t="shared" si="147"/>
        <v>0121-0975</v>
      </c>
    </row>
    <row r="977" spans="1:59">
      <c r="A977" s="405">
        <v>4751</v>
      </c>
      <c r="B977" s="406">
        <v>4751</v>
      </c>
      <c r="C977" s="261" t="str">
        <f t="shared" si="148"/>
        <v>0025-0121</v>
      </c>
      <c r="D977" s="261" t="str">
        <f t="shared" si="149"/>
        <v>0025-0121-0005</v>
      </c>
      <c r="E977" s="407" t="s">
        <v>3636</v>
      </c>
      <c r="F977" s="261" t="str">
        <f>TEXT(VLOOKUP(J977,'[3]1'!$B$2:$D$37,2,0),"0000")</f>
        <v>0025</v>
      </c>
      <c r="G977" s="261" t="str">
        <f t="shared" si="150"/>
        <v>0121</v>
      </c>
      <c r="H977" s="408">
        <f t="shared" si="151"/>
        <v>5</v>
      </c>
      <c r="I977" s="407" t="s">
        <v>3636</v>
      </c>
      <c r="J977" s="260" t="s">
        <v>1935</v>
      </c>
      <c r="K977" s="260" t="s">
        <v>138</v>
      </c>
      <c r="L977" s="258" t="s">
        <v>3528</v>
      </c>
      <c r="M977" s="429">
        <v>62700000</v>
      </c>
      <c r="N977" s="258">
        <v>1991</v>
      </c>
      <c r="O977" s="258" t="s">
        <v>77</v>
      </c>
      <c r="P977" s="260" t="s">
        <v>73</v>
      </c>
      <c r="Q977" s="260" t="s">
        <v>72</v>
      </c>
      <c r="R977" s="260">
        <v>5</v>
      </c>
      <c r="S977" s="410">
        <v>13</v>
      </c>
      <c r="T977" s="261">
        <v>6</v>
      </c>
      <c r="U977" s="261">
        <v>6</v>
      </c>
      <c r="V977" s="260" t="s">
        <v>71</v>
      </c>
      <c r="W977" s="261" t="str">
        <f t="shared" si="153"/>
        <v>MercedesBenzA-ClassAMG A 35 4매틱 세단62700000</v>
      </c>
      <c r="X977" s="411">
        <f t="shared" si="154"/>
        <v>4751</v>
      </c>
      <c r="Y977" s="261">
        <v>6</v>
      </c>
      <c r="Z977" s="261">
        <v>6</v>
      </c>
      <c r="AA977" s="407" t="s">
        <v>3636</v>
      </c>
      <c r="AB977" s="260" t="s">
        <v>73</v>
      </c>
      <c r="AC977" s="258"/>
      <c r="AD977" s="258">
        <v>5</v>
      </c>
      <c r="AE977" s="258">
        <v>2</v>
      </c>
      <c r="AF977" s="260"/>
      <c r="AG977" s="260"/>
      <c r="AH977" s="259"/>
      <c r="AI977" s="260"/>
      <c r="AJ977" s="260"/>
      <c r="AK977" s="259">
        <v>16</v>
      </c>
      <c r="AL977" s="259"/>
      <c r="AM977" s="259" t="s">
        <v>3690</v>
      </c>
      <c r="AN977" s="449"/>
      <c r="AO977" s="449"/>
      <c r="AP977" s="449"/>
      <c r="AQ977" s="392" t="str">
        <f>IFERROR(VLOOKUP(BG977,#REF!,1,0),"")</f>
        <v/>
      </c>
      <c r="AS977" s="259" t="s">
        <v>3227</v>
      </c>
      <c r="BD977" s="202" t="str">
        <f t="shared" si="146"/>
        <v>A-ClassAMG A 35 4매틱 세단</v>
      </c>
      <c r="BE977" s="261" t="str">
        <f t="shared" si="152"/>
        <v>0121</v>
      </c>
      <c r="BF977" s="407" t="s">
        <v>3636</v>
      </c>
      <c r="BG977" s="202" t="str">
        <f t="shared" si="147"/>
        <v>0121-0976</v>
      </c>
    </row>
    <row r="978" spans="1:59">
      <c r="A978" s="405">
        <v>4752</v>
      </c>
      <c r="B978" s="406">
        <v>4752</v>
      </c>
      <c r="C978" s="261" t="str">
        <f t="shared" si="148"/>
        <v>0025-0121</v>
      </c>
      <c r="D978" s="261" t="str">
        <f t="shared" si="149"/>
        <v>0025-0121-0006</v>
      </c>
      <c r="E978" s="407" t="s">
        <v>3637</v>
      </c>
      <c r="F978" s="261" t="str">
        <f>TEXT(VLOOKUP(J978,'[3]1'!$B$2:$D$37,2,0),"0000")</f>
        <v>0025</v>
      </c>
      <c r="G978" s="261" t="str">
        <f t="shared" si="150"/>
        <v>0121</v>
      </c>
      <c r="H978" s="408">
        <f t="shared" si="151"/>
        <v>6</v>
      </c>
      <c r="I978" s="407" t="s">
        <v>3637</v>
      </c>
      <c r="J978" s="260" t="s">
        <v>1935</v>
      </c>
      <c r="K978" s="260" t="s">
        <v>138</v>
      </c>
      <c r="L978" s="258" t="s">
        <v>3529</v>
      </c>
      <c r="M978" s="429">
        <v>70900000</v>
      </c>
      <c r="N978" s="258">
        <v>1991</v>
      </c>
      <c r="O978" s="258" t="s">
        <v>77</v>
      </c>
      <c r="P978" s="260" t="s">
        <v>73</v>
      </c>
      <c r="Q978" s="260" t="s">
        <v>72</v>
      </c>
      <c r="R978" s="260">
        <v>5</v>
      </c>
      <c r="S978" s="410">
        <v>12</v>
      </c>
      <c r="T978" s="261">
        <v>6</v>
      </c>
      <c r="U978" s="261">
        <v>6</v>
      </c>
      <c r="V978" s="260" t="s">
        <v>71</v>
      </c>
      <c r="W978" s="261" t="str">
        <f t="shared" si="153"/>
        <v>MercedesBenzA-ClassAMG A 45 4매틱+70900000</v>
      </c>
      <c r="X978" s="411">
        <f t="shared" si="154"/>
        <v>4752</v>
      </c>
      <c r="Y978" s="261">
        <v>6</v>
      </c>
      <c r="Z978" s="261">
        <v>6</v>
      </c>
      <c r="AA978" s="407" t="s">
        <v>3637</v>
      </c>
      <c r="AB978" s="260" t="s">
        <v>3683</v>
      </c>
      <c r="AC978" s="260"/>
      <c r="AD978" s="260">
        <v>5</v>
      </c>
      <c r="AE978" s="260">
        <v>2</v>
      </c>
      <c r="AF978" s="260"/>
      <c r="AG978" s="260"/>
      <c r="AH978" s="259"/>
      <c r="AI978" s="260"/>
      <c r="AJ978" s="260"/>
      <c r="AK978" s="259">
        <v>16</v>
      </c>
      <c r="AL978" s="259"/>
      <c r="AM978" s="259" t="s">
        <v>3690</v>
      </c>
      <c r="AN978" s="449"/>
      <c r="AO978" s="449"/>
      <c r="AP978" s="449"/>
      <c r="AQ978" s="392" t="str">
        <f>IFERROR(VLOOKUP(BG978,#REF!,1,0),"")</f>
        <v/>
      </c>
      <c r="AS978" s="259" t="s">
        <v>3228</v>
      </c>
      <c r="BD978" s="202" t="str">
        <f t="shared" si="146"/>
        <v>A-ClassAMG A 45 4매틱+</v>
      </c>
      <c r="BE978" s="261" t="str">
        <f t="shared" si="152"/>
        <v>0121</v>
      </c>
      <c r="BF978" s="407" t="s">
        <v>3637</v>
      </c>
      <c r="BG978" s="202" t="str">
        <f t="shared" si="147"/>
        <v>0121-0977</v>
      </c>
    </row>
    <row r="979" spans="1:59">
      <c r="A979" s="405">
        <v>4753</v>
      </c>
      <c r="B979" s="406">
        <v>4753</v>
      </c>
      <c r="C979" s="261" t="str">
        <f t="shared" si="148"/>
        <v>0025-0122</v>
      </c>
      <c r="D979" s="261" t="str">
        <f t="shared" si="149"/>
        <v>0025-0122-0001</v>
      </c>
      <c r="E979" s="407" t="s">
        <v>1515</v>
      </c>
      <c r="F979" s="261" t="str">
        <f>TEXT(VLOOKUP(J979,'[3]1'!$B$2:$D$37,2,0),"0000")</f>
        <v>0025</v>
      </c>
      <c r="G979" s="261" t="str">
        <f t="shared" si="150"/>
        <v>0122</v>
      </c>
      <c r="H979" s="408">
        <f t="shared" si="151"/>
        <v>1</v>
      </c>
      <c r="I979" s="407" t="s">
        <v>1515</v>
      </c>
      <c r="J979" s="260" t="s">
        <v>1935</v>
      </c>
      <c r="K979" s="260" t="s">
        <v>1390</v>
      </c>
      <c r="L979" s="258" t="s">
        <v>3497</v>
      </c>
      <c r="M979" s="429">
        <v>143100000</v>
      </c>
      <c r="N979" s="258">
        <v>2999</v>
      </c>
      <c r="O979" s="258" t="s">
        <v>77</v>
      </c>
      <c r="P979" s="260" t="s">
        <v>73</v>
      </c>
      <c r="Q979" s="260" t="s">
        <v>72</v>
      </c>
      <c r="R979" s="260">
        <v>5</v>
      </c>
      <c r="S979" s="410">
        <v>7</v>
      </c>
      <c r="T979" s="261">
        <v>6</v>
      </c>
      <c r="U979" s="261">
        <v>6</v>
      </c>
      <c r="V979" s="260" t="s">
        <v>71</v>
      </c>
      <c r="W979" s="261" t="str">
        <f t="shared" si="153"/>
        <v>MercedesBenzAMG GT 4door43 4matic+쿠페143100000</v>
      </c>
      <c r="X979" s="411">
        <f t="shared" si="154"/>
        <v>4753</v>
      </c>
      <c r="Y979" s="261">
        <v>6</v>
      </c>
      <c r="Z979" s="261">
        <v>6</v>
      </c>
      <c r="AA979" s="407" t="s">
        <v>1515</v>
      </c>
      <c r="AB979" s="260" t="s">
        <v>73</v>
      </c>
      <c r="AC979" s="260"/>
      <c r="AD979" s="260">
        <v>5</v>
      </c>
      <c r="AE979" s="260">
        <v>0</v>
      </c>
      <c r="AF979" s="260"/>
      <c r="AG979" s="260"/>
      <c r="AH979" s="259"/>
      <c r="AI979" s="260"/>
      <c r="AJ979" s="260"/>
      <c r="AK979" s="259">
        <v>11</v>
      </c>
      <c r="AL979" s="259"/>
      <c r="AM979" s="259" t="s">
        <v>3733</v>
      </c>
      <c r="AN979" s="449"/>
      <c r="AO979" s="449"/>
      <c r="AP979" s="449"/>
      <c r="AQ979" s="392" t="str">
        <f>IFERROR(VLOOKUP(BG979,#REF!,1,0),"")</f>
        <v/>
      </c>
      <c r="AS979" s="259" t="s">
        <v>3229</v>
      </c>
      <c r="AW979" s="392" t="s">
        <v>3958</v>
      </c>
      <c r="BD979" s="202" t="str">
        <f t="shared" si="146"/>
        <v>AMG GT 4door43 4matic+쿠페</v>
      </c>
      <c r="BE979" s="261" t="str">
        <f t="shared" si="152"/>
        <v>0122</v>
      </c>
      <c r="BF979" s="407" t="s">
        <v>1515</v>
      </c>
      <c r="BG979" s="202" t="str">
        <f t="shared" si="147"/>
        <v>0122-0978</v>
      </c>
    </row>
    <row r="980" spans="1:59">
      <c r="A980" s="405">
        <v>4754</v>
      </c>
      <c r="B980" s="406">
        <v>4754</v>
      </c>
      <c r="C980" s="261" t="str">
        <f t="shared" si="148"/>
        <v>0025-0122</v>
      </c>
      <c r="D980" s="261" t="str">
        <f t="shared" si="149"/>
        <v>0025-0122-0002</v>
      </c>
      <c r="E980" s="407" t="s">
        <v>1516</v>
      </c>
      <c r="F980" s="261" t="str">
        <f>TEXT(VLOOKUP(J980,'[3]1'!$B$2:$D$37,2,0),"0000")</f>
        <v>0025</v>
      </c>
      <c r="G980" s="261" t="str">
        <f t="shared" si="150"/>
        <v>0122</v>
      </c>
      <c r="H980" s="408">
        <f t="shared" si="151"/>
        <v>2</v>
      </c>
      <c r="I980" s="407" t="s">
        <v>1516</v>
      </c>
      <c r="J980" s="260" t="s">
        <v>1935</v>
      </c>
      <c r="K980" s="260" t="s">
        <v>1390</v>
      </c>
      <c r="L980" s="258" t="s">
        <v>3496</v>
      </c>
      <c r="M980" s="429">
        <v>241600000</v>
      </c>
      <c r="N980" s="258">
        <v>3982</v>
      </c>
      <c r="O980" s="258" t="s">
        <v>77</v>
      </c>
      <c r="P980" s="260" t="s">
        <v>73</v>
      </c>
      <c r="Q980" s="260" t="s">
        <v>72</v>
      </c>
      <c r="R980" s="260">
        <v>4</v>
      </c>
      <c r="S980" s="410">
        <v>7</v>
      </c>
      <c r="T980" s="261">
        <v>6</v>
      </c>
      <c r="U980" s="261">
        <v>6</v>
      </c>
      <c r="V980" s="260" t="s">
        <v>71</v>
      </c>
      <c r="W980" s="261" t="str">
        <f t="shared" si="153"/>
        <v>MercedesBenzAMG GT 4door63 S 4matic+쿠페241600000</v>
      </c>
      <c r="X980" s="411">
        <f t="shared" si="154"/>
        <v>4754</v>
      </c>
      <c r="Y980" s="261">
        <v>6</v>
      </c>
      <c r="Z980" s="261">
        <v>6</v>
      </c>
      <c r="AA980" s="407" t="s">
        <v>1516</v>
      </c>
      <c r="AB980" s="260" t="s">
        <v>73</v>
      </c>
      <c r="AC980" s="260"/>
      <c r="AD980" s="260">
        <v>6</v>
      </c>
      <c r="AE980" s="260">
        <v>0</v>
      </c>
      <c r="AF980" s="260"/>
      <c r="AG980" s="260"/>
      <c r="AH980" s="259"/>
      <c r="AI980" s="260"/>
      <c r="AJ980" s="260"/>
      <c r="AK980" s="259">
        <v>22</v>
      </c>
      <c r="AL980" s="259"/>
      <c r="AM980" s="259" t="s">
        <v>3732</v>
      </c>
      <c r="AN980" s="449"/>
      <c r="AO980" s="449"/>
      <c r="AP980" s="449"/>
      <c r="AQ980" s="392" t="str">
        <f>IFERROR(VLOOKUP(BG980,#REF!,1,0),"")</f>
        <v/>
      </c>
      <c r="AS980" s="259" t="s">
        <v>3229</v>
      </c>
      <c r="BD980" s="202" t="str">
        <f t="shared" si="146"/>
        <v>AMG GT 4door63 S 4matic+쿠페</v>
      </c>
      <c r="BE980" s="261" t="str">
        <f t="shared" si="152"/>
        <v>0122</v>
      </c>
      <c r="BF980" s="407" t="s">
        <v>1516</v>
      </c>
      <c r="BG980" s="202" t="str">
        <f t="shared" si="147"/>
        <v>0122-0979</v>
      </c>
    </row>
    <row r="981" spans="1:59">
      <c r="A981" s="405">
        <v>4755</v>
      </c>
      <c r="B981" s="406">
        <v>4755</v>
      </c>
      <c r="C981" s="261" t="str">
        <f t="shared" si="148"/>
        <v>0025-0123</v>
      </c>
      <c r="D981" s="261" t="str">
        <f t="shared" si="149"/>
        <v>0025-0123-0001</v>
      </c>
      <c r="E981" s="407" t="s">
        <v>3919</v>
      </c>
      <c r="F981" s="261" t="str">
        <f>TEXT(VLOOKUP(J981,'[3]1'!$B$2:$D$37,2,0),"0000")</f>
        <v>0025</v>
      </c>
      <c r="G981" s="261" t="str">
        <f t="shared" si="150"/>
        <v>0123</v>
      </c>
      <c r="H981" s="408">
        <f t="shared" si="151"/>
        <v>1</v>
      </c>
      <c r="I981" s="407" t="s">
        <v>3919</v>
      </c>
      <c r="J981" s="260" t="s">
        <v>1935</v>
      </c>
      <c r="K981" s="260" t="s">
        <v>134</v>
      </c>
      <c r="L981" s="258" t="s">
        <v>4003</v>
      </c>
      <c r="M981" s="520">
        <v>76000000</v>
      </c>
      <c r="N981" s="426">
        <v>1999</v>
      </c>
      <c r="O981" s="258" t="s">
        <v>77</v>
      </c>
      <c r="P981" s="431" t="s">
        <v>73</v>
      </c>
      <c r="Q981" s="260" t="s">
        <v>72</v>
      </c>
      <c r="R981" s="431">
        <v>5</v>
      </c>
      <c r="S981" s="427">
        <v>1</v>
      </c>
      <c r="T981" s="261">
        <v>6</v>
      </c>
      <c r="U981" s="261">
        <v>6</v>
      </c>
      <c r="V981" s="258" t="s">
        <v>71</v>
      </c>
      <c r="W981" s="261" t="str">
        <f t="shared" si="153"/>
        <v>MercedesBenzC-ClassC 200 AMG 라인76000000</v>
      </c>
      <c r="X981" s="411">
        <f t="shared" si="154"/>
        <v>4755</v>
      </c>
      <c r="Y981" s="261">
        <v>6</v>
      </c>
      <c r="Z981" s="261">
        <v>6</v>
      </c>
      <c r="AA981" s="407" t="s">
        <v>3919</v>
      </c>
      <c r="AB981" s="260" t="s">
        <v>73</v>
      </c>
      <c r="AC981" s="260"/>
      <c r="AD981" s="258">
        <v>7</v>
      </c>
      <c r="AE981" s="260">
        <v>0</v>
      </c>
      <c r="AF981" s="260"/>
      <c r="AG981" s="260"/>
      <c r="AH981" s="259"/>
      <c r="AI981" s="260"/>
      <c r="AJ981" s="260"/>
      <c r="AK981" s="259">
        <v>7</v>
      </c>
      <c r="AL981" s="259"/>
      <c r="AM981" s="259" t="s">
        <v>3701</v>
      </c>
      <c r="AN981" s="449"/>
      <c r="AO981" s="449"/>
      <c r="AP981" s="449"/>
      <c r="AQ981" s="392" t="str">
        <f>IFERROR(VLOOKUP(BG981,#REF!,1,0),"")</f>
        <v/>
      </c>
      <c r="AS981" s="259" t="s">
        <v>3189</v>
      </c>
      <c r="AY981" s="312"/>
      <c r="BD981" s="202" t="str">
        <f t="shared" si="146"/>
        <v>C-ClassC 200 AMG 라인</v>
      </c>
      <c r="BE981" s="261" t="str">
        <f t="shared" si="152"/>
        <v>0123</v>
      </c>
      <c r="BF981" s="407" t="s">
        <v>3919</v>
      </c>
      <c r="BG981" s="202" t="str">
        <f t="shared" si="147"/>
        <v>0123-0980</v>
      </c>
    </row>
    <row r="982" spans="1:59">
      <c r="A982" s="405">
        <v>4756</v>
      </c>
      <c r="B982" s="406">
        <v>4756</v>
      </c>
      <c r="C982" s="261" t="str">
        <f t="shared" si="148"/>
        <v>0025-0123</v>
      </c>
      <c r="D982" s="261" t="str">
        <f t="shared" si="149"/>
        <v>0025-0123-0002</v>
      </c>
      <c r="E982" s="407" t="s">
        <v>3638</v>
      </c>
      <c r="F982" s="261" t="str">
        <f>TEXT(VLOOKUP(J982,'[3]1'!$B$2:$D$37,2,0),"0000")</f>
        <v>0025</v>
      </c>
      <c r="G982" s="261" t="str">
        <f t="shared" si="150"/>
        <v>0123</v>
      </c>
      <c r="H982" s="408">
        <f t="shared" si="151"/>
        <v>2</v>
      </c>
      <c r="I982" s="407" t="s">
        <v>3638</v>
      </c>
      <c r="J982" s="260" t="s">
        <v>1935</v>
      </c>
      <c r="K982" s="260" t="s">
        <v>134</v>
      </c>
      <c r="L982" s="258" t="s">
        <v>4002</v>
      </c>
      <c r="M982" s="520">
        <v>68300000</v>
      </c>
      <c r="N982" s="426">
        <v>1999</v>
      </c>
      <c r="O982" s="258" t="s">
        <v>77</v>
      </c>
      <c r="P982" s="431" t="s">
        <v>73</v>
      </c>
      <c r="Q982" s="260" t="s">
        <v>72</v>
      </c>
      <c r="R982" s="431">
        <v>5</v>
      </c>
      <c r="S982" s="427">
        <v>1</v>
      </c>
      <c r="T982" s="261">
        <v>6</v>
      </c>
      <c r="U982" s="261">
        <v>6</v>
      </c>
      <c r="V982" s="258" t="s">
        <v>71</v>
      </c>
      <c r="W982" s="261" t="str">
        <f t="shared" si="153"/>
        <v>MercedesBenzC-ClassC 200 아방가르드68300000</v>
      </c>
      <c r="X982" s="411">
        <f t="shared" si="154"/>
        <v>4756</v>
      </c>
      <c r="Y982" s="261">
        <v>6</v>
      </c>
      <c r="Z982" s="261">
        <v>6</v>
      </c>
      <c r="AA982" s="407" t="s">
        <v>3638</v>
      </c>
      <c r="AB982" s="260" t="s">
        <v>73</v>
      </c>
      <c r="AC982" s="260"/>
      <c r="AD982" s="258">
        <v>7</v>
      </c>
      <c r="AE982" s="260">
        <v>0</v>
      </c>
      <c r="AF982" s="260"/>
      <c r="AG982" s="260"/>
      <c r="AH982" s="259"/>
      <c r="AI982" s="260"/>
      <c r="AJ982" s="260"/>
      <c r="AK982" s="259">
        <v>7</v>
      </c>
      <c r="AL982" s="259"/>
      <c r="AM982" s="259" t="s">
        <v>3701</v>
      </c>
      <c r="AN982" s="449"/>
      <c r="AO982" s="449"/>
      <c r="AP982" s="449"/>
      <c r="AQ982" s="392" t="str">
        <f>IFERROR(VLOOKUP(BG982,#REF!,1,0),"")</f>
        <v/>
      </c>
      <c r="AS982" s="259" t="s">
        <v>3189</v>
      </c>
      <c r="AY982" s="312"/>
      <c r="BD982" s="202" t="str">
        <f t="shared" si="146"/>
        <v>C-ClassC 200 아방가르드</v>
      </c>
      <c r="BE982" s="261" t="str">
        <f t="shared" si="152"/>
        <v>0123</v>
      </c>
      <c r="BF982" s="407" t="s">
        <v>3638</v>
      </c>
      <c r="BG982" s="202" t="str">
        <f t="shared" si="147"/>
        <v>0123-0981</v>
      </c>
    </row>
    <row r="983" spans="1:59">
      <c r="A983" s="405">
        <v>4757</v>
      </c>
      <c r="B983" s="406">
        <v>4757</v>
      </c>
      <c r="C983" s="261" t="str">
        <f t="shared" si="148"/>
        <v>0025-0123</v>
      </c>
      <c r="D983" s="261" t="str">
        <f t="shared" si="149"/>
        <v>0025-0123-0003</v>
      </c>
      <c r="E983" s="407" t="s">
        <v>3639</v>
      </c>
      <c r="F983" s="261" t="str">
        <f>TEXT(VLOOKUP(J983,'[3]1'!$B$2:$D$37,2,0),"0000")</f>
        <v>0025</v>
      </c>
      <c r="G983" s="261" t="str">
        <f t="shared" si="150"/>
        <v>0123</v>
      </c>
      <c r="H983" s="408">
        <f t="shared" si="151"/>
        <v>3</v>
      </c>
      <c r="I983" s="407" t="s">
        <v>3639</v>
      </c>
      <c r="J983" s="260" t="s">
        <v>1935</v>
      </c>
      <c r="K983" s="260" t="s">
        <v>134</v>
      </c>
      <c r="L983" s="258" t="s">
        <v>3729</v>
      </c>
      <c r="M983" s="520">
        <v>76000000</v>
      </c>
      <c r="N983" s="426">
        <v>1999</v>
      </c>
      <c r="O983" s="258" t="s">
        <v>77</v>
      </c>
      <c r="P983" s="431" t="s">
        <v>73</v>
      </c>
      <c r="Q983" s="260" t="s">
        <v>72</v>
      </c>
      <c r="R983" s="431">
        <v>5</v>
      </c>
      <c r="S983" s="427">
        <v>1</v>
      </c>
      <c r="T983" s="261">
        <v>6</v>
      </c>
      <c r="U983" s="261">
        <v>6</v>
      </c>
      <c r="V983" s="258" t="s">
        <v>71</v>
      </c>
      <c r="W983" s="261" t="str">
        <f t="shared" si="153"/>
        <v>MercedesBenzC-ClassC 300 4매틱 AMG 라인76000000</v>
      </c>
      <c r="X983" s="411">
        <f t="shared" si="154"/>
        <v>4757</v>
      </c>
      <c r="Y983" s="261">
        <v>6</v>
      </c>
      <c r="Z983" s="261">
        <v>6</v>
      </c>
      <c r="AA983" s="407" t="s">
        <v>3639</v>
      </c>
      <c r="AB983" s="260" t="s">
        <v>73</v>
      </c>
      <c r="AC983" s="260"/>
      <c r="AD983" s="258">
        <v>7</v>
      </c>
      <c r="AE983" s="260">
        <v>0</v>
      </c>
      <c r="AF983" s="260"/>
      <c r="AG983" s="260"/>
      <c r="AH983" s="259"/>
      <c r="AI983" s="260"/>
      <c r="AJ983" s="260"/>
      <c r="AK983" s="259">
        <v>7</v>
      </c>
      <c r="AL983" s="259"/>
      <c r="AM983" s="259" t="s">
        <v>3701</v>
      </c>
      <c r="AN983" s="449"/>
      <c r="AO983" s="449"/>
      <c r="AP983" s="449"/>
      <c r="AQ983" s="392" t="str">
        <f>IFERROR(VLOOKUP(BG983,#REF!,1,0),"")</f>
        <v/>
      </c>
      <c r="AS983" s="259" t="s">
        <v>3189</v>
      </c>
      <c r="AY983" s="312"/>
      <c r="BD983" s="202" t="str">
        <f t="shared" si="146"/>
        <v>C-ClassC 300 4매틱 AMG 라인</v>
      </c>
      <c r="BE983" s="261" t="str">
        <f t="shared" si="152"/>
        <v>0123</v>
      </c>
      <c r="BF983" s="407" t="s">
        <v>3639</v>
      </c>
      <c r="BG983" s="202" t="str">
        <f t="shared" si="147"/>
        <v>0123-0982</v>
      </c>
    </row>
    <row r="984" spans="1:59">
      <c r="A984" s="405">
        <v>4758</v>
      </c>
      <c r="B984" s="406">
        <v>4758</v>
      </c>
      <c r="C984" s="261" t="str">
        <f t="shared" si="148"/>
        <v>0025-0123</v>
      </c>
      <c r="D984" s="261" t="str">
        <f t="shared" si="149"/>
        <v>0025-0123-0004</v>
      </c>
      <c r="E984" s="407" t="s">
        <v>3640</v>
      </c>
      <c r="F984" s="261" t="str">
        <f>TEXT(VLOOKUP(J984,'[3]1'!$B$2:$D$37,2,0),"0000")</f>
        <v>0025</v>
      </c>
      <c r="G984" s="261" t="str">
        <f t="shared" si="150"/>
        <v>0123</v>
      </c>
      <c r="H984" s="408">
        <f t="shared" si="151"/>
        <v>4</v>
      </c>
      <c r="I984" s="407" t="s">
        <v>3640</v>
      </c>
      <c r="J984" s="260" t="s">
        <v>1935</v>
      </c>
      <c r="K984" s="260" t="s">
        <v>134</v>
      </c>
      <c r="L984" s="258" t="s">
        <v>3730</v>
      </c>
      <c r="M984" s="520">
        <v>68300000</v>
      </c>
      <c r="N984" s="426">
        <v>1999</v>
      </c>
      <c r="O984" s="258" t="s">
        <v>77</v>
      </c>
      <c r="P984" s="431" t="s">
        <v>73</v>
      </c>
      <c r="Q984" s="260" t="s">
        <v>72</v>
      </c>
      <c r="R984" s="431">
        <v>5</v>
      </c>
      <c r="S984" s="427">
        <v>1</v>
      </c>
      <c r="T984" s="261">
        <v>6</v>
      </c>
      <c r="U984" s="261">
        <v>6</v>
      </c>
      <c r="V984" s="258" t="s">
        <v>71</v>
      </c>
      <c r="W984" s="261" t="str">
        <f t="shared" si="153"/>
        <v>MercedesBenzC-ClassC 300 4매틱 아방가르드68300000</v>
      </c>
      <c r="X984" s="411">
        <f t="shared" si="154"/>
        <v>4758</v>
      </c>
      <c r="Y984" s="261">
        <v>6</v>
      </c>
      <c r="Z984" s="261">
        <v>6</v>
      </c>
      <c r="AA984" s="407" t="s">
        <v>3640</v>
      </c>
      <c r="AB984" s="260" t="s">
        <v>73</v>
      </c>
      <c r="AC984" s="260"/>
      <c r="AD984" s="258">
        <v>7</v>
      </c>
      <c r="AE984" s="260">
        <v>0</v>
      </c>
      <c r="AF984" s="260"/>
      <c r="AG984" s="260"/>
      <c r="AH984" s="259"/>
      <c r="AI984" s="260"/>
      <c r="AJ984" s="260"/>
      <c r="AK984" s="259">
        <v>7</v>
      </c>
      <c r="AL984" s="259"/>
      <c r="AM984" s="259" t="s">
        <v>3701</v>
      </c>
      <c r="AN984" s="449"/>
      <c r="AO984" s="449"/>
      <c r="AP984" s="449"/>
      <c r="AQ984" s="392" t="str">
        <f>IFERROR(VLOOKUP(BG984,#REF!,1,0),"")</f>
        <v/>
      </c>
      <c r="AS984" s="259" t="s">
        <v>3189</v>
      </c>
      <c r="AY984" s="312"/>
      <c r="BD984" s="202" t="str">
        <f t="shared" si="146"/>
        <v>C-ClassC 300 4매틱 아방가르드</v>
      </c>
      <c r="BE984" s="261" t="str">
        <f t="shared" si="152"/>
        <v>0123</v>
      </c>
      <c r="BF984" s="407" t="s">
        <v>3640</v>
      </c>
      <c r="BG984" s="202" t="str">
        <f t="shared" si="147"/>
        <v>0123-0983</v>
      </c>
    </row>
    <row r="985" spans="1:59">
      <c r="A985" s="405">
        <v>4759</v>
      </c>
      <c r="B985" s="406">
        <v>4759</v>
      </c>
      <c r="C985" s="261" t="str">
        <f t="shared" si="148"/>
        <v>0025-0123</v>
      </c>
      <c r="D985" s="261" t="str">
        <f t="shared" si="149"/>
        <v>0025-0123-0005</v>
      </c>
      <c r="E985" s="407" t="s">
        <v>3641</v>
      </c>
      <c r="F985" s="261" t="str">
        <f>TEXT(VLOOKUP(J985,'[3]1'!$B$2:$D$37,2,0),"0000")</f>
        <v>0025</v>
      </c>
      <c r="G985" s="261" t="str">
        <f t="shared" si="150"/>
        <v>0123</v>
      </c>
      <c r="H985" s="408">
        <f t="shared" si="151"/>
        <v>5</v>
      </c>
      <c r="I985" s="407" t="s">
        <v>3641</v>
      </c>
      <c r="J985" s="260" t="s">
        <v>1935</v>
      </c>
      <c r="K985" s="260" t="s">
        <v>134</v>
      </c>
      <c r="L985" s="258" t="s">
        <v>3535</v>
      </c>
      <c r="M985" s="429">
        <v>100900000</v>
      </c>
      <c r="N985" s="258">
        <v>2996</v>
      </c>
      <c r="O985" s="258" t="s">
        <v>77</v>
      </c>
      <c r="P985" s="260" t="s">
        <v>73</v>
      </c>
      <c r="Q985" s="260" t="s">
        <v>72</v>
      </c>
      <c r="R985" s="260">
        <v>5</v>
      </c>
      <c r="S985" s="410">
        <v>15</v>
      </c>
      <c r="T985" s="261">
        <v>6</v>
      </c>
      <c r="U985" s="261">
        <v>6</v>
      </c>
      <c r="V985" s="260" t="s">
        <v>71</v>
      </c>
      <c r="W985" s="261" t="str">
        <f t="shared" si="153"/>
        <v>MercedesBenzC-ClassAMG C 43 4매틱 쿠페100900000</v>
      </c>
      <c r="X985" s="411">
        <f t="shared" si="154"/>
        <v>4759</v>
      </c>
      <c r="Y985" s="261">
        <v>6</v>
      </c>
      <c r="Z985" s="261">
        <v>6</v>
      </c>
      <c r="AA985" s="407" t="s">
        <v>3641</v>
      </c>
      <c r="AB985" s="260" t="s">
        <v>73</v>
      </c>
      <c r="AC985" s="260"/>
      <c r="AD985" s="260">
        <v>5</v>
      </c>
      <c r="AE985" s="260">
        <v>2</v>
      </c>
      <c r="AF985" s="260"/>
      <c r="AG985" s="260"/>
      <c r="AH985" s="259"/>
      <c r="AI985" s="260"/>
      <c r="AJ985" s="260"/>
      <c r="AK985" s="259">
        <v>16</v>
      </c>
      <c r="AL985" s="259"/>
      <c r="AM985" s="259" t="s">
        <v>3765</v>
      </c>
      <c r="AN985" s="449"/>
      <c r="AO985" s="449"/>
      <c r="AP985" s="449"/>
      <c r="AQ985" s="392" t="str">
        <f>IFERROR(VLOOKUP(BG985,#REF!,1,0),"")</f>
        <v/>
      </c>
      <c r="AS985" s="259" t="s">
        <v>3233</v>
      </c>
      <c r="BD985" s="202" t="str">
        <f t="shared" si="146"/>
        <v>C-ClassAMG C 43 4매틱 쿠페</v>
      </c>
      <c r="BE985" s="261" t="str">
        <f t="shared" si="152"/>
        <v>0123</v>
      </c>
      <c r="BF985" s="407" t="s">
        <v>3641</v>
      </c>
      <c r="BG985" s="202" t="str">
        <f t="shared" si="147"/>
        <v>0123-0984</v>
      </c>
    </row>
    <row r="986" spans="1:59">
      <c r="A986" s="405">
        <v>4760</v>
      </c>
      <c r="B986" s="406">
        <v>4760</v>
      </c>
      <c r="C986" s="261" t="str">
        <f t="shared" si="148"/>
        <v>0025-0124</v>
      </c>
      <c r="D986" s="261" t="str">
        <f t="shared" si="149"/>
        <v>0025-0124-0001</v>
      </c>
      <c r="E986" s="407" t="s">
        <v>1517</v>
      </c>
      <c r="F986" s="261" t="str">
        <f>TEXT(VLOOKUP(J986,'[3]1'!$B$2:$D$37,2,0),"0000")</f>
        <v>0025</v>
      </c>
      <c r="G986" s="261" t="str">
        <f t="shared" si="150"/>
        <v>0124</v>
      </c>
      <c r="H986" s="408">
        <f t="shared" si="151"/>
        <v>1</v>
      </c>
      <c r="I986" s="407" t="s">
        <v>1517</v>
      </c>
      <c r="J986" s="260" t="s">
        <v>1935</v>
      </c>
      <c r="K986" s="260" t="s">
        <v>130</v>
      </c>
      <c r="L986" s="258" t="s">
        <v>3531</v>
      </c>
      <c r="M986" s="429">
        <v>55600000</v>
      </c>
      <c r="N986" s="258">
        <v>1991</v>
      </c>
      <c r="O986" s="258" t="s">
        <v>77</v>
      </c>
      <c r="P986" s="260" t="s">
        <v>73</v>
      </c>
      <c r="Q986" s="260" t="s">
        <v>72</v>
      </c>
      <c r="R986" s="260">
        <v>5</v>
      </c>
      <c r="S986" s="410">
        <v>4</v>
      </c>
      <c r="T986" s="261">
        <v>6</v>
      </c>
      <c r="U986" s="261">
        <v>6</v>
      </c>
      <c r="V986" s="260" t="s">
        <v>71</v>
      </c>
      <c r="W986" s="261" t="str">
        <f t="shared" si="153"/>
        <v>MercedesBenzCLA-ClassCLA 250 4매틱55600000</v>
      </c>
      <c r="X986" s="411">
        <f t="shared" si="154"/>
        <v>4760</v>
      </c>
      <c r="Y986" s="261">
        <v>6</v>
      </c>
      <c r="Z986" s="261">
        <v>6</v>
      </c>
      <c r="AA986" s="407" t="s">
        <v>1517</v>
      </c>
      <c r="AB986" s="260" t="s">
        <v>73</v>
      </c>
      <c r="AC986" s="260"/>
      <c r="AD986" s="260">
        <v>2</v>
      </c>
      <c r="AE986" s="260">
        <v>0</v>
      </c>
      <c r="AF986" s="260"/>
      <c r="AG986" s="260"/>
      <c r="AH986" s="264"/>
      <c r="AI986" s="260"/>
      <c r="AJ986" s="260"/>
      <c r="AK986" s="259">
        <v>8</v>
      </c>
      <c r="AL986" s="259"/>
      <c r="AM986" s="259" t="s">
        <v>3743</v>
      </c>
      <c r="AN986" s="454"/>
      <c r="AO986" s="454"/>
      <c r="AP986" s="454"/>
      <c r="AQ986" s="392" t="str">
        <f>IFERROR(VLOOKUP(BG986,#REF!,1,0),"")</f>
        <v/>
      </c>
      <c r="AR986" s="455"/>
      <c r="AS986" s="259" t="s">
        <v>3226</v>
      </c>
      <c r="AT986" s="455"/>
      <c r="AW986" s="455" t="s">
        <v>3958</v>
      </c>
      <c r="AX986" s="455"/>
      <c r="AY986" s="455"/>
      <c r="BD986" s="202" t="str">
        <f t="shared" si="146"/>
        <v>CLA-ClassCLA 250 4매틱</v>
      </c>
      <c r="BE986" s="261" t="str">
        <f t="shared" si="152"/>
        <v>0124</v>
      </c>
      <c r="BF986" s="407" t="s">
        <v>1517</v>
      </c>
      <c r="BG986" s="202" t="str">
        <f t="shared" si="147"/>
        <v>0124-0985</v>
      </c>
    </row>
    <row r="987" spans="1:59">
      <c r="A987" s="405">
        <v>4761</v>
      </c>
      <c r="B987" s="406">
        <v>4761</v>
      </c>
      <c r="C987" s="261" t="str">
        <f t="shared" si="148"/>
        <v>0025-0124</v>
      </c>
      <c r="D987" s="261" t="str">
        <f t="shared" si="149"/>
        <v>0025-0124-0002</v>
      </c>
      <c r="E987" s="407" t="s">
        <v>3920</v>
      </c>
      <c r="F987" s="261" t="str">
        <f>TEXT(VLOOKUP(J987,'[3]1'!$B$2:$D$37,2,0),"0000")</f>
        <v>0025</v>
      </c>
      <c r="G987" s="261" t="str">
        <f t="shared" si="150"/>
        <v>0124</v>
      </c>
      <c r="H987" s="408">
        <f t="shared" si="151"/>
        <v>2</v>
      </c>
      <c r="I987" s="407" t="s">
        <v>3920</v>
      </c>
      <c r="J987" s="260" t="s">
        <v>1935</v>
      </c>
      <c r="K987" s="260" t="s">
        <v>130</v>
      </c>
      <c r="L987" s="258" t="s">
        <v>3530</v>
      </c>
      <c r="M987" s="429">
        <v>83700000</v>
      </c>
      <c r="N987" s="258">
        <v>1991</v>
      </c>
      <c r="O987" s="258" t="s">
        <v>77</v>
      </c>
      <c r="P987" s="260" t="s">
        <v>73</v>
      </c>
      <c r="Q987" s="260" t="s">
        <v>72</v>
      </c>
      <c r="R987" s="260">
        <v>5</v>
      </c>
      <c r="S987" s="410">
        <v>15</v>
      </c>
      <c r="T987" s="261">
        <v>6</v>
      </c>
      <c r="U987" s="261">
        <v>6</v>
      </c>
      <c r="V987" s="260" t="s">
        <v>71</v>
      </c>
      <c r="W987" s="261" t="str">
        <f t="shared" si="153"/>
        <v>MercedesBenzCLA-ClassAMG CLA 45 S 4매틱+83700000</v>
      </c>
      <c r="X987" s="411">
        <f t="shared" si="154"/>
        <v>4761</v>
      </c>
      <c r="Y987" s="261">
        <v>6</v>
      </c>
      <c r="Z987" s="261">
        <v>6</v>
      </c>
      <c r="AA987" s="407" t="s">
        <v>3920</v>
      </c>
      <c r="AB987" s="260" t="s">
        <v>73</v>
      </c>
      <c r="AC987" s="260"/>
      <c r="AD987" s="260">
        <v>4</v>
      </c>
      <c r="AE987" s="260">
        <v>0</v>
      </c>
      <c r="AF987" s="260"/>
      <c r="AG987" s="260"/>
      <c r="AH987" s="259"/>
      <c r="AI987" s="260"/>
      <c r="AJ987" s="260"/>
      <c r="AK987" s="259">
        <v>16</v>
      </c>
      <c r="AL987" s="259"/>
      <c r="AM987" s="259" t="s">
        <v>3690</v>
      </c>
      <c r="AN987" s="449"/>
      <c r="AO987" s="449"/>
      <c r="AP987" s="449"/>
      <c r="AQ987" s="392" t="str">
        <f>IFERROR(VLOOKUP(BG987,#REF!,1,0),"")</f>
        <v/>
      </c>
      <c r="AS987" s="259" t="s">
        <v>3233</v>
      </c>
      <c r="BD987" s="202" t="str">
        <f t="shared" si="146"/>
        <v>CLA-ClassAMG CLA 45 S 4매틱+</v>
      </c>
      <c r="BE987" s="261" t="str">
        <f t="shared" si="152"/>
        <v>0124</v>
      </c>
      <c r="BF987" s="407" t="s">
        <v>3920</v>
      </c>
      <c r="BG987" s="202" t="str">
        <f t="shared" si="147"/>
        <v>0124-0986</v>
      </c>
    </row>
    <row r="988" spans="1:59">
      <c r="A988" s="405">
        <v>4762</v>
      </c>
      <c r="B988" s="406">
        <v>4762</v>
      </c>
      <c r="C988" s="261" t="str">
        <f t="shared" si="148"/>
        <v>0025-0125</v>
      </c>
      <c r="D988" s="261" t="str">
        <f t="shared" si="149"/>
        <v>0025-0125-0001</v>
      </c>
      <c r="E988" s="407" t="s">
        <v>3921</v>
      </c>
      <c r="F988" s="261" t="str">
        <f>TEXT(VLOOKUP(J988,'[3]1'!$B$2:$D$37,2,0),"0000")</f>
        <v>0025</v>
      </c>
      <c r="G988" s="261" t="str">
        <f t="shared" si="150"/>
        <v>0125</v>
      </c>
      <c r="H988" s="408">
        <f t="shared" si="151"/>
        <v>1</v>
      </c>
      <c r="I988" s="407" t="s">
        <v>3921</v>
      </c>
      <c r="J988" s="260" t="s">
        <v>1935</v>
      </c>
      <c r="K988" s="260" t="s">
        <v>1273</v>
      </c>
      <c r="L988" s="258" t="s">
        <v>3533</v>
      </c>
      <c r="M988" s="409">
        <v>87700000</v>
      </c>
      <c r="N988" s="258">
        <v>1993</v>
      </c>
      <c r="O988" s="260" t="s">
        <v>78</v>
      </c>
      <c r="P988" s="260" t="s">
        <v>73</v>
      </c>
      <c r="Q988" s="260" t="s">
        <v>72</v>
      </c>
      <c r="R988" s="260">
        <v>5</v>
      </c>
      <c r="S988" s="410">
        <v>2</v>
      </c>
      <c r="T988" s="261">
        <v>6</v>
      </c>
      <c r="U988" s="261">
        <v>6</v>
      </c>
      <c r="V988" s="260" t="s">
        <v>71</v>
      </c>
      <c r="W988" s="261" t="str">
        <f t="shared" si="153"/>
        <v>MercedesBenzCLS-ClassCLS 300 d 4매틱87700000</v>
      </c>
      <c r="X988" s="411">
        <f t="shared" si="154"/>
        <v>4762</v>
      </c>
      <c r="Y988" s="261">
        <v>6</v>
      </c>
      <c r="Z988" s="261">
        <v>6</v>
      </c>
      <c r="AA988" s="407" t="s">
        <v>3921</v>
      </c>
      <c r="AB988" s="260" t="s">
        <v>73</v>
      </c>
      <c r="AC988" s="260"/>
      <c r="AD988" s="260">
        <v>2</v>
      </c>
      <c r="AE988" s="260">
        <v>0</v>
      </c>
      <c r="AF988" s="260"/>
      <c r="AG988" s="260"/>
      <c r="AH988" s="259"/>
      <c r="AI988" s="260"/>
      <c r="AJ988" s="260"/>
      <c r="AK988" s="259">
        <v>9</v>
      </c>
      <c r="AL988" s="259"/>
      <c r="AM988" s="259" t="s">
        <v>3731</v>
      </c>
      <c r="AN988" s="449"/>
      <c r="AO988" s="449"/>
      <c r="AP988" s="449"/>
      <c r="AQ988" s="392" t="str">
        <f>IFERROR(VLOOKUP(BG988,#REF!,1,0),"")</f>
        <v/>
      </c>
      <c r="AS988" s="259" t="s">
        <v>3223</v>
      </c>
      <c r="AW988" s="392" t="s">
        <v>3958</v>
      </c>
      <c r="BD988" s="202" t="str">
        <f t="shared" si="146"/>
        <v>CLS-ClassCLS 300 d 4매틱</v>
      </c>
      <c r="BE988" s="261" t="str">
        <f t="shared" si="152"/>
        <v>0125</v>
      </c>
      <c r="BF988" s="407" t="s">
        <v>3921</v>
      </c>
      <c r="BG988" s="202" t="str">
        <f t="shared" si="147"/>
        <v>0125-0987</v>
      </c>
    </row>
    <row r="989" spans="1:59">
      <c r="A989" s="405">
        <v>4763</v>
      </c>
      <c r="B989" s="406">
        <v>4763</v>
      </c>
      <c r="C989" s="261" t="str">
        <f t="shared" si="148"/>
        <v>0025-0125</v>
      </c>
      <c r="D989" s="261" t="str">
        <f t="shared" si="149"/>
        <v>0025-0125-0002</v>
      </c>
      <c r="E989" s="407" t="s">
        <v>1518</v>
      </c>
      <c r="F989" s="261" t="str">
        <f>TEXT(VLOOKUP(J989,'[3]1'!$B$2:$D$37,2,0),"0000")</f>
        <v>0025</v>
      </c>
      <c r="G989" s="261" t="str">
        <f t="shared" si="150"/>
        <v>0125</v>
      </c>
      <c r="H989" s="408">
        <f t="shared" si="151"/>
        <v>2</v>
      </c>
      <c r="I989" s="407" t="s">
        <v>1518</v>
      </c>
      <c r="J989" s="260" t="s">
        <v>1935</v>
      </c>
      <c r="K989" s="260" t="s">
        <v>1273</v>
      </c>
      <c r="L989" s="260" t="s">
        <v>3534</v>
      </c>
      <c r="M989" s="429">
        <v>111600000</v>
      </c>
      <c r="N989" s="260">
        <v>2998</v>
      </c>
      <c r="O989" s="258" t="s">
        <v>77</v>
      </c>
      <c r="P989" s="260" t="s">
        <v>73</v>
      </c>
      <c r="Q989" s="260" t="s">
        <v>72</v>
      </c>
      <c r="R989" s="260">
        <v>5</v>
      </c>
      <c r="S989" s="410">
        <v>3</v>
      </c>
      <c r="T989" s="261">
        <v>6</v>
      </c>
      <c r="U989" s="261">
        <v>6</v>
      </c>
      <c r="V989" s="260" t="s">
        <v>71</v>
      </c>
      <c r="W989" s="261" t="str">
        <f t="shared" si="153"/>
        <v>MercedesBenzCLS-ClassCLS 450 4매틱111600000</v>
      </c>
      <c r="X989" s="411">
        <f t="shared" si="154"/>
        <v>4763</v>
      </c>
      <c r="Y989" s="261">
        <v>6</v>
      </c>
      <c r="Z989" s="261">
        <v>6</v>
      </c>
      <c r="AA989" s="407" t="s">
        <v>1518</v>
      </c>
      <c r="AB989" s="260" t="s">
        <v>73</v>
      </c>
      <c r="AC989" s="260"/>
      <c r="AD989" s="260">
        <v>3</v>
      </c>
      <c r="AE989" s="260">
        <v>0</v>
      </c>
      <c r="AF989" s="259"/>
      <c r="AG989" s="260"/>
      <c r="AH989" s="259"/>
      <c r="AI989" s="259"/>
      <c r="AJ989" s="260"/>
      <c r="AK989" s="259">
        <v>9</v>
      </c>
      <c r="AL989" s="259"/>
      <c r="AM989" s="259" t="s">
        <v>3731</v>
      </c>
      <c r="AN989" s="449"/>
      <c r="AO989" s="449"/>
      <c r="AP989" s="449"/>
      <c r="AQ989" s="392" t="str">
        <f>IFERROR(VLOOKUP(BG989,#REF!,1,0),"")</f>
        <v/>
      </c>
      <c r="AS989" s="259" t="s">
        <v>3237</v>
      </c>
      <c r="AW989" s="392" t="s">
        <v>3958</v>
      </c>
      <c r="BD989" s="202" t="str">
        <f t="shared" si="146"/>
        <v>CLS-ClassCLS 450 4매틱</v>
      </c>
      <c r="BE989" s="261" t="str">
        <f t="shared" si="152"/>
        <v>0125</v>
      </c>
      <c r="BF989" s="407" t="s">
        <v>1518</v>
      </c>
      <c r="BG989" s="202" t="str">
        <f t="shared" si="147"/>
        <v>0125-0988</v>
      </c>
    </row>
    <row r="990" spans="1:59">
      <c r="A990" s="405">
        <v>4764</v>
      </c>
      <c r="B990" s="406">
        <v>4764</v>
      </c>
      <c r="C990" s="261" t="str">
        <f t="shared" si="148"/>
        <v>0025-0125</v>
      </c>
      <c r="D990" s="261" t="str">
        <f t="shared" si="149"/>
        <v>0025-0125-0003</v>
      </c>
      <c r="E990" s="407" t="s">
        <v>3922</v>
      </c>
      <c r="F990" s="261" t="str">
        <f>TEXT(VLOOKUP(J990,'[3]1'!$B$2:$D$37,2,0),"0000")</f>
        <v>0025</v>
      </c>
      <c r="G990" s="261" t="str">
        <f t="shared" si="150"/>
        <v>0125</v>
      </c>
      <c r="H990" s="408">
        <f t="shared" si="151"/>
        <v>3</v>
      </c>
      <c r="I990" s="407" t="s">
        <v>3922</v>
      </c>
      <c r="J990" s="260" t="s">
        <v>1935</v>
      </c>
      <c r="K990" s="260" t="s">
        <v>1273</v>
      </c>
      <c r="L990" s="260" t="s">
        <v>3532</v>
      </c>
      <c r="M990" s="429">
        <v>131100000</v>
      </c>
      <c r="N990" s="260">
        <v>2999</v>
      </c>
      <c r="O990" s="258" t="s">
        <v>77</v>
      </c>
      <c r="P990" s="260" t="s">
        <v>73</v>
      </c>
      <c r="Q990" s="260" t="s">
        <v>72</v>
      </c>
      <c r="R990" s="260">
        <v>5</v>
      </c>
      <c r="S990" s="410">
        <v>5</v>
      </c>
      <c r="T990" s="261">
        <v>6</v>
      </c>
      <c r="U990" s="261">
        <v>6</v>
      </c>
      <c r="V990" s="260" t="s">
        <v>71</v>
      </c>
      <c r="W990" s="261" t="str">
        <f t="shared" si="153"/>
        <v>MercedesBenzCLS-ClassAMG CLS 53 4매틱+131100000</v>
      </c>
      <c r="X990" s="411">
        <f t="shared" si="154"/>
        <v>4764</v>
      </c>
      <c r="Y990" s="261">
        <v>6</v>
      </c>
      <c r="Z990" s="261">
        <v>6</v>
      </c>
      <c r="AA990" s="407" t="s">
        <v>3922</v>
      </c>
      <c r="AB990" s="260" t="s">
        <v>73</v>
      </c>
      <c r="AC990" s="260"/>
      <c r="AD990" s="260">
        <v>5</v>
      </c>
      <c r="AE990" s="260">
        <v>0</v>
      </c>
      <c r="AF990" s="259"/>
      <c r="AG990" s="260"/>
      <c r="AH990" s="259"/>
      <c r="AI990" s="259"/>
      <c r="AJ990" s="260"/>
      <c r="AK990" s="259">
        <v>17</v>
      </c>
      <c r="AL990" s="259"/>
      <c r="AM990" s="259" t="s">
        <v>3719</v>
      </c>
      <c r="AN990" s="449"/>
      <c r="AO990" s="449"/>
      <c r="AP990" s="449"/>
      <c r="AQ990" s="392" t="str">
        <f>IFERROR(VLOOKUP(BG990,#REF!,1,0),"")</f>
        <v/>
      </c>
      <c r="AS990" s="259" t="s">
        <v>93</v>
      </c>
      <c r="BD990" s="202" t="str">
        <f t="shared" si="146"/>
        <v>CLS-ClassAMG CLS 53 4매틱+</v>
      </c>
      <c r="BE990" s="261" t="str">
        <f t="shared" si="152"/>
        <v>0125</v>
      </c>
      <c r="BF990" s="407" t="s">
        <v>3922</v>
      </c>
      <c r="BG990" s="202" t="str">
        <f t="shared" si="147"/>
        <v>0125-0989</v>
      </c>
    </row>
    <row r="991" spans="1:59">
      <c r="A991" s="405">
        <v>4765</v>
      </c>
      <c r="B991" s="406">
        <v>4765</v>
      </c>
      <c r="C991" s="261" t="str">
        <f t="shared" si="148"/>
        <v>0025-0126</v>
      </c>
      <c r="D991" s="261" t="str">
        <f t="shared" si="149"/>
        <v>0025-0126-0001</v>
      </c>
      <c r="E991" s="407" t="s">
        <v>3642</v>
      </c>
      <c r="F991" s="261" t="str">
        <f>TEXT(VLOOKUP(J991,'[3]1'!$B$2:$D$37,2,0),"0000")</f>
        <v>0025</v>
      </c>
      <c r="G991" s="261" t="str">
        <f t="shared" si="150"/>
        <v>0126</v>
      </c>
      <c r="H991" s="408">
        <f t="shared" si="151"/>
        <v>1</v>
      </c>
      <c r="I991" s="407" t="s">
        <v>3642</v>
      </c>
      <c r="J991" s="260" t="s">
        <v>1935</v>
      </c>
      <c r="K991" s="260" t="s">
        <v>3997</v>
      </c>
      <c r="L991" s="260" t="s">
        <v>3998</v>
      </c>
      <c r="M991" s="429">
        <v>96000000</v>
      </c>
      <c r="N991" s="260">
        <v>2999</v>
      </c>
      <c r="O991" s="258" t="s">
        <v>77</v>
      </c>
      <c r="P991" s="260" t="s">
        <v>73</v>
      </c>
      <c r="Q991" s="260" t="s">
        <v>72</v>
      </c>
      <c r="R991" s="260">
        <v>4</v>
      </c>
      <c r="S991" s="410">
        <v>5</v>
      </c>
      <c r="T991" s="261">
        <v>6</v>
      </c>
      <c r="U991" s="261">
        <v>6</v>
      </c>
      <c r="V991" s="260" t="s">
        <v>71</v>
      </c>
      <c r="W991" s="261" t="str">
        <f t="shared" si="153"/>
        <v>MercedesBenzCLECLE 450 4Matic 쿠페96000000</v>
      </c>
      <c r="X991" s="411">
        <f t="shared" si="154"/>
        <v>4765</v>
      </c>
      <c r="Y991" s="261">
        <v>6</v>
      </c>
      <c r="Z991" s="261">
        <v>6</v>
      </c>
      <c r="AA991" s="407" t="s">
        <v>3642</v>
      </c>
      <c r="AB991" s="260" t="s">
        <v>73</v>
      </c>
      <c r="AC991" s="260"/>
      <c r="AD991" s="260">
        <v>5</v>
      </c>
      <c r="AE991" s="260">
        <v>0</v>
      </c>
      <c r="AF991" s="259"/>
      <c r="AG991" s="260"/>
      <c r="AH991" s="259"/>
      <c r="AI991" s="259"/>
      <c r="AJ991" s="260"/>
      <c r="AK991" s="259">
        <v>8</v>
      </c>
      <c r="AL991" s="259"/>
      <c r="AM991" s="259" t="s">
        <v>3971</v>
      </c>
      <c r="AN991" s="449"/>
      <c r="AO991" s="449"/>
      <c r="AP991" s="449"/>
      <c r="AQ991" s="392" t="str">
        <f>IFERROR(VLOOKUP(BG991,#REF!,1,0),"")</f>
        <v/>
      </c>
      <c r="AS991" s="259" t="s">
        <v>93</v>
      </c>
      <c r="AW991" s="392" t="s">
        <v>3958</v>
      </c>
      <c r="BD991" s="202" t="str">
        <f t="shared" si="146"/>
        <v>CLECLE 450 4Matic 쿠페</v>
      </c>
      <c r="BE991" s="261" t="str">
        <f t="shared" si="152"/>
        <v>0126</v>
      </c>
      <c r="BF991" s="407" t="s">
        <v>3642</v>
      </c>
      <c r="BG991" s="202" t="str">
        <f t="shared" si="147"/>
        <v>0126-0990</v>
      </c>
    </row>
    <row r="992" spans="1:59">
      <c r="A992" s="405">
        <v>4766</v>
      </c>
      <c r="B992" s="406">
        <v>4766</v>
      </c>
      <c r="C992" s="261" t="str">
        <f t="shared" si="148"/>
        <v>0025-0126</v>
      </c>
      <c r="D992" s="261" t="str">
        <f t="shared" si="149"/>
        <v>0025-0126-0002</v>
      </c>
      <c r="E992" s="407" t="s">
        <v>1519</v>
      </c>
      <c r="F992" s="261" t="str">
        <f>TEXT(VLOOKUP(J992,'[3]1'!$B$2:$D$37,2,0),"0000")</f>
        <v>0025</v>
      </c>
      <c r="G992" s="261" t="str">
        <f t="shared" si="150"/>
        <v>0126</v>
      </c>
      <c r="H992" s="408">
        <f t="shared" si="151"/>
        <v>2</v>
      </c>
      <c r="I992" s="407" t="s">
        <v>1519</v>
      </c>
      <c r="J992" s="260" t="s">
        <v>1935</v>
      </c>
      <c r="K992" s="260" t="s">
        <v>3997</v>
      </c>
      <c r="L992" s="260" t="s">
        <v>3999</v>
      </c>
      <c r="M992" s="429">
        <v>72700000</v>
      </c>
      <c r="N992" s="260">
        <v>1999</v>
      </c>
      <c r="O992" s="258" t="s">
        <v>77</v>
      </c>
      <c r="P992" s="260" t="s">
        <v>73</v>
      </c>
      <c r="Q992" s="260" t="s">
        <v>72</v>
      </c>
      <c r="R992" s="260">
        <v>4</v>
      </c>
      <c r="S992" s="410">
        <v>5</v>
      </c>
      <c r="T992" s="261">
        <v>6</v>
      </c>
      <c r="U992" s="261">
        <v>6</v>
      </c>
      <c r="V992" s="260" t="s">
        <v>71</v>
      </c>
      <c r="W992" s="261" t="str">
        <f t="shared" si="153"/>
        <v>MercedesBenzCLECLE 200 쿠페72700000</v>
      </c>
      <c r="X992" s="411">
        <f t="shared" si="154"/>
        <v>4766</v>
      </c>
      <c r="Y992" s="261">
        <v>6</v>
      </c>
      <c r="Z992" s="261">
        <v>6</v>
      </c>
      <c r="AA992" s="407" t="s">
        <v>1519</v>
      </c>
      <c r="AB992" s="260" t="s">
        <v>73</v>
      </c>
      <c r="AC992" s="260"/>
      <c r="AD992" s="260">
        <v>5</v>
      </c>
      <c r="AE992" s="260">
        <v>0</v>
      </c>
      <c r="AF992" s="259"/>
      <c r="AG992" s="260"/>
      <c r="AH992" s="259"/>
      <c r="AI992" s="259"/>
      <c r="AJ992" s="260"/>
      <c r="AK992" s="259">
        <v>8</v>
      </c>
      <c r="AL992" s="259"/>
      <c r="AM992" s="259" t="s">
        <v>3743</v>
      </c>
      <c r="AN992" s="449"/>
      <c r="AO992" s="449"/>
      <c r="AP992" s="449"/>
      <c r="AQ992" s="392" t="str">
        <f>IFERROR(VLOOKUP(BG992,#REF!,1,0),"")</f>
        <v/>
      </c>
      <c r="AS992" s="259" t="s">
        <v>93</v>
      </c>
      <c r="AT992" s="392">
        <v>2024.02</v>
      </c>
      <c r="AW992" s="392" t="s">
        <v>3958</v>
      </c>
      <c r="BD992" s="202" t="str">
        <f t="shared" si="146"/>
        <v>CLECLE 200 쿠페</v>
      </c>
      <c r="BE992" s="261" t="str">
        <f t="shared" si="152"/>
        <v>0126</v>
      </c>
      <c r="BF992" s="407" t="s">
        <v>1519</v>
      </c>
      <c r="BG992" s="202" t="str">
        <f t="shared" si="147"/>
        <v>0126-0991</v>
      </c>
    </row>
    <row r="993" spans="1:59">
      <c r="A993" s="405">
        <v>4767</v>
      </c>
      <c r="B993" s="406">
        <v>4767</v>
      </c>
      <c r="C993" s="261" t="str">
        <f t="shared" si="148"/>
        <v>0025-0126</v>
      </c>
      <c r="D993" s="261" t="str">
        <f t="shared" si="149"/>
        <v>0025-0126-0003</v>
      </c>
      <c r="E993" s="407" t="s">
        <v>1520</v>
      </c>
      <c r="F993" s="261" t="str">
        <f>TEXT(VLOOKUP(J993,'[3]1'!$B$2:$D$37,2,0),"0000")</f>
        <v>0025</v>
      </c>
      <c r="G993" s="261" t="str">
        <f t="shared" si="150"/>
        <v>0126</v>
      </c>
      <c r="H993" s="408">
        <f t="shared" si="151"/>
        <v>3</v>
      </c>
      <c r="I993" s="407" t="s">
        <v>1520</v>
      </c>
      <c r="J993" s="260" t="s">
        <v>1935</v>
      </c>
      <c r="K993" s="260" t="s">
        <v>3997</v>
      </c>
      <c r="L993" s="260" t="s">
        <v>4000</v>
      </c>
      <c r="M993" s="429">
        <v>96000000</v>
      </c>
      <c r="N993" s="260">
        <v>2999</v>
      </c>
      <c r="O993" s="258" t="s">
        <v>77</v>
      </c>
      <c r="P993" s="260" t="s">
        <v>73</v>
      </c>
      <c r="Q993" s="260" t="s">
        <v>72</v>
      </c>
      <c r="R993" s="260">
        <v>4</v>
      </c>
      <c r="S993" s="410">
        <v>5</v>
      </c>
      <c r="T993" s="261">
        <v>6</v>
      </c>
      <c r="U993" s="261">
        <v>6</v>
      </c>
      <c r="V993" s="260" t="s">
        <v>71</v>
      </c>
      <c r="W993" s="261" t="str">
        <f t="shared" si="153"/>
        <v>MercedesBenzCLECLE 450 4Matic 카브리올레96000000</v>
      </c>
      <c r="X993" s="411">
        <f t="shared" si="154"/>
        <v>4767</v>
      </c>
      <c r="Y993" s="261">
        <v>6</v>
      </c>
      <c r="Z993" s="261">
        <v>6</v>
      </c>
      <c r="AA993" s="407" t="s">
        <v>1520</v>
      </c>
      <c r="AB993" s="260" t="s">
        <v>73</v>
      </c>
      <c r="AC993" s="260"/>
      <c r="AD993" s="260">
        <v>5</v>
      </c>
      <c r="AE993" s="260">
        <v>0</v>
      </c>
      <c r="AF993" s="259"/>
      <c r="AG993" s="260"/>
      <c r="AH993" s="259"/>
      <c r="AI993" s="259"/>
      <c r="AJ993" s="260"/>
      <c r="AK993" s="259">
        <v>8</v>
      </c>
      <c r="AL993" s="259"/>
      <c r="AM993" s="259" t="s">
        <v>3743</v>
      </c>
      <c r="AN993" s="449"/>
      <c r="AO993" s="449"/>
      <c r="AP993" s="449"/>
      <c r="AQ993" s="392" t="str">
        <f>IFERROR(VLOOKUP(BG993,#REF!,1,0),"")</f>
        <v/>
      </c>
      <c r="AS993" s="259" t="s">
        <v>93</v>
      </c>
      <c r="AW993" s="392" t="s">
        <v>3958</v>
      </c>
      <c r="BD993" s="202" t="str">
        <f t="shared" si="146"/>
        <v>CLECLE 450 4Matic 카브리올레</v>
      </c>
      <c r="BE993" s="261" t="str">
        <f t="shared" si="152"/>
        <v>0126</v>
      </c>
      <c r="BF993" s="407" t="s">
        <v>1520</v>
      </c>
      <c r="BG993" s="202" t="str">
        <f t="shared" si="147"/>
        <v>0126-0992</v>
      </c>
    </row>
    <row r="994" spans="1:59">
      <c r="A994" s="405">
        <v>4768</v>
      </c>
      <c r="B994" s="406">
        <v>4768</v>
      </c>
      <c r="C994" s="261" t="str">
        <f t="shared" si="148"/>
        <v>0025-0126</v>
      </c>
      <c r="D994" s="261" t="str">
        <f t="shared" si="149"/>
        <v>0025-0126-0004</v>
      </c>
      <c r="E994" s="407" t="s">
        <v>1521</v>
      </c>
      <c r="F994" s="261" t="str">
        <f>TEXT(VLOOKUP(J994,'[3]1'!$B$2:$D$37,2,0),"0000")</f>
        <v>0025</v>
      </c>
      <c r="G994" s="261" t="str">
        <f t="shared" si="150"/>
        <v>0126</v>
      </c>
      <c r="H994" s="408">
        <f t="shared" si="151"/>
        <v>4</v>
      </c>
      <c r="I994" s="407" t="s">
        <v>1521</v>
      </c>
      <c r="J994" s="260" t="s">
        <v>1935</v>
      </c>
      <c r="K994" s="260" t="s">
        <v>3997</v>
      </c>
      <c r="L994" s="260" t="s">
        <v>4001</v>
      </c>
      <c r="M994" s="429">
        <v>72700000</v>
      </c>
      <c r="N994" s="260">
        <v>1999</v>
      </c>
      <c r="O994" s="258" t="s">
        <v>77</v>
      </c>
      <c r="P994" s="260" t="s">
        <v>73</v>
      </c>
      <c r="Q994" s="260" t="s">
        <v>72</v>
      </c>
      <c r="R994" s="260">
        <v>4</v>
      </c>
      <c r="S994" s="410">
        <v>5</v>
      </c>
      <c r="T994" s="261">
        <v>6</v>
      </c>
      <c r="U994" s="261">
        <v>6</v>
      </c>
      <c r="V994" s="260" t="s">
        <v>71</v>
      </c>
      <c r="W994" s="261" t="str">
        <f t="shared" si="153"/>
        <v>MercedesBenzCLECLE 200 카브리올레72700000</v>
      </c>
      <c r="X994" s="411">
        <f t="shared" si="154"/>
        <v>4768</v>
      </c>
      <c r="Y994" s="261">
        <v>6</v>
      </c>
      <c r="Z994" s="261">
        <v>6</v>
      </c>
      <c r="AA994" s="407" t="s">
        <v>1521</v>
      </c>
      <c r="AB994" s="260" t="s">
        <v>73</v>
      </c>
      <c r="AC994" s="260"/>
      <c r="AD994" s="260">
        <v>5</v>
      </c>
      <c r="AE994" s="260">
        <v>0</v>
      </c>
      <c r="AF994" s="259"/>
      <c r="AG994" s="260"/>
      <c r="AH994" s="259"/>
      <c r="AI994" s="259"/>
      <c r="AJ994" s="260"/>
      <c r="AK994" s="259">
        <v>8</v>
      </c>
      <c r="AL994" s="259"/>
      <c r="AM994" s="259" t="s">
        <v>3971</v>
      </c>
      <c r="AN994" s="449"/>
      <c r="AO994" s="449"/>
      <c r="AP994" s="449"/>
      <c r="AQ994" s="392" t="str">
        <f>IFERROR(VLOOKUP(BG994,#REF!,1,0),"")</f>
        <v/>
      </c>
      <c r="AS994" s="259" t="s">
        <v>93</v>
      </c>
      <c r="AT994" s="392">
        <v>2024.02</v>
      </c>
      <c r="AW994" s="392" t="s">
        <v>3958</v>
      </c>
      <c r="BD994" s="202" t="str">
        <f t="shared" si="146"/>
        <v>CLECLE 200 카브리올레</v>
      </c>
      <c r="BE994" s="261" t="str">
        <f t="shared" si="152"/>
        <v>0126</v>
      </c>
      <c r="BF994" s="407" t="s">
        <v>1521</v>
      </c>
      <c r="BG994" s="202" t="str">
        <f t="shared" si="147"/>
        <v>0126-0993</v>
      </c>
    </row>
    <row r="995" spans="1:59" s="207" customFormat="1">
      <c r="A995" s="405">
        <v>4769</v>
      </c>
      <c r="B995" s="406">
        <v>4769</v>
      </c>
      <c r="C995" s="261" t="str">
        <f t="shared" si="148"/>
        <v>0025-0127</v>
      </c>
      <c r="D995" s="261" t="str">
        <f t="shared" si="149"/>
        <v>0025-0127-0001</v>
      </c>
      <c r="E995" s="407" t="s">
        <v>1522</v>
      </c>
      <c r="F995" s="261" t="str">
        <f>TEXT(VLOOKUP(J995,'[3]1'!$B$2:$D$37,2,0),"0000")</f>
        <v>0025</v>
      </c>
      <c r="G995" s="261" t="str">
        <f t="shared" si="150"/>
        <v>0127</v>
      </c>
      <c r="H995" s="408">
        <f t="shared" si="151"/>
        <v>1</v>
      </c>
      <c r="I995" s="407" t="s">
        <v>1522</v>
      </c>
      <c r="J995" s="260" t="s">
        <v>1935</v>
      </c>
      <c r="K995" s="260" t="s">
        <v>123</v>
      </c>
      <c r="L995" s="258" t="s">
        <v>3429</v>
      </c>
      <c r="M995" s="430">
        <v>73900000</v>
      </c>
      <c r="N995" s="258">
        <v>1999</v>
      </c>
      <c r="O995" s="258" t="s">
        <v>77</v>
      </c>
      <c r="P995" s="260" t="s">
        <v>73</v>
      </c>
      <c r="Q995" s="260" t="s">
        <v>72</v>
      </c>
      <c r="R995" s="260">
        <v>5</v>
      </c>
      <c r="S995" s="410">
        <v>1</v>
      </c>
      <c r="T995" s="261">
        <v>6</v>
      </c>
      <c r="U995" s="261">
        <v>6</v>
      </c>
      <c r="V995" s="260" t="s">
        <v>71</v>
      </c>
      <c r="W995" s="261" t="str">
        <f t="shared" si="153"/>
        <v>MercedesBenzE-ClassE200 Avantgarde73900000</v>
      </c>
      <c r="X995" s="411">
        <f t="shared" si="154"/>
        <v>4769</v>
      </c>
      <c r="Y995" s="261">
        <v>6</v>
      </c>
      <c r="Z995" s="261">
        <v>6</v>
      </c>
      <c r="AA995" s="407" t="s">
        <v>1522</v>
      </c>
      <c r="AB995" s="260" t="s">
        <v>73</v>
      </c>
      <c r="AC995" s="261"/>
      <c r="AD995" s="261">
        <v>3</v>
      </c>
      <c r="AE995" s="261">
        <v>1</v>
      </c>
      <c r="AF995" s="261"/>
      <c r="AG995" s="260"/>
      <c r="AH995" s="259"/>
      <c r="AI995" s="456"/>
      <c r="AJ995" s="260"/>
      <c r="AK995" s="259">
        <v>4</v>
      </c>
      <c r="AL995" s="259"/>
      <c r="AM995" s="259" t="s">
        <v>3957</v>
      </c>
      <c r="AN995" s="449"/>
      <c r="AO995" s="449"/>
      <c r="AP995" s="449"/>
      <c r="AQ995" s="392" t="str">
        <f>IFERROR(VLOOKUP(BG995,#REF!,1,0),"")</f>
        <v/>
      </c>
      <c r="AR995" s="392"/>
      <c r="AS995" s="259" t="s">
        <v>3189</v>
      </c>
      <c r="AT995" s="392">
        <v>2024.02</v>
      </c>
      <c r="AU995" s="392"/>
      <c r="AV995" s="392"/>
      <c r="AW995" s="392" t="s">
        <v>3961</v>
      </c>
      <c r="AX995" s="392"/>
      <c r="AY995" s="392"/>
      <c r="BD995" s="202" t="str">
        <f t="shared" si="146"/>
        <v>E-ClassE200 Avantgarde</v>
      </c>
      <c r="BE995" s="261" t="str">
        <f t="shared" si="152"/>
        <v>0127</v>
      </c>
      <c r="BF995" s="407" t="s">
        <v>1522</v>
      </c>
      <c r="BG995" s="202" t="str">
        <f t="shared" si="147"/>
        <v>0127-0994</v>
      </c>
    </row>
    <row r="996" spans="1:59" s="207" customFormat="1">
      <c r="A996" s="405">
        <v>4770</v>
      </c>
      <c r="B996" s="406">
        <v>4770</v>
      </c>
      <c r="C996" s="261" t="str">
        <f t="shared" si="148"/>
        <v>0025-0127</v>
      </c>
      <c r="D996" s="261" t="str">
        <f t="shared" si="149"/>
        <v>0025-0127-0002</v>
      </c>
      <c r="E996" s="407" t="s">
        <v>1523</v>
      </c>
      <c r="F996" s="261" t="str">
        <f>TEXT(VLOOKUP(J996,'[3]1'!$B$2:$D$37,2,0),"0000")</f>
        <v>0025</v>
      </c>
      <c r="G996" s="261" t="str">
        <f t="shared" si="150"/>
        <v>0127</v>
      </c>
      <c r="H996" s="408">
        <f t="shared" si="151"/>
        <v>2</v>
      </c>
      <c r="I996" s="407" t="s">
        <v>1523</v>
      </c>
      <c r="J996" s="260" t="s">
        <v>1935</v>
      </c>
      <c r="K996" s="260" t="s">
        <v>123</v>
      </c>
      <c r="L996" s="258" t="s">
        <v>3430</v>
      </c>
      <c r="M996" s="430">
        <v>76800000</v>
      </c>
      <c r="N996" s="258">
        <v>1993</v>
      </c>
      <c r="O996" s="260" t="s">
        <v>78</v>
      </c>
      <c r="P996" s="260" t="s">
        <v>73</v>
      </c>
      <c r="Q996" s="260" t="s">
        <v>72</v>
      </c>
      <c r="R996" s="260">
        <v>5</v>
      </c>
      <c r="S996" s="410">
        <v>1</v>
      </c>
      <c r="T996" s="261">
        <v>6</v>
      </c>
      <c r="U996" s="261">
        <v>6</v>
      </c>
      <c r="V996" s="260" t="s">
        <v>71</v>
      </c>
      <c r="W996" s="261" t="str">
        <f t="shared" si="153"/>
        <v>MercedesBenzE-ClassE220d 4MATIC Exclusive76800000</v>
      </c>
      <c r="X996" s="411">
        <f t="shared" si="154"/>
        <v>4770</v>
      </c>
      <c r="Y996" s="261">
        <v>6</v>
      </c>
      <c r="Z996" s="261">
        <v>6</v>
      </c>
      <c r="AA996" s="407" t="s">
        <v>1523</v>
      </c>
      <c r="AB996" s="260" t="s">
        <v>73</v>
      </c>
      <c r="AC996" s="260"/>
      <c r="AD996" s="260">
        <v>2</v>
      </c>
      <c r="AE996" s="260">
        <v>0</v>
      </c>
      <c r="AF996" s="260"/>
      <c r="AG996" s="260"/>
      <c r="AH996" s="259"/>
      <c r="AI996" s="456"/>
      <c r="AJ996" s="260"/>
      <c r="AK996" s="259">
        <v>5</v>
      </c>
      <c r="AL996" s="259"/>
      <c r="AM996" s="259" t="s">
        <v>3960</v>
      </c>
      <c r="AN996" s="449"/>
      <c r="AO996" s="449"/>
      <c r="AP996" s="449"/>
      <c r="AQ996" s="392" t="str">
        <f>IFERROR(VLOOKUP(BG996,#REF!,1,0),"")</f>
        <v/>
      </c>
      <c r="AR996" s="392"/>
      <c r="AS996" s="259" t="s">
        <v>3189</v>
      </c>
      <c r="AT996" s="392"/>
      <c r="AU996" s="392"/>
      <c r="AV996" s="392"/>
      <c r="AW996" s="392" t="s">
        <v>3959</v>
      </c>
      <c r="AX996" s="392">
        <v>2024.02</v>
      </c>
      <c r="AY996" s="392"/>
      <c r="BC996" s="207" t="s">
        <v>3431</v>
      </c>
      <c r="BD996" s="202" t="str">
        <f t="shared" si="146"/>
        <v>E-ClassE220d 4MATIC Exclusive</v>
      </c>
      <c r="BE996" s="261" t="str">
        <f t="shared" si="152"/>
        <v>0127</v>
      </c>
      <c r="BF996" s="407" t="s">
        <v>1523</v>
      </c>
      <c r="BG996" s="202" t="str">
        <f t="shared" si="147"/>
        <v>0127-0995</v>
      </c>
    </row>
    <row r="997" spans="1:59" s="207" customFormat="1">
      <c r="A997" s="405">
        <v>4771</v>
      </c>
      <c r="B997" s="406">
        <v>4771</v>
      </c>
      <c r="C997" s="261" t="str">
        <f t="shared" si="148"/>
        <v>0025-0127</v>
      </c>
      <c r="D997" s="261" t="str">
        <f t="shared" si="149"/>
        <v>0025-0127-0003</v>
      </c>
      <c r="E997" s="407" t="s">
        <v>1524</v>
      </c>
      <c r="F997" s="261" t="str">
        <f>TEXT(VLOOKUP(J997,'[3]1'!$B$2:$D$37,2,0),"0000")</f>
        <v>0025</v>
      </c>
      <c r="G997" s="261" t="str">
        <f t="shared" si="150"/>
        <v>0127</v>
      </c>
      <c r="H997" s="408">
        <f t="shared" si="151"/>
        <v>3</v>
      </c>
      <c r="I997" s="407" t="s">
        <v>1524</v>
      </c>
      <c r="J997" s="260" t="s">
        <v>1935</v>
      </c>
      <c r="K997" s="260" t="s">
        <v>123</v>
      </c>
      <c r="L997" s="258" t="s">
        <v>2804</v>
      </c>
      <c r="M997" s="430">
        <v>80800000</v>
      </c>
      <c r="N997" s="258">
        <v>1993</v>
      </c>
      <c r="O997" s="260" t="s">
        <v>78</v>
      </c>
      <c r="P997" s="260" t="s">
        <v>73</v>
      </c>
      <c r="Q997" s="260" t="s">
        <v>72</v>
      </c>
      <c r="R997" s="260">
        <v>5</v>
      </c>
      <c r="S997" s="410">
        <v>1</v>
      </c>
      <c r="T997" s="261">
        <v>6</v>
      </c>
      <c r="U997" s="261">
        <v>6</v>
      </c>
      <c r="V997" s="260" t="s">
        <v>71</v>
      </c>
      <c r="W997" s="261" t="str">
        <f t="shared" si="153"/>
        <v>MercedesBenzE-ClassE220d 4M AMG Line80800000</v>
      </c>
      <c r="X997" s="411">
        <f t="shared" si="154"/>
        <v>4771</v>
      </c>
      <c r="Y997" s="261">
        <v>6</v>
      </c>
      <c r="Z997" s="261">
        <v>6</v>
      </c>
      <c r="AA997" s="407" t="s">
        <v>1524</v>
      </c>
      <c r="AB997" s="260" t="s">
        <v>73</v>
      </c>
      <c r="AC997" s="260"/>
      <c r="AD997" s="260">
        <v>2</v>
      </c>
      <c r="AE997" s="260">
        <v>0</v>
      </c>
      <c r="AF997" s="260"/>
      <c r="AG997" s="260"/>
      <c r="AH997" s="259"/>
      <c r="AI997" s="456"/>
      <c r="AJ997" s="260"/>
      <c r="AK997" s="259">
        <v>5</v>
      </c>
      <c r="AL997" s="259"/>
      <c r="AM997" s="259" t="s">
        <v>3960</v>
      </c>
      <c r="AN997" s="449"/>
      <c r="AO997" s="449"/>
      <c r="AP997" s="449"/>
      <c r="AQ997" s="392" t="str">
        <f>IFERROR(VLOOKUP(BG997,#REF!,1,0),"")</f>
        <v/>
      </c>
      <c r="AR997" s="392"/>
      <c r="AS997" s="259" t="s">
        <v>3189</v>
      </c>
      <c r="AT997" s="392"/>
      <c r="AU997" s="392"/>
      <c r="AV997" s="392"/>
      <c r="AW997" s="392" t="s">
        <v>3959</v>
      </c>
      <c r="AX997" s="392">
        <v>2024.02</v>
      </c>
      <c r="AY997" s="392"/>
      <c r="BC997" s="207" t="s">
        <v>3431</v>
      </c>
      <c r="BD997" s="202" t="str">
        <f t="shared" si="146"/>
        <v>E-ClassE220d 4M AMG Line</v>
      </c>
      <c r="BE997" s="261" t="str">
        <f t="shared" si="152"/>
        <v>0127</v>
      </c>
      <c r="BF997" s="407" t="s">
        <v>1524</v>
      </c>
      <c r="BG997" s="202" t="str">
        <f t="shared" si="147"/>
        <v>0127-0996</v>
      </c>
    </row>
    <row r="998" spans="1:59" s="207" customFormat="1">
      <c r="A998" s="405">
        <v>4772</v>
      </c>
      <c r="B998" s="406">
        <v>4772</v>
      </c>
      <c r="C998" s="261" t="str">
        <f t="shared" si="148"/>
        <v>0025-0127</v>
      </c>
      <c r="D998" s="261" t="str">
        <f t="shared" si="149"/>
        <v>0025-0127-0004</v>
      </c>
      <c r="E998" s="407" t="s">
        <v>1525</v>
      </c>
      <c r="F998" s="261" t="str">
        <f>TEXT(VLOOKUP(J998,'[3]1'!$B$2:$D$37,2,0),"0000")</f>
        <v>0025</v>
      </c>
      <c r="G998" s="261" t="str">
        <f t="shared" si="150"/>
        <v>0127</v>
      </c>
      <c r="H998" s="408">
        <f t="shared" si="151"/>
        <v>4</v>
      </c>
      <c r="I998" s="407" t="s">
        <v>1525</v>
      </c>
      <c r="J998" s="260" t="s">
        <v>1935</v>
      </c>
      <c r="K998" s="260" t="s">
        <v>123</v>
      </c>
      <c r="L998" s="258" t="s">
        <v>126</v>
      </c>
      <c r="M998" s="430">
        <v>82800000</v>
      </c>
      <c r="N998" s="258">
        <v>1999</v>
      </c>
      <c r="O998" s="258" t="s">
        <v>77</v>
      </c>
      <c r="P998" s="260" t="s">
        <v>73</v>
      </c>
      <c r="Q998" s="260" t="s">
        <v>72</v>
      </c>
      <c r="R998" s="260">
        <v>5</v>
      </c>
      <c r="S998" s="410">
        <v>1</v>
      </c>
      <c r="T998" s="261">
        <v>6</v>
      </c>
      <c r="U998" s="261">
        <v>6</v>
      </c>
      <c r="V998" s="260" t="s">
        <v>71</v>
      </c>
      <c r="W998" s="261" t="str">
        <f t="shared" si="153"/>
        <v>MercedesBenzE-ClassE300 4MATIC Exclusive82800000</v>
      </c>
      <c r="X998" s="411">
        <f t="shared" si="154"/>
        <v>4772</v>
      </c>
      <c r="Y998" s="261">
        <v>6</v>
      </c>
      <c r="Z998" s="261">
        <v>6</v>
      </c>
      <c r="AA998" s="407" t="s">
        <v>1525</v>
      </c>
      <c r="AB998" s="260" t="s">
        <v>73</v>
      </c>
      <c r="AC998" s="260"/>
      <c r="AD998" s="260">
        <v>3</v>
      </c>
      <c r="AE998" s="260">
        <v>1</v>
      </c>
      <c r="AF998" s="260"/>
      <c r="AG998" s="260"/>
      <c r="AH998" s="259"/>
      <c r="AI998" s="456"/>
      <c r="AJ998" s="260"/>
      <c r="AK998" s="259">
        <v>4</v>
      </c>
      <c r="AL998" s="259"/>
      <c r="AM998" s="259" t="s">
        <v>3957</v>
      </c>
      <c r="AN998" s="449"/>
      <c r="AO998" s="449"/>
      <c r="AP998" s="449"/>
      <c r="AQ998" s="392" t="str">
        <f>IFERROR(VLOOKUP(BG998,#REF!,1,0),"")</f>
        <v/>
      </c>
      <c r="AR998" s="392"/>
      <c r="AS998" s="259" t="s">
        <v>3189</v>
      </c>
      <c r="AT998" s="392"/>
      <c r="AU998" s="392"/>
      <c r="AV998" s="392"/>
      <c r="AW998" s="392" t="s">
        <v>3959</v>
      </c>
      <c r="AX998" s="392"/>
      <c r="AY998" s="392"/>
      <c r="BD998" s="202" t="str">
        <f t="shared" si="146"/>
        <v>E-ClassE300 4MATIC Exclusive</v>
      </c>
      <c r="BE998" s="261" t="str">
        <f t="shared" si="152"/>
        <v>0127</v>
      </c>
      <c r="BF998" s="407" t="s">
        <v>1525</v>
      </c>
      <c r="BG998" s="202" t="str">
        <f t="shared" si="147"/>
        <v>0127-0997</v>
      </c>
    </row>
    <row r="999" spans="1:59" s="207" customFormat="1">
      <c r="A999" s="405">
        <v>4773</v>
      </c>
      <c r="B999" s="406">
        <v>4773</v>
      </c>
      <c r="C999" s="261" t="str">
        <f t="shared" si="148"/>
        <v>0025-0127</v>
      </c>
      <c r="D999" s="261" t="str">
        <f t="shared" si="149"/>
        <v>0025-0127-0005</v>
      </c>
      <c r="E999" s="407" t="s">
        <v>1526</v>
      </c>
      <c r="F999" s="261" t="str">
        <f>TEXT(VLOOKUP(J999,'[3]1'!$B$2:$D$37,2,0),"0000")</f>
        <v>0025</v>
      </c>
      <c r="G999" s="261" t="str">
        <f t="shared" si="150"/>
        <v>0127</v>
      </c>
      <c r="H999" s="408">
        <f t="shared" si="151"/>
        <v>5</v>
      </c>
      <c r="I999" s="407" t="s">
        <v>1526</v>
      </c>
      <c r="J999" s="260" t="s">
        <v>1935</v>
      </c>
      <c r="K999" s="260" t="s">
        <v>123</v>
      </c>
      <c r="L999" s="258" t="s">
        <v>1911</v>
      </c>
      <c r="M999" s="409">
        <v>82900000</v>
      </c>
      <c r="N999" s="258">
        <v>1999</v>
      </c>
      <c r="O999" s="258" t="s">
        <v>77</v>
      </c>
      <c r="P999" s="260" t="s">
        <v>73</v>
      </c>
      <c r="Q999" s="260" t="s">
        <v>72</v>
      </c>
      <c r="R999" s="260">
        <v>5</v>
      </c>
      <c r="S999" s="410">
        <v>1</v>
      </c>
      <c r="T999" s="261">
        <v>6</v>
      </c>
      <c r="U999" s="261">
        <v>6</v>
      </c>
      <c r="V999" s="260" t="s">
        <v>71</v>
      </c>
      <c r="W999" s="261" t="str">
        <f t="shared" si="153"/>
        <v>MercedesBenzE-ClassE300 4matic AMG Line82900000</v>
      </c>
      <c r="X999" s="411">
        <f t="shared" si="154"/>
        <v>4773</v>
      </c>
      <c r="Y999" s="261">
        <v>6</v>
      </c>
      <c r="Z999" s="261">
        <v>6</v>
      </c>
      <c r="AA999" s="407" t="s">
        <v>1526</v>
      </c>
      <c r="AB999" s="260" t="s">
        <v>73</v>
      </c>
      <c r="AC999" s="260"/>
      <c r="AD999" s="260">
        <v>3</v>
      </c>
      <c r="AE999" s="260">
        <v>1</v>
      </c>
      <c r="AF999" s="260"/>
      <c r="AG999" s="260"/>
      <c r="AH999" s="259"/>
      <c r="AI999" s="456"/>
      <c r="AJ999" s="260"/>
      <c r="AK999" s="259">
        <v>5</v>
      </c>
      <c r="AL999" s="259"/>
      <c r="AM999" s="259" t="s">
        <v>3960</v>
      </c>
      <c r="AN999" s="449"/>
      <c r="AO999" s="449"/>
      <c r="AP999" s="449"/>
      <c r="AQ999" s="392" t="str">
        <f>IFERROR(VLOOKUP(BG999,#REF!,1,0),"")</f>
        <v/>
      </c>
      <c r="AR999" s="392"/>
      <c r="AS999" s="259" t="s">
        <v>3189</v>
      </c>
      <c r="AT999" s="392"/>
      <c r="AU999" s="392"/>
      <c r="AV999" s="392"/>
      <c r="AW999" s="392" t="s">
        <v>3958</v>
      </c>
      <c r="AX999" s="392"/>
      <c r="AY999" s="392"/>
      <c r="BD999" s="202" t="str">
        <f t="shared" si="146"/>
        <v>E-ClassE300 4matic AMG Line</v>
      </c>
      <c r="BE999" s="261" t="str">
        <f t="shared" si="152"/>
        <v>0127</v>
      </c>
      <c r="BF999" s="407" t="s">
        <v>1526</v>
      </c>
      <c r="BG999" s="202" t="str">
        <f t="shared" si="147"/>
        <v>0127-0998</v>
      </c>
    </row>
    <row r="1000" spans="1:59" s="207" customFormat="1">
      <c r="A1000" s="405">
        <v>4774</v>
      </c>
      <c r="B1000" s="406">
        <v>4774</v>
      </c>
      <c r="C1000" s="261" t="str">
        <f t="shared" si="148"/>
        <v>0025-0127</v>
      </c>
      <c r="D1000" s="261" t="str">
        <f t="shared" si="149"/>
        <v>0025-0127-0006</v>
      </c>
      <c r="E1000" s="407" t="s">
        <v>1527</v>
      </c>
      <c r="F1000" s="261" t="str">
        <f>TEXT(VLOOKUP(J1000,'[3]1'!$B$2:$D$37,2,0),"0000")</f>
        <v>0025</v>
      </c>
      <c r="G1000" s="261" t="str">
        <f t="shared" si="150"/>
        <v>0127</v>
      </c>
      <c r="H1000" s="408">
        <f t="shared" si="151"/>
        <v>6</v>
      </c>
      <c r="I1000" s="407" t="s">
        <v>1527</v>
      </c>
      <c r="J1000" s="260" t="s">
        <v>1935</v>
      </c>
      <c r="K1000" s="260" t="s">
        <v>123</v>
      </c>
      <c r="L1000" s="258" t="s">
        <v>125</v>
      </c>
      <c r="M1000" s="430">
        <v>77000000</v>
      </c>
      <c r="N1000" s="258">
        <v>1999</v>
      </c>
      <c r="O1000" s="258" t="s">
        <v>77</v>
      </c>
      <c r="P1000" s="260" t="s">
        <v>73</v>
      </c>
      <c r="Q1000" s="260" t="s">
        <v>72</v>
      </c>
      <c r="R1000" s="260">
        <v>5</v>
      </c>
      <c r="S1000" s="410">
        <v>1</v>
      </c>
      <c r="T1000" s="261">
        <v>6</v>
      </c>
      <c r="U1000" s="261">
        <v>6</v>
      </c>
      <c r="V1000" s="260" t="s">
        <v>71</v>
      </c>
      <c r="W1000" s="261" t="str">
        <f t="shared" si="153"/>
        <v>MercedesBenzE-ClassE300 Avantgarde77000000</v>
      </c>
      <c r="X1000" s="411">
        <f t="shared" si="154"/>
        <v>4774</v>
      </c>
      <c r="Y1000" s="261">
        <v>6</v>
      </c>
      <c r="Z1000" s="261">
        <v>6</v>
      </c>
      <c r="AA1000" s="407" t="s">
        <v>1527</v>
      </c>
      <c r="AB1000" s="260" t="s">
        <v>73</v>
      </c>
      <c r="AC1000" s="260"/>
      <c r="AD1000" s="260">
        <v>3</v>
      </c>
      <c r="AE1000" s="260">
        <v>1</v>
      </c>
      <c r="AF1000" s="260"/>
      <c r="AG1000" s="260"/>
      <c r="AH1000" s="259"/>
      <c r="AI1000" s="456"/>
      <c r="AJ1000" s="260"/>
      <c r="AK1000" s="259" t="s">
        <v>3267</v>
      </c>
      <c r="AL1000" s="259"/>
      <c r="AM1000" s="259" t="s">
        <v>3665</v>
      </c>
      <c r="AN1000" s="449"/>
      <c r="AO1000" s="449"/>
      <c r="AP1000" s="449"/>
      <c r="AQ1000" s="392" t="str">
        <f>IFERROR(VLOOKUP(BG1000,#REF!,1,0),"")</f>
        <v/>
      </c>
      <c r="AR1000" s="392"/>
      <c r="AS1000" s="259" t="s">
        <v>3189</v>
      </c>
      <c r="AT1000" s="392"/>
      <c r="AU1000" s="392"/>
      <c r="AV1000" s="392"/>
      <c r="AW1000" s="392"/>
      <c r="AX1000" s="392"/>
      <c r="AY1000" s="392"/>
      <c r="BD1000" s="202" t="str">
        <f t="shared" si="146"/>
        <v>E-ClassE300 Avantgarde</v>
      </c>
      <c r="BE1000" s="261" t="str">
        <f t="shared" si="152"/>
        <v>0127</v>
      </c>
      <c r="BF1000" s="407" t="s">
        <v>1527</v>
      </c>
      <c r="BG1000" s="202" t="str">
        <f t="shared" si="147"/>
        <v>0127-0999</v>
      </c>
    </row>
    <row r="1001" spans="1:59" s="207" customFormat="1">
      <c r="A1001" s="405">
        <v>4775</v>
      </c>
      <c r="B1001" s="406">
        <v>4775</v>
      </c>
      <c r="C1001" s="261" t="str">
        <f t="shared" si="148"/>
        <v>0025-0127</v>
      </c>
      <c r="D1001" s="261" t="str">
        <f t="shared" si="149"/>
        <v>0025-0127-0007</v>
      </c>
      <c r="E1001" s="407" t="s">
        <v>3643</v>
      </c>
      <c r="F1001" s="261" t="str">
        <f>TEXT(VLOOKUP(J1001,'[3]1'!$B$2:$D$37,2,0),"0000")</f>
        <v>0025</v>
      </c>
      <c r="G1001" s="261" t="str">
        <f t="shared" si="150"/>
        <v>0127</v>
      </c>
      <c r="H1001" s="408">
        <f t="shared" si="151"/>
        <v>7</v>
      </c>
      <c r="I1001" s="407" t="s">
        <v>3643</v>
      </c>
      <c r="J1001" s="413" t="s">
        <v>1935</v>
      </c>
      <c r="K1001" s="260" t="s">
        <v>123</v>
      </c>
      <c r="L1001" s="413" t="s">
        <v>3173</v>
      </c>
      <c r="M1001" s="409">
        <v>82400000</v>
      </c>
      <c r="N1001" s="416">
        <v>1993</v>
      </c>
      <c r="O1001" s="413" t="s">
        <v>1961</v>
      </c>
      <c r="P1001" s="413" t="s">
        <v>73</v>
      </c>
      <c r="Q1001" s="413" t="s">
        <v>72</v>
      </c>
      <c r="R1001" s="416">
        <v>4</v>
      </c>
      <c r="S1001" s="410">
        <v>1</v>
      </c>
      <c r="T1001" s="261">
        <v>6</v>
      </c>
      <c r="U1001" s="261">
        <v>6</v>
      </c>
      <c r="V1001" s="260" t="s">
        <v>71</v>
      </c>
      <c r="W1001" s="261" t="str">
        <f t="shared" si="153"/>
        <v>MercedesBenzE-ClassE300d 4M Coupe82400000</v>
      </c>
      <c r="X1001" s="411">
        <f t="shared" si="154"/>
        <v>4775</v>
      </c>
      <c r="Y1001" s="261">
        <v>6</v>
      </c>
      <c r="Z1001" s="261">
        <v>6</v>
      </c>
      <c r="AA1001" s="407" t="s">
        <v>3643</v>
      </c>
      <c r="AB1001" s="260" t="s">
        <v>73</v>
      </c>
      <c r="AC1001" s="260"/>
      <c r="AD1001" s="260"/>
      <c r="AE1001" s="260"/>
      <c r="AF1001" s="260"/>
      <c r="AG1001" s="260"/>
      <c r="AH1001" s="259"/>
      <c r="AI1001" s="260"/>
      <c r="AJ1001" s="260"/>
      <c r="AK1001" s="259" t="s">
        <v>1175</v>
      </c>
      <c r="AL1001" s="259"/>
      <c r="AM1001" s="259" t="s">
        <v>3671</v>
      </c>
      <c r="AN1001" s="449"/>
      <c r="AO1001" s="449"/>
      <c r="AP1001" s="449"/>
      <c r="AQ1001" s="392" t="str">
        <f>IFERROR(VLOOKUP(BG1001,#REF!,1,0),"")</f>
        <v/>
      </c>
      <c r="AR1001" s="392"/>
      <c r="AS1001" s="259" t="s">
        <v>3189</v>
      </c>
      <c r="AT1001" s="392" t="s">
        <v>3171</v>
      </c>
      <c r="AU1001" s="392"/>
      <c r="AV1001" s="392"/>
      <c r="AW1001" s="392"/>
      <c r="AX1001" s="392"/>
      <c r="AY1001" s="392"/>
      <c r="BD1001" s="202" t="str">
        <f t="shared" si="146"/>
        <v>E-ClassE300d 4M Coupe</v>
      </c>
      <c r="BE1001" s="261" t="str">
        <f t="shared" si="152"/>
        <v>0127</v>
      </c>
      <c r="BF1001" s="407" t="s">
        <v>3643</v>
      </c>
      <c r="BG1001" s="202" t="str">
        <f t="shared" si="147"/>
        <v>0127-1000</v>
      </c>
    </row>
    <row r="1002" spans="1:59" s="207" customFormat="1">
      <c r="A1002" s="405">
        <v>4776</v>
      </c>
      <c r="B1002" s="406">
        <v>4776</v>
      </c>
      <c r="C1002" s="261" t="str">
        <f t="shared" si="148"/>
        <v>0025-0127</v>
      </c>
      <c r="D1002" s="261" t="str">
        <f t="shared" si="149"/>
        <v>0025-0127-0008</v>
      </c>
      <c r="E1002" s="407" t="s">
        <v>3923</v>
      </c>
      <c r="F1002" s="261" t="str">
        <f>TEXT(VLOOKUP(J1002,'[3]1'!$B$2:$D$37,2,0),"0000")</f>
        <v>0025</v>
      </c>
      <c r="G1002" s="261" t="str">
        <f t="shared" si="150"/>
        <v>0127</v>
      </c>
      <c r="H1002" s="408">
        <f t="shared" si="151"/>
        <v>8</v>
      </c>
      <c r="I1002" s="407" t="s">
        <v>3923</v>
      </c>
      <c r="J1002" s="260" t="s">
        <v>1935</v>
      </c>
      <c r="K1002" s="261" t="s">
        <v>123</v>
      </c>
      <c r="L1002" s="261" t="s">
        <v>1912</v>
      </c>
      <c r="M1002" s="430">
        <v>85700000</v>
      </c>
      <c r="N1002" s="258">
        <v>1991</v>
      </c>
      <c r="O1002" s="261" t="s">
        <v>74</v>
      </c>
      <c r="P1002" s="261" t="s">
        <v>73</v>
      </c>
      <c r="Q1002" s="261" t="s">
        <v>72</v>
      </c>
      <c r="R1002" s="261">
        <v>5</v>
      </c>
      <c r="S1002" s="410">
        <v>3</v>
      </c>
      <c r="T1002" s="261">
        <v>6</v>
      </c>
      <c r="U1002" s="261">
        <v>6</v>
      </c>
      <c r="V1002" s="258" t="s">
        <v>71</v>
      </c>
      <c r="W1002" s="261" t="str">
        <f t="shared" si="153"/>
        <v>MercedesBenzE-ClassE300e 4matic Exclusive85700000</v>
      </c>
      <c r="X1002" s="411">
        <f t="shared" si="154"/>
        <v>4776</v>
      </c>
      <c r="Y1002" s="261">
        <v>6</v>
      </c>
      <c r="Z1002" s="261">
        <v>6</v>
      </c>
      <c r="AA1002" s="407" t="s">
        <v>3923</v>
      </c>
      <c r="AB1002" s="260" t="s">
        <v>73</v>
      </c>
      <c r="AC1002" s="261"/>
      <c r="AD1002" s="261">
        <v>5</v>
      </c>
      <c r="AE1002" s="261">
        <v>0</v>
      </c>
      <c r="AF1002" s="260"/>
      <c r="AG1002" s="260"/>
      <c r="AH1002" s="259"/>
      <c r="AI1002" s="260"/>
      <c r="AJ1002" s="260"/>
      <c r="AK1002" s="259" t="s">
        <v>3685</v>
      </c>
      <c r="AL1002" s="259"/>
      <c r="AM1002" s="259" t="s">
        <v>3668</v>
      </c>
      <c r="AN1002" s="449"/>
      <c r="AO1002" s="449"/>
      <c r="AP1002" s="449"/>
      <c r="AQ1002" s="392" t="str">
        <f>IFERROR(VLOOKUP(BG1002,#REF!,1,0),"")</f>
        <v/>
      </c>
      <c r="AR1002" s="392"/>
      <c r="AS1002" s="259" t="s">
        <v>3393</v>
      </c>
      <c r="AT1002" s="392"/>
      <c r="AU1002" s="392"/>
      <c r="AV1002" s="392"/>
      <c r="AW1002" s="392"/>
      <c r="AX1002" s="392"/>
      <c r="AY1002" s="392"/>
      <c r="AZ1002" s="202"/>
      <c r="BA1002" s="202"/>
      <c r="BD1002" s="202" t="str">
        <f t="shared" si="146"/>
        <v>E-ClassE300e 4matic Exclusive</v>
      </c>
      <c r="BE1002" s="261" t="str">
        <f t="shared" si="152"/>
        <v>0127</v>
      </c>
      <c r="BF1002" s="407" t="s">
        <v>3923</v>
      </c>
      <c r="BG1002" s="202" t="str">
        <f t="shared" si="147"/>
        <v>0127-1001</v>
      </c>
    </row>
    <row r="1003" spans="1:59" s="207" customFormat="1">
      <c r="A1003" s="405">
        <v>4777</v>
      </c>
      <c r="B1003" s="406">
        <v>4777</v>
      </c>
      <c r="C1003" s="261" t="str">
        <f t="shared" si="148"/>
        <v>0025-0127</v>
      </c>
      <c r="D1003" s="261" t="str">
        <f t="shared" si="149"/>
        <v>0025-0127-0009</v>
      </c>
      <c r="E1003" s="407" t="s">
        <v>1528</v>
      </c>
      <c r="F1003" s="261" t="str">
        <f>TEXT(VLOOKUP(J1003,'[3]1'!$B$2:$D$37,2,0),"0000")</f>
        <v>0025</v>
      </c>
      <c r="G1003" s="261" t="str">
        <f t="shared" si="150"/>
        <v>0127</v>
      </c>
      <c r="H1003" s="408">
        <f t="shared" si="151"/>
        <v>9</v>
      </c>
      <c r="I1003" s="407" t="s">
        <v>1528</v>
      </c>
      <c r="J1003" s="260" t="s">
        <v>1935</v>
      </c>
      <c r="K1003" s="260" t="s">
        <v>123</v>
      </c>
      <c r="L1003" s="260" t="s">
        <v>1372</v>
      </c>
      <c r="M1003" s="429">
        <v>108000000</v>
      </c>
      <c r="N1003" s="260">
        <v>2999</v>
      </c>
      <c r="O1003" s="258" t="s">
        <v>77</v>
      </c>
      <c r="P1003" s="260" t="s">
        <v>73</v>
      </c>
      <c r="Q1003" s="260" t="s">
        <v>72</v>
      </c>
      <c r="R1003" s="260">
        <v>5</v>
      </c>
      <c r="S1003" s="410">
        <v>7</v>
      </c>
      <c r="T1003" s="261">
        <v>6</v>
      </c>
      <c r="U1003" s="261">
        <v>6</v>
      </c>
      <c r="V1003" s="260" t="s">
        <v>71</v>
      </c>
      <c r="W1003" s="261" t="str">
        <f t="shared" si="153"/>
        <v>MercedesBenzE-ClassE450 4MATIC Exclusive108000000</v>
      </c>
      <c r="X1003" s="411">
        <f t="shared" si="154"/>
        <v>4777</v>
      </c>
      <c r="Y1003" s="261">
        <v>6</v>
      </c>
      <c r="Z1003" s="261">
        <v>6</v>
      </c>
      <c r="AA1003" s="407" t="s">
        <v>1528</v>
      </c>
      <c r="AB1003" s="260" t="s">
        <v>73</v>
      </c>
      <c r="AC1003" s="260"/>
      <c r="AD1003" s="260">
        <v>4</v>
      </c>
      <c r="AE1003" s="260">
        <v>0</v>
      </c>
      <c r="AF1003" s="260"/>
      <c r="AG1003" s="260"/>
      <c r="AH1003" s="259"/>
      <c r="AI1003" s="260"/>
      <c r="AJ1003" s="260"/>
      <c r="AK1003" s="259">
        <v>9</v>
      </c>
      <c r="AL1003" s="259"/>
      <c r="AM1003" s="259" t="s">
        <v>3962</v>
      </c>
      <c r="AN1003" s="449"/>
      <c r="AO1003" s="449"/>
      <c r="AP1003" s="449"/>
      <c r="AQ1003" s="392" t="str">
        <f>IFERROR(VLOOKUP(BG1003,#REF!,1,0),"")</f>
        <v/>
      </c>
      <c r="AR1003" s="392"/>
      <c r="AS1003" s="259" t="s">
        <v>3394</v>
      </c>
      <c r="AT1003" s="392"/>
      <c r="AU1003" s="392"/>
      <c r="AV1003" s="392"/>
      <c r="AW1003" s="392" t="s">
        <v>3963</v>
      </c>
      <c r="AX1003" s="392">
        <v>2024.02</v>
      </c>
      <c r="AY1003" s="392"/>
      <c r="BB1003" s="207" t="s">
        <v>3395</v>
      </c>
      <c r="BC1003" s="207" t="s">
        <v>3432</v>
      </c>
      <c r="BD1003" s="202" t="str">
        <f t="shared" si="146"/>
        <v>E-ClassE450 4MATIC Exclusive</v>
      </c>
      <c r="BE1003" s="261" t="str">
        <f t="shared" si="152"/>
        <v>0127</v>
      </c>
      <c r="BF1003" s="407" t="s">
        <v>1528</v>
      </c>
      <c r="BG1003" s="202" t="str">
        <f t="shared" si="147"/>
        <v>0127-1002</v>
      </c>
    </row>
    <row r="1004" spans="1:59" s="207" customFormat="1">
      <c r="A1004" s="405">
        <v>4778</v>
      </c>
      <c r="B1004" s="406">
        <v>4778</v>
      </c>
      <c r="C1004" s="261" t="str">
        <f t="shared" si="148"/>
        <v>0025-0127</v>
      </c>
      <c r="D1004" s="261" t="str">
        <f t="shared" si="149"/>
        <v>0025-0127-0010</v>
      </c>
      <c r="E1004" s="407" t="s">
        <v>1529</v>
      </c>
      <c r="F1004" s="261" t="str">
        <f>TEXT(VLOOKUP(J1004,'[3]1'!$B$2:$D$37,2,0),"0000")</f>
        <v>0025</v>
      </c>
      <c r="G1004" s="261" t="str">
        <f t="shared" si="150"/>
        <v>0127</v>
      </c>
      <c r="H1004" s="408">
        <f t="shared" si="151"/>
        <v>10</v>
      </c>
      <c r="I1004" s="407" t="s">
        <v>1529</v>
      </c>
      <c r="J1004" s="260" t="s">
        <v>1935</v>
      </c>
      <c r="K1004" s="260" t="s">
        <v>123</v>
      </c>
      <c r="L1004" s="260" t="s">
        <v>3767</v>
      </c>
      <c r="M1004" s="429">
        <v>121000000</v>
      </c>
      <c r="N1004" s="260">
        <v>2999</v>
      </c>
      <c r="O1004" s="258" t="s">
        <v>77</v>
      </c>
      <c r="P1004" s="260" t="s">
        <v>73</v>
      </c>
      <c r="Q1004" s="260" t="s">
        <v>72</v>
      </c>
      <c r="R1004" s="260">
        <v>5</v>
      </c>
      <c r="S1004" s="410">
        <v>15</v>
      </c>
      <c r="T1004" s="261">
        <v>6</v>
      </c>
      <c r="U1004" s="261">
        <v>6</v>
      </c>
      <c r="V1004" s="260" t="s">
        <v>71</v>
      </c>
      <c r="W1004" s="261" t="str">
        <f t="shared" si="153"/>
        <v>MercedesBenzE-ClassAMG E 53 4M121000000</v>
      </c>
      <c r="X1004" s="411">
        <f t="shared" si="154"/>
        <v>4778</v>
      </c>
      <c r="Y1004" s="261">
        <v>6</v>
      </c>
      <c r="Z1004" s="261">
        <v>6</v>
      </c>
      <c r="AA1004" s="407" t="s">
        <v>1529</v>
      </c>
      <c r="AB1004" s="260" t="s">
        <v>73</v>
      </c>
      <c r="AC1004" s="260"/>
      <c r="AD1004" s="260">
        <v>5</v>
      </c>
      <c r="AE1004" s="260">
        <v>0</v>
      </c>
      <c r="AF1004" s="260"/>
      <c r="AG1004" s="260"/>
      <c r="AH1004" s="259"/>
      <c r="AI1004" s="260"/>
      <c r="AJ1004" s="260"/>
      <c r="AK1004" s="259">
        <v>16</v>
      </c>
      <c r="AL1004" s="259"/>
      <c r="AM1004" s="259" t="s">
        <v>3765</v>
      </c>
      <c r="AN1004" s="449"/>
      <c r="AO1004" s="449"/>
      <c r="AP1004" s="449"/>
      <c r="AQ1004" s="392" t="str">
        <f>IFERROR(VLOOKUP(BG1004,#REF!,1,0),"")</f>
        <v/>
      </c>
      <c r="AR1004" s="392"/>
      <c r="AS1004" s="259" t="s">
        <v>3233</v>
      </c>
      <c r="AT1004" s="392"/>
      <c r="AU1004" s="392"/>
      <c r="AV1004" s="392"/>
      <c r="AW1004" s="392"/>
      <c r="AX1004" s="392"/>
      <c r="AY1004" s="392"/>
      <c r="BD1004" s="202" t="str">
        <f t="shared" si="146"/>
        <v>E-ClassAMG E 53 4M</v>
      </c>
      <c r="BE1004" s="261" t="str">
        <f t="shared" si="152"/>
        <v>0127</v>
      </c>
      <c r="BF1004" s="407" t="s">
        <v>1529</v>
      </c>
      <c r="BG1004" s="202" t="str">
        <f t="shared" si="147"/>
        <v>0127-1003</v>
      </c>
    </row>
    <row r="1005" spans="1:59" s="207" customFormat="1">
      <c r="A1005" s="405">
        <v>4779</v>
      </c>
      <c r="B1005" s="406">
        <v>4779</v>
      </c>
      <c r="C1005" s="261" t="str">
        <f t="shared" si="148"/>
        <v>0025-0127</v>
      </c>
      <c r="D1005" s="261" t="str">
        <f t="shared" si="149"/>
        <v>0025-0127-0011</v>
      </c>
      <c r="E1005" s="407" t="s">
        <v>1530</v>
      </c>
      <c r="F1005" s="261" t="str">
        <f>TEXT(VLOOKUP(J1005,'[3]1'!$B$2:$D$37,2,0),"0000")</f>
        <v>0025</v>
      </c>
      <c r="G1005" s="261" t="str">
        <f t="shared" si="150"/>
        <v>0127</v>
      </c>
      <c r="H1005" s="408">
        <f t="shared" si="151"/>
        <v>11</v>
      </c>
      <c r="I1005" s="407" t="s">
        <v>1530</v>
      </c>
      <c r="J1005" s="260" t="s">
        <v>1935</v>
      </c>
      <c r="K1005" s="260" t="s">
        <v>123</v>
      </c>
      <c r="L1005" s="258" t="s">
        <v>3766</v>
      </c>
      <c r="M1005" s="429">
        <v>117100000</v>
      </c>
      <c r="N1005" s="258">
        <v>2999</v>
      </c>
      <c r="O1005" s="258" t="s">
        <v>77</v>
      </c>
      <c r="P1005" s="260" t="s">
        <v>73</v>
      </c>
      <c r="Q1005" s="260" t="s">
        <v>72</v>
      </c>
      <c r="R1005" s="260">
        <v>4</v>
      </c>
      <c r="S1005" s="410">
        <v>15</v>
      </c>
      <c r="T1005" s="261">
        <v>6</v>
      </c>
      <c r="U1005" s="261">
        <v>6</v>
      </c>
      <c r="V1005" s="260" t="s">
        <v>71</v>
      </c>
      <c r="W1005" s="261" t="str">
        <f t="shared" si="153"/>
        <v>MercedesBenzE-ClassAMG E 53 4M Coupe117100000</v>
      </c>
      <c r="X1005" s="411">
        <f t="shared" si="154"/>
        <v>4779</v>
      </c>
      <c r="Y1005" s="261">
        <v>6</v>
      </c>
      <c r="Z1005" s="261">
        <v>6</v>
      </c>
      <c r="AA1005" s="407" t="s">
        <v>1530</v>
      </c>
      <c r="AB1005" s="260" t="s">
        <v>73</v>
      </c>
      <c r="AC1005" s="260"/>
      <c r="AD1005" s="260">
        <v>6</v>
      </c>
      <c r="AE1005" s="260">
        <v>0</v>
      </c>
      <c r="AF1005" s="260"/>
      <c r="AG1005" s="260"/>
      <c r="AH1005" s="259"/>
      <c r="AI1005" s="260"/>
      <c r="AJ1005" s="260"/>
      <c r="AK1005" s="259">
        <v>16</v>
      </c>
      <c r="AL1005" s="259"/>
      <c r="AM1005" s="259" t="s">
        <v>3765</v>
      </c>
      <c r="AN1005" s="449"/>
      <c r="AO1005" s="449"/>
      <c r="AP1005" s="449"/>
      <c r="AQ1005" s="392" t="str">
        <f>IFERROR(VLOOKUP(BG1005,#REF!,1,0),"")</f>
        <v/>
      </c>
      <c r="AR1005" s="392"/>
      <c r="AS1005" s="259" t="s">
        <v>3233</v>
      </c>
      <c r="AT1005" s="392"/>
      <c r="AU1005" s="392"/>
      <c r="AV1005" s="392"/>
      <c r="AW1005" s="392"/>
      <c r="AX1005" s="392"/>
      <c r="AY1005" s="392"/>
      <c r="BD1005" s="202" t="str">
        <f t="shared" si="146"/>
        <v>E-ClassAMG E 53 4M Coupe</v>
      </c>
      <c r="BE1005" s="261" t="str">
        <f t="shared" si="152"/>
        <v>0127</v>
      </c>
      <c r="BF1005" s="407" t="s">
        <v>1530</v>
      </c>
      <c r="BG1005" s="202" t="str">
        <f t="shared" si="147"/>
        <v>0127-1004</v>
      </c>
    </row>
    <row r="1006" spans="1:59" s="207" customFormat="1">
      <c r="A1006" s="405">
        <v>4780</v>
      </c>
      <c r="B1006" s="406">
        <v>4780</v>
      </c>
      <c r="C1006" s="261" t="str">
        <f t="shared" si="148"/>
        <v>0025-0127</v>
      </c>
      <c r="D1006" s="261" t="str">
        <f t="shared" si="149"/>
        <v>0025-0127-0012</v>
      </c>
      <c r="E1006" s="407" t="s">
        <v>1531</v>
      </c>
      <c r="F1006" s="261" t="str">
        <f>TEXT(VLOOKUP(J1006,'[3]1'!$B$2:$D$37,2,0),"0000")</f>
        <v>0025</v>
      </c>
      <c r="G1006" s="261" t="str">
        <f t="shared" si="150"/>
        <v>0127</v>
      </c>
      <c r="H1006" s="408">
        <f t="shared" si="151"/>
        <v>12</v>
      </c>
      <c r="I1006" s="407" t="s">
        <v>1531</v>
      </c>
      <c r="J1006" s="260" t="s">
        <v>1935</v>
      </c>
      <c r="K1006" s="260" t="s">
        <v>123</v>
      </c>
      <c r="L1006" s="258" t="s">
        <v>1398</v>
      </c>
      <c r="M1006" s="429">
        <v>108100000</v>
      </c>
      <c r="N1006" s="258">
        <v>2999</v>
      </c>
      <c r="O1006" s="258" t="s">
        <v>77</v>
      </c>
      <c r="P1006" s="260" t="s">
        <v>73</v>
      </c>
      <c r="Q1006" s="260" t="s">
        <v>72</v>
      </c>
      <c r="R1006" s="260">
        <v>4</v>
      </c>
      <c r="S1006" s="410">
        <v>9</v>
      </c>
      <c r="T1006" s="261">
        <v>6</v>
      </c>
      <c r="U1006" s="261">
        <v>6</v>
      </c>
      <c r="V1006" s="260" t="s">
        <v>71</v>
      </c>
      <c r="W1006" s="261" t="str">
        <f t="shared" si="153"/>
        <v>MercedesBenzE-ClassE450 4MATIC Cabriolet108100000</v>
      </c>
      <c r="X1006" s="411">
        <f t="shared" si="154"/>
        <v>4780</v>
      </c>
      <c r="Y1006" s="261">
        <v>6</v>
      </c>
      <c r="Z1006" s="261">
        <v>6</v>
      </c>
      <c r="AA1006" s="407" t="s">
        <v>1531</v>
      </c>
      <c r="AB1006" s="260" t="s">
        <v>73</v>
      </c>
      <c r="AC1006" s="260"/>
      <c r="AD1006" s="260">
        <v>4</v>
      </c>
      <c r="AE1006" s="260">
        <v>0</v>
      </c>
      <c r="AF1006" s="260"/>
      <c r="AG1006" s="260"/>
      <c r="AH1006" s="259"/>
      <c r="AI1006" s="260"/>
      <c r="AJ1006" s="260"/>
      <c r="AK1006" s="259">
        <v>9</v>
      </c>
      <c r="AL1006" s="259"/>
      <c r="AM1006" s="259" t="s">
        <v>3962</v>
      </c>
      <c r="AN1006" s="449"/>
      <c r="AO1006" s="449"/>
      <c r="AP1006" s="449"/>
      <c r="AQ1006" s="392" t="str">
        <f>IFERROR(VLOOKUP(BG1006,#REF!,1,0),"")</f>
        <v/>
      </c>
      <c r="AR1006" s="392"/>
      <c r="AS1006" s="259" t="s">
        <v>3222</v>
      </c>
      <c r="AT1006" s="392"/>
      <c r="AU1006" s="392"/>
      <c r="AV1006" s="392"/>
      <c r="AW1006" s="392" t="s">
        <v>3963</v>
      </c>
      <c r="AX1006" s="392"/>
      <c r="AY1006" s="392"/>
      <c r="BD1006" s="202" t="str">
        <f t="shared" si="146"/>
        <v>E-ClassE450 4MATIC Cabriolet</v>
      </c>
      <c r="BE1006" s="261" t="str">
        <f t="shared" si="152"/>
        <v>0127</v>
      </c>
      <c r="BF1006" s="407" t="s">
        <v>1531</v>
      </c>
      <c r="BG1006" s="202" t="str">
        <f t="shared" si="147"/>
        <v>0127-1005</v>
      </c>
    </row>
    <row r="1007" spans="1:59" s="207" customFormat="1">
      <c r="A1007" s="405">
        <v>4781</v>
      </c>
      <c r="B1007" s="406">
        <v>4781</v>
      </c>
      <c r="C1007" s="261" t="str">
        <f t="shared" si="148"/>
        <v>0025-0127</v>
      </c>
      <c r="D1007" s="261" t="str">
        <f t="shared" si="149"/>
        <v>0025-0127-0013</v>
      </c>
      <c r="E1007" s="407" t="s">
        <v>1532</v>
      </c>
      <c r="F1007" s="261" t="str">
        <f>TEXT(VLOOKUP(J1007,'[3]1'!$B$2:$D$37,2,0),"0000")</f>
        <v>0025</v>
      </c>
      <c r="G1007" s="261" t="str">
        <f t="shared" si="150"/>
        <v>0127</v>
      </c>
      <c r="H1007" s="408">
        <f t="shared" si="151"/>
        <v>13</v>
      </c>
      <c r="I1007" s="407" t="s">
        <v>1532</v>
      </c>
      <c r="J1007" s="260" t="s">
        <v>1935</v>
      </c>
      <c r="K1007" s="260" t="s">
        <v>123</v>
      </c>
      <c r="L1007" s="258" t="s">
        <v>1399</v>
      </c>
      <c r="M1007" s="429">
        <v>103100000</v>
      </c>
      <c r="N1007" s="258">
        <v>2999</v>
      </c>
      <c r="O1007" s="258" t="s">
        <v>77</v>
      </c>
      <c r="P1007" s="260" t="s">
        <v>73</v>
      </c>
      <c r="Q1007" s="260" t="s">
        <v>72</v>
      </c>
      <c r="R1007" s="260">
        <v>4</v>
      </c>
      <c r="S1007" s="410">
        <v>9</v>
      </c>
      <c r="T1007" s="261">
        <v>6</v>
      </c>
      <c r="U1007" s="261">
        <v>6</v>
      </c>
      <c r="V1007" s="260" t="s">
        <v>71</v>
      </c>
      <c r="W1007" s="261" t="str">
        <f t="shared" si="153"/>
        <v>MercedesBenzE-ClassE450 4MATIC Coupe103100000</v>
      </c>
      <c r="X1007" s="411">
        <f t="shared" si="154"/>
        <v>4781</v>
      </c>
      <c r="Y1007" s="261">
        <v>6</v>
      </c>
      <c r="Z1007" s="261">
        <v>6</v>
      </c>
      <c r="AA1007" s="407" t="s">
        <v>1532</v>
      </c>
      <c r="AB1007" s="260" t="s">
        <v>73</v>
      </c>
      <c r="AC1007" s="260"/>
      <c r="AD1007" s="260">
        <v>4</v>
      </c>
      <c r="AE1007" s="260">
        <v>0</v>
      </c>
      <c r="AF1007" s="260"/>
      <c r="AG1007" s="260"/>
      <c r="AH1007" s="259"/>
      <c r="AI1007" s="260"/>
      <c r="AJ1007" s="260"/>
      <c r="AK1007" s="259">
        <v>9</v>
      </c>
      <c r="AL1007" s="259"/>
      <c r="AM1007" s="259" t="s">
        <v>3962</v>
      </c>
      <c r="AN1007" s="449"/>
      <c r="AO1007" s="449"/>
      <c r="AP1007" s="449"/>
      <c r="AQ1007" s="392" t="str">
        <f>IFERROR(VLOOKUP(BG1007,#REF!,1,0),"")</f>
        <v/>
      </c>
      <c r="AR1007" s="392"/>
      <c r="AS1007" s="259" t="s">
        <v>3392</v>
      </c>
      <c r="AT1007" s="392"/>
      <c r="AU1007" s="392"/>
      <c r="AV1007" s="392"/>
      <c r="AW1007" s="392" t="s">
        <v>3963</v>
      </c>
      <c r="AX1007" s="392">
        <v>2024.02</v>
      </c>
      <c r="AY1007" s="392"/>
      <c r="BB1007" s="207" t="s">
        <v>3396</v>
      </c>
      <c r="BD1007" s="202" t="str">
        <f t="shared" si="146"/>
        <v>E-ClassE450 4MATIC Coupe</v>
      </c>
      <c r="BE1007" s="261" t="str">
        <f t="shared" si="152"/>
        <v>0127</v>
      </c>
      <c r="BF1007" s="407" t="s">
        <v>1532</v>
      </c>
      <c r="BG1007" s="202" t="str">
        <f t="shared" si="147"/>
        <v>0127-1006</v>
      </c>
    </row>
    <row r="1008" spans="1:59" s="207" customFormat="1">
      <c r="A1008" s="405">
        <v>4782</v>
      </c>
      <c r="B1008" s="406">
        <v>4782</v>
      </c>
      <c r="C1008" s="261" t="str">
        <f t="shared" si="148"/>
        <v>0025-0128</v>
      </c>
      <c r="D1008" s="261" t="str">
        <f t="shared" si="149"/>
        <v>0025-0128-0001</v>
      </c>
      <c r="E1008" s="407" t="s">
        <v>1533</v>
      </c>
      <c r="F1008" s="261" t="str">
        <f>TEXT(VLOOKUP(J1008,'[3]1'!$B$2:$D$37,2,0),"0000")</f>
        <v>0025</v>
      </c>
      <c r="G1008" s="261" t="str">
        <f t="shared" si="150"/>
        <v>0128</v>
      </c>
      <c r="H1008" s="408">
        <f t="shared" si="151"/>
        <v>1</v>
      </c>
      <c r="I1008" s="407" t="s">
        <v>1533</v>
      </c>
      <c r="J1008" s="260" t="s">
        <v>1935</v>
      </c>
      <c r="K1008" s="260" t="s">
        <v>3281</v>
      </c>
      <c r="L1008" s="258">
        <v>250</v>
      </c>
      <c r="M1008" s="506">
        <v>67500000</v>
      </c>
      <c r="N1008" s="258">
        <v>0</v>
      </c>
      <c r="O1008" s="413" t="s">
        <v>1290</v>
      </c>
      <c r="P1008" s="413" t="s">
        <v>73</v>
      </c>
      <c r="Q1008" s="413" t="s">
        <v>72</v>
      </c>
      <c r="R1008" s="416">
        <v>5</v>
      </c>
      <c r="S1008" s="410">
        <v>3</v>
      </c>
      <c r="T1008" s="261">
        <v>6</v>
      </c>
      <c r="U1008" s="261">
        <v>6</v>
      </c>
      <c r="V1008" s="258" t="s">
        <v>1914</v>
      </c>
      <c r="W1008" s="261" t="str">
        <f t="shared" si="153"/>
        <v>MercedesBenzEQA25067500000</v>
      </c>
      <c r="X1008" s="411">
        <f t="shared" si="154"/>
        <v>4782</v>
      </c>
      <c r="Y1008" s="261">
        <v>6</v>
      </c>
      <c r="Z1008" s="261">
        <v>6</v>
      </c>
      <c r="AA1008" s="407" t="s">
        <v>1533</v>
      </c>
      <c r="AB1008" s="260" t="s">
        <v>73</v>
      </c>
      <c r="AC1008" s="260"/>
      <c r="AD1008" s="260">
        <v>7</v>
      </c>
      <c r="AE1008" s="260">
        <v>0</v>
      </c>
      <c r="AF1008" s="260"/>
      <c r="AG1008" s="260"/>
      <c r="AH1008" s="259"/>
      <c r="AI1008" s="260"/>
      <c r="AJ1008" s="260"/>
      <c r="AK1008" s="259">
        <v>26</v>
      </c>
      <c r="AL1008" s="259"/>
      <c r="AM1008" s="259" t="s">
        <v>3681</v>
      </c>
      <c r="AN1008" s="449"/>
      <c r="AO1008" s="449"/>
      <c r="AP1008" s="449"/>
      <c r="AQ1008" s="392" t="str">
        <f>IFERROR(VLOOKUP(BG1008,#REF!,1,0),"")</f>
        <v/>
      </c>
      <c r="AR1008" s="392"/>
      <c r="AS1008" s="259" t="s">
        <v>1959</v>
      </c>
      <c r="AT1008" s="392" t="s">
        <v>3184</v>
      </c>
      <c r="AU1008" s="392"/>
      <c r="AV1008" s="392"/>
      <c r="AW1008" s="392" t="s">
        <v>3183</v>
      </c>
      <c r="AX1008" s="392"/>
      <c r="AY1008" s="392"/>
      <c r="BD1008" s="202" t="str">
        <f t="shared" si="146"/>
        <v>EQA250</v>
      </c>
      <c r="BE1008" s="261" t="str">
        <f t="shared" si="152"/>
        <v>0128</v>
      </c>
      <c r="BF1008" s="407" t="s">
        <v>1533</v>
      </c>
      <c r="BG1008" s="202" t="str">
        <f t="shared" si="147"/>
        <v>0128-1007</v>
      </c>
    </row>
    <row r="1009" spans="1:59" s="207" customFormat="1">
      <c r="A1009" s="405">
        <v>4783</v>
      </c>
      <c r="B1009" s="406">
        <v>4783</v>
      </c>
      <c r="C1009" s="261" t="str">
        <f t="shared" si="148"/>
        <v>0025-0128</v>
      </c>
      <c r="D1009" s="261" t="str">
        <f t="shared" si="149"/>
        <v>0025-0128-0002</v>
      </c>
      <c r="E1009" s="407" t="s">
        <v>1534</v>
      </c>
      <c r="F1009" s="261" t="str">
        <f>TEXT(VLOOKUP(J1009,'[3]1'!$B$2:$D$37,2,0),"0000")</f>
        <v>0025</v>
      </c>
      <c r="G1009" s="261" t="str">
        <f t="shared" si="150"/>
        <v>0128</v>
      </c>
      <c r="H1009" s="408">
        <f t="shared" si="151"/>
        <v>2</v>
      </c>
      <c r="I1009" s="407" t="s">
        <v>1534</v>
      </c>
      <c r="J1009" s="260" t="s">
        <v>1935</v>
      </c>
      <c r="K1009" s="260" t="s">
        <v>3281</v>
      </c>
      <c r="L1009" s="258" t="s">
        <v>3177</v>
      </c>
      <c r="M1009" s="506">
        <v>64900000</v>
      </c>
      <c r="N1009" s="258">
        <v>0</v>
      </c>
      <c r="O1009" s="413" t="s">
        <v>1290</v>
      </c>
      <c r="P1009" s="413" t="s">
        <v>73</v>
      </c>
      <c r="Q1009" s="413" t="s">
        <v>72</v>
      </c>
      <c r="R1009" s="416">
        <v>5</v>
      </c>
      <c r="S1009" s="410">
        <v>3</v>
      </c>
      <c r="T1009" s="261">
        <v>6</v>
      </c>
      <c r="U1009" s="261">
        <v>6</v>
      </c>
      <c r="V1009" s="258" t="s">
        <v>1914</v>
      </c>
      <c r="W1009" s="261" t="str">
        <f t="shared" si="153"/>
        <v>MercedesBenzEQA250 AMG Package64900000</v>
      </c>
      <c r="X1009" s="411">
        <f t="shared" si="154"/>
        <v>4783</v>
      </c>
      <c r="Y1009" s="261">
        <v>6</v>
      </c>
      <c r="Z1009" s="261">
        <v>6</v>
      </c>
      <c r="AA1009" s="407" t="s">
        <v>1534</v>
      </c>
      <c r="AB1009" s="260" t="s">
        <v>73</v>
      </c>
      <c r="AC1009" s="260"/>
      <c r="AD1009" s="260">
        <v>7</v>
      </c>
      <c r="AE1009" s="260">
        <v>0</v>
      </c>
      <c r="AF1009" s="260"/>
      <c r="AG1009" s="260"/>
      <c r="AH1009" s="259"/>
      <c r="AI1009" s="260"/>
      <c r="AJ1009" s="260"/>
      <c r="AK1009" s="259">
        <v>26</v>
      </c>
      <c r="AL1009" s="259"/>
      <c r="AM1009" s="259" t="s">
        <v>3681</v>
      </c>
      <c r="AN1009" s="449"/>
      <c r="AO1009" s="449"/>
      <c r="AP1009" s="449"/>
      <c r="AQ1009" s="392" t="str">
        <f>IFERROR(VLOOKUP(BG1009,#REF!,1,0),"")</f>
        <v/>
      </c>
      <c r="AR1009" s="392"/>
      <c r="AS1009" s="259" t="s">
        <v>1959</v>
      </c>
      <c r="AT1009" s="392" t="s">
        <v>3184</v>
      </c>
      <c r="AU1009" s="392"/>
      <c r="AV1009" s="392"/>
      <c r="AW1009" s="392" t="s">
        <v>3183</v>
      </c>
      <c r="AX1009" s="392"/>
      <c r="AY1009" s="392"/>
      <c r="BD1009" s="202" t="str">
        <f t="shared" si="146"/>
        <v>EQA250 AMG Package</v>
      </c>
      <c r="BE1009" s="261" t="str">
        <f t="shared" si="152"/>
        <v>0128</v>
      </c>
      <c r="BF1009" s="407" t="s">
        <v>1534</v>
      </c>
      <c r="BG1009" s="202" t="str">
        <f t="shared" si="147"/>
        <v>0128-1008</v>
      </c>
    </row>
    <row r="1010" spans="1:59" s="207" customFormat="1">
      <c r="A1010" s="405">
        <v>4784</v>
      </c>
      <c r="B1010" s="406">
        <v>4784</v>
      </c>
      <c r="C1010" s="261" t="str">
        <f t="shared" si="148"/>
        <v>0025-0128</v>
      </c>
      <c r="D1010" s="261" t="str">
        <f t="shared" si="149"/>
        <v>0025-0128-0003</v>
      </c>
      <c r="E1010" s="407" t="s">
        <v>1535</v>
      </c>
      <c r="F1010" s="261" t="str">
        <f>TEXT(VLOOKUP(J1010,'[3]1'!$B$2:$D$37,2,0),"0000")</f>
        <v>0025</v>
      </c>
      <c r="G1010" s="261" t="str">
        <f t="shared" si="150"/>
        <v>0128</v>
      </c>
      <c r="H1010" s="408">
        <f t="shared" si="151"/>
        <v>3</v>
      </c>
      <c r="I1010" s="407" t="s">
        <v>1535</v>
      </c>
      <c r="J1010" s="260" t="s">
        <v>1935</v>
      </c>
      <c r="K1010" s="260" t="s">
        <v>3281</v>
      </c>
      <c r="L1010" s="258" t="s">
        <v>3178</v>
      </c>
      <c r="M1010" s="506">
        <v>67900000</v>
      </c>
      <c r="N1010" s="258">
        <v>0</v>
      </c>
      <c r="O1010" s="413" t="s">
        <v>1290</v>
      </c>
      <c r="P1010" s="413" t="s">
        <v>73</v>
      </c>
      <c r="Q1010" s="413" t="s">
        <v>72</v>
      </c>
      <c r="R1010" s="416">
        <v>5</v>
      </c>
      <c r="S1010" s="410">
        <v>3</v>
      </c>
      <c r="T1010" s="261">
        <v>6</v>
      </c>
      <c r="U1010" s="261">
        <v>6</v>
      </c>
      <c r="V1010" s="258" t="s">
        <v>1914</v>
      </c>
      <c r="W1010" s="261" t="str">
        <f t="shared" si="153"/>
        <v>MercedesBenzEQA250 AMG Package Plus67900000</v>
      </c>
      <c r="X1010" s="411">
        <f t="shared" si="154"/>
        <v>4784</v>
      </c>
      <c r="Y1010" s="261">
        <v>6</v>
      </c>
      <c r="Z1010" s="261">
        <v>6</v>
      </c>
      <c r="AA1010" s="407" t="s">
        <v>1535</v>
      </c>
      <c r="AB1010" s="260" t="s">
        <v>73</v>
      </c>
      <c r="AC1010" s="260"/>
      <c r="AD1010" s="260">
        <v>7</v>
      </c>
      <c r="AE1010" s="260">
        <v>0</v>
      </c>
      <c r="AF1010" s="260"/>
      <c r="AG1010" s="260"/>
      <c r="AH1010" s="259"/>
      <c r="AI1010" s="260"/>
      <c r="AJ1010" s="260"/>
      <c r="AK1010" s="259">
        <v>26</v>
      </c>
      <c r="AL1010" s="259"/>
      <c r="AM1010" s="259" t="s">
        <v>3681</v>
      </c>
      <c r="AN1010" s="449"/>
      <c r="AO1010" s="449"/>
      <c r="AP1010" s="449"/>
      <c r="AQ1010" s="392" t="str">
        <f>IFERROR(VLOOKUP(BG1010,#REF!,1,0),"")</f>
        <v/>
      </c>
      <c r="AR1010" s="392"/>
      <c r="AS1010" s="259" t="s">
        <v>1959</v>
      </c>
      <c r="AT1010" s="392" t="s">
        <v>3184</v>
      </c>
      <c r="AU1010" s="392"/>
      <c r="AV1010" s="392"/>
      <c r="AW1010" s="392" t="s">
        <v>3183</v>
      </c>
      <c r="AX1010" s="392"/>
      <c r="AY1010" s="392"/>
      <c r="BD1010" s="202" t="str">
        <f t="shared" si="146"/>
        <v>EQA250 AMG Package Plus</v>
      </c>
      <c r="BE1010" s="261" t="str">
        <f t="shared" si="152"/>
        <v>0128</v>
      </c>
      <c r="BF1010" s="407" t="s">
        <v>1535</v>
      </c>
      <c r="BG1010" s="202" t="str">
        <f t="shared" si="147"/>
        <v>0128-1009</v>
      </c>
    </row>
    <row r="1011" spans="1:59" s="207" customFormat="1">
      <c r="A1011" s="405">
        <v>4785</v>
      </c>
      <c r="B1011" s="406">
        <v>4785</v>
      </c>
      <c r="C1011" s="261" t="str">
        <f t="shared" si="148"/>
        <v>0025-0128</v>
      </c>
      <c r="D1011" s="261" t="str">
        <f t="shared" si="149"/>
        <v>0025-0128-0004</v>
      </c>
      <c r="E1011" s="407" t="s">
        <v>1536</v>
      </c>
      <c r="F1011" s="261" t="str">
        <f>TEXT(VLOOKUP(J1011,'[3]1'!$B$2:$D$37,2,0),"0000")</f>
        <v>0025</v>
      </c>
      <c r="G1011" s="261" t="str">
        <f t="shared" si="150"/>
        <v>0128</v>
      </c>
      <c r="H1011" s="408">
        <f t="shared" si="151"/>
        <v>4</v>
      </c>
      <c r="I1011" s="407" t="s">
        <v>1536</v>
      </c>
      <c r="J1011" s="260" t="s">
        <v>1935</v>
      </c>
      <c r="K1011" s="260" t="s">
        <v>3281</v>
      </c>
      <c r="L1011" s="258" t="s">
        <v>3536</v>
      </c>
      <c r="M1011" s="506">
        <v>67900000</v>
      </c>
      <c r="N1011" s="258">
        <v>0</v>
      </c>
      <c r="O1011" s="413" t="s">
        <v>1290</v>
      </c>
      <c r="P1011" s="413" t="s">
        <v>73</v>
      </c>
      <c r="Q1011" s="413" t="s">
        <v>72</v>
      </c>
      <c r="R1011" s="416">
        <v>5</v>
      </c>
      <c r="S1011" s="410">
        <v>3</v>
      </c>
      <c r="T1011" s="261">
        <v>6</v>
      </c>
      <c r="U1011" s="261">
        <v>6</v>
      </c>
      <c r="V1011" s="258" t="s">
        <v>1914</v>
      </c>
      <c r="W1011" s="261" t="str">
        <f t="shared" si="153"/>
        <v>MercedesBenzEQAEQA 250 일렉트릭 아트67900000</v>
      </c>
      <c r="X1011" s="411">
        <f t="shared" si="154"/>
        <v>4785</v>
      </c>
      <c r="Y1011" s="261">
        <v>6</v>
      </c>
      <c r="Z1011" s="261">
        <v>6</v>
      </c>
      <c r="AA1011" s="407" t="s">
        <v>1536</v>
      </c>
      <c r="AB1011" s="260" t="s">
        <v>73</v>
      </c>
      <c r="AC1011" s="260"/>
      <c r="AD1011" s="260">
        <v>7</v>
      </c>
      <c r="AE1011" s="260">
        <v>0</v>
      </c>
      <c r="AF1011" s="260"/>
      <c r="AG1011" s="260"/>
      <c r="AH1011" s="259"/>
      <c r="AI1011" s="260"/>
      <c r="AJ1011" s="260"/>
      <c r="AK1011" s="259">
        <v>26</v>
      </c>
      <c r="AL1011" s="259"/>
      <c r="AM1011" s="259" t="s">
        <v>3681</v>
      </c>
      <c r="AN1011" s="449"/>
      <c r="AO1011" s="449"/>
      <c r="AP1011" s="449"/>
      <c r="AQ1011" s="392" t="str">
        <f>IFERROR(VLOOKUP(BG1011,#REF!,1,0),"")</f>
        <v/>
      </c>
      <c r="AR1011" s="392"/>
      <c r="AS1011" s="259" t="s">
        <v>1959</v>
      </c>
      <c r="AT1011" s="392"/>
      <c r="AU1011" s="392"/>
      <c r="AV1011" s="392"/>
      <c r="AW1011" s="392"/>
      <c r="AX1011" s="392"/>
      <c r="AY1011" s="392"/>
      <c r="BD1011" s="202" t="str">
        <f t="shared" si="146"/>
        <v>EQAEQA 250 일렉트릭 아트</v>
      </c>
      <c r="BE1011" s="261" t="str">
        <f t="shared" si="152"/>
        <v>0128</v>
      </c>
      <c r="BF1011" s="407" t="s">
        <v>1536</v>
      </c>
      <c r="BG1011" s="202" t="str">
        <f t="shared" si="147"/>
        <v>0128-1010</v>
      </c>
    </row>
    <row r="1012" spans="1:59" s="207" customFormat="1">
      <c r="A1012" s="405">
        <v>4786</v>
      </c>
      <c r="B1012" s="406">
        <v>4786</v>
      </c>
      <c r="C1012" s="261" t="str">
        <f t="shared" si="148"/>
        <v>0025-0129</v>
      </c>
      <c r="D1012" s="261" t="str">
        <f t="shared" si="149"/>
        <v>0025-0129-0001</v>
      </c>
      <c r="E1012" s="407" t="s">
        <v>1537</v>
      </c>
      <c r="F1012" s="261" t="str">
        <f>TEXT(VLOOKUP(J1012,'[3]1'!$B$2:$D$37,2,0),"0000")</f>
        <v>0025</v>
      </c>
      <c r="G1012" s="261" t="str">
        <f t="shared" si="150"/>
        <v>0129</v>
      </c>
      <c r="H1012" s="408">
        <f t="shared" si="151"/>
        <v>1</v>
      </c>
      <c r="I1012" s="407" t="s">
        <v>1537</v>
      </c>
      <c r="J1012" s="260" t="s">
        <v>1935</v>
      </c>
      <c r="K1012" s="260" t="s">
        <v>3202</v>
      </c>
      <c r="L1012" s="258" t="s">
        <v>3203</v>
      </c>
      <c r="M1012" s="430">
        <v>79200000</v>
      </c>
      <c r="N1012" s="258">
        <v>0</v>
      </c>
      <c r="O1012" s="413" t="s">
        <v>3204</v>
      </c>
      <c r="P1012" s="413" t="s">
        <v>73</v>
      </c>
      <c r="Q1012" s="413" t="s">
        <v>72</v>
      </c>
      <c r="R1012" s="416">
        <v>5</v>
      </c>
      <c r="S1012" s="410">
        <v>3</v>
      </c>
      <c r="T1012" s="261">
        <v>6</v>
      </c>
      <c r="U1012" s="261">
        <v>6</v>
      </c>
      <c r="V1012" s="258" t="s">
        <v>1914</v>
      </c>
      <c r="W1012" s="261" t="str">
        <f t="shared" si="153"/>
        <v>MercedesBenzEQB300 4MATIC AMG Line(KRC)79200000</v>
      </c>
      <c r="X1012" s="411">
        <f t="shared" si="154"/>
        <v>4786</v>
      </c>
      <c r="Y1012" s="261">
        <v>6</v>
      </c>
      <c r="Z1012" s="261">
        <v>6</v>
      </c>
      <c r="AA1012" s="407" t="s">
        <v>1537</v>
      </c>
      <c r="AB1012" s="260" t="s">
        <v>73</v>
      </c>
      <c r="AC1012" s="260"/>
      <c r="AD1012" s="260">
        <v>7</v>
      </c>
      <c r="AE1012" s="260">
        <v>0</v>
      </c>
      <c r="AF1012" s="260"/>
      <c r="AG1012" s="260"/>
      <c r="AH1012" s="259"/>
      <c r="AI1012" s="260"/>
      <c r="AJ1012" s="260"/>
      <c r="AK1012" s="259">
        <v>26</v>
      </c>
      <c r="AL1012" s="259"/>
      <c r="AM1012" s="259" t="s">
        <v>3681</v>
      </c>
      <c r="AN1012" s="449"/>
      <c r="AO1012" s="449"/>
      <c r="AP1012" s="449"/>
      <c r="AQ1012" s="392" t="str">
        <f>IFERROR(VLOOKUP(BG1012,#REF!,1,0),"")</f>
        <v/>
      </c>
      <c r="AR1012" s="392"/>
      <c r="AS1012" s="259" t="s">
        <v>3237</v>
      </c>
      <c r="AT1012" s="392" t="s">
        <v>3179</v>
      </c>
      <c r="AU1012" s="392"/>
      <c r="AV1012" s="392"/>
      <c r="AW1012" s="392" t="s">
        <v>1914</v>
      </c>
      <c r="AX1012" s="392"/>
      <c r="AY1012" s="392"/>
      <c r="BD1012" s="202" t="str">
        <f t="shared" si="146"/>
        <v>EQB300 4MATIC AMG Line(KRC)</v>
      </c>
      <c r="BE1012" s="261" t="str">
        <f t="shared" si="152"/>
        <v>0129</v>
      </c>
      <c r="BF1012" s="407" t="s">
        <v>1537</v>
      </c>
      <c r="BG1012" s="202" t="str">
        <f t="shared" si="147"/>
        <v>0129-1011</v>
      </c>
    </row>
    <row r="1013" spans="1:59" s="207" customFormat="1">
      <c r="A1013" s="405">
        <v>4787</v>
      </c>
      <c r="B1013" s="406">
        <v>4787</v>
      </c>
      <c r="C1013" s="261" t="str">
        <f t="shared" si="148"/>
        <v>0025-0130</v>
      </c>
      <c r="D1013" s="261" t="str">
        <f t="shared" si="149"/>
        <v>0025-0130-0001</v>
      </c>
      <c r="E1013" s="407" t="s">
        <v>1538</v>
      </c>
      <c r="F1013" s="261" t="str">
        <f>TEXT(VLOOKUP(J1013,'[3]1'!$B$2:$D$37,2,0),"0000")</f>
        <v>0025</v>
      </c>
      <c r="G1013" s="261" t="str">
        <f t="shared" si="150"/>
        <v>0130</v>
      </c>
      <c r="H1013" s="408">
        <f t="shared" si="151"/>
        <v>1</v>
      </c>
      <c r="I1013" s="407" t="s">
        <v>1538</v>
      </c>
      <c r="J1013" s="413" t="s">
        <v>1935</v>
      </c>
      <c r="K1013" s="413" t="s">
        <v>3219</v>
      </c>
      <c r="L1013" s="413">
        <v>300</v>
      </c>
      <c r="M1013" s="409">
        <v>101600000</v>
      </c>
      <c r="N1013" s="416">
        <v>0</v>
      </c>
      <c r="O1013" s="413" t="s">
        <v>1290</v>
      </c>
      <c r="P1013" s="413" t="s">
        <v>73</v>
      </c>
      <c r="Q1013" s="413" t="s">
        <v>72</v>
      </c>
      <c r="R1013" s="416">
        <v>5</v>
      </c>
      <c r="S1013" s="410">
        <v>6</v>
      </c>
      <c r="T1013" s="261">
        <v>6</v>
      </c>
      <c r="U1013" s="261">
        <v>6</v>
      </c>
      <c r="V1013" s="258" t="s">
        <v>1914</v>
      </c>
      <c r="W1013" s="261" t="str">
        <f t="shared" si="153"/>
        <v>MercedesBenzEQE300101600000</v>
      </c>
      <c r="X1013" s="411">
        <f t="shared" si="154"/>
        <v>4787</v>
      </c>
      <c r="Y1013" s="261">
        <v>6</v>
      </c>
      <c r="Z1013" s="261">
        <v>6</v>
      </c>
      <c r="AA1013" s="407" t="s">
        <v>1538</v>
      </c>
      <c r="AB1013" s="260" t="s">
        <v>73</v>
      </c>
      <c r="AC1013" s="260"/>
      <c r="AD1013" s="260">
        <v>7</v>
      </c>
      <c r="AE1013" s="260">
        <v>0</v>
      </c>
      <c r="AF1013" s="260"/>
      <c r="AG1013" s="260"/>
      <c r="AH1013" s="259"/>
      <c r="AI1013" s="260"/>
      <c r="AJ1013" s="260"/>
      <c r="AK1013" s="259">
        <v>26</v>
      </c>
      <c r="AL1013" s="259"/>
      <c r="AM1013" s="259" t="s">
        <v>3681</v>
      </c>
      <c r="AN1013" s="449"/>
      <c r="AO1013" s="449"/>
      <c r="AP1013" s="449"/>
      <c r="AQ1013" s="392" t="str">
        <f>IFERROR(VLOOKUP(BG1013,#REF!,1,0),"")</f>
        <v/>
      </c>
      <c r="AR1013" s="392"/>
      <c r="AS1013" s="259" t="s">
        <v>150</v>
      </c>
      <c r="AT1013" s="392">
        <v>2024.04</v>
      </c>
      <c r="AU1013" s="392"/>
      <c r="AV1013" s="392"/>
      <c r="AW1013" s="392"/>
      <c r="AX1013" s="392"/>
      <c r="AY1013" s="392"/>
      <c r="BD1013" s="202" t="str">
        <f t="shared" si="146"/>
        <v>EQE300</v>
      </c>
      <c r="BE1013" s="261" t="str">
        <f t="shared" si="152"/>
        <v>0130</v>
      </c>
      <c r="BF1013" s="407" t="s">
        <v>1538</v>
      </c>
      <c r="BG1013" s="202" t="str">
        <f t="shared" si="147"/>
        <v>0130-1012</v>
      </c>
    </row>
    <row r="1014" spans="1:59" s="207" customFormat="1">
      <c r="A1014" s="405">
        <v>4788</v>
      </c>
      <c r="B1014" s="406">
        <v>4788</v>
      </c>
      <c r="C1014" s="261" t="str">
        <f t="shared" si="148"/>
        <v>0025-0130</v>
      </c>
      <c r="D1014" s="261" t="str">
        <f t="shared" si="149"/>
        <v>0025-0130-0002</v>
      </c>
      <c r="E1014" s="407" t="s">
        <v>1539</v>
      </c>
      <c r="F1014" s="261" t="str">
        <f>TEXT(VLOOKUP(J1014,'[3]1'!$B$2:$D$37,2,0),"0000")</f>
        <v>0025</v>
      </c>
      <c r="G1014" s="261" t="str">
        <f t="shared" si="150"/>
        <v>0130</v>
      </c>
      <c r="H1014" s="408">
        <f t="shared" si="151"/>
        <v>2</v>
      </c>
      <c r="I1014" s="407" t="s">
        <v>1539</v>
      </c>
      <c r="J1014" s="413" t="s">
        <v>1935</v>
      </c>
      <c r="K1014" s="413" t="s">
        <v>3219</v>
      </c>
      <c r="L1014" s="413" t="s">
        <v>3220</v>
      </c>
      <c r="M1014" s="409">
        <v>101600000</v>
      </c>
      <c r="N1014" s="416">
        <v>0</v>
      </c>
      <c r="O1014" s="413" t="s">
        <v>1290</v>
      </c>
      <c r="P1014" s="413" t="s">
        <v>73</v>
      </c>
      <c r="Q1014" s="413" t="s">
        <v>72</v>
      </c>
      <c r="R1014" s="416">
        <v>5</v>
      </c>
      <c r="S1014" s="410">
        <v>6</v>
      </c>
      <c r="T1014" s="261">
        <v>6</v>
      </c>
      <c r="U1014" s="261">
        <v>6</v>
      </c>
      <c r="V1014" s="258" t="s">
        <v>1914</v>
      </c>
      <c r="W1014" s="261" t="str">
        <f t="shared" si="153"/>
        <v>MercedesBenzEQE350+101600000</v>
      </c>
      <c r="X1014" s="411">
        <f t="shared" si="154"/>
        <v>4788</v>
      </c>
      <c r="Y1014" s="261">
        <v>6</v>
      </c>
      <c r="Z1014" s="261">
        <v>6</v>
      </c>
      <c r="AA1014" s="407" t="s">
        <v>1539</v>
      </c>
      <c r="AB1014" s="260" t="s">
        <v>73</v>
      </c>
      <c r="AC1014" s="260"/>
      <c r="AD1014" s="260">
        <v>7</v>
      </c>
      <c r="AE1014" s="260">
        <v>0</v>
      </c>
      <c r="AF1014" s="260"/>
      <c r="AG1014" s="260"/>
      <c r="AH1014" s="259"/>
      <c r="AI1014" s="260"/>
      <c r="AJ1014" s="260"/>
      <c r="AK1014" s="259">
        <v>26</v>
      </c>
      <c r="AL1014" s="259"/>
      <c r="AM1014" s="259" t="s">
        <v>3681</v>
      </c>
      <c r="AN1014" s="449"/>
      <c r="AO1014" s="449"/>
      <c r="AP1014" s="449"/>
      <c r="AQ1014" s="392" t="str">
        <f>IFERROR(VLOOKUP(BG1014,#REF!,1,0),"")</f>
        <v/>
      </c>
      <c r="AR1014" s="392"/>
      <c r="AS1014" s="259" t="s">
        <v>150</v>
      </c>
      <c r="AT1014" s="392" t="s">
        <v>3221</v>
      </c>
      <c r="AU1014" s="392"/>
      <c r="AV1014" s="392"/>
      <c r="AW1014" s="392"/>
      <c r="AX1014" s="392"/>
      <c r="AY1014" s="392"/>
      <c r="BD1014" s="202" t="str">
        <f t="shared" si="146"/>
        <v>EQE350+</v>
      </c>
      <c r="BE1014" s="261" t="str">
        <f t="shared" si="152"/>
        <v>0130</v>
      </c>
      <c r="BF1014" s="407" t="s">
        <v>1539</v>
      </c>
      <c r="BG1014" s="202" t="str">
        <f t="shared" si="147"/>
        <v>0130-1013</v>
      </c>
    </row>
    <row r="1015" spans="1:59" s="207" customFormat="1">
      <c r="A1015" s="405">
        <v>4789</v>
      </c>
      <c r="B1015" s="406">
        <v>4789</v>
      </c>
      <c r="C1015" s="261" t="str">
        <f t="shared" si="148"/>
        <v>0025-0130</v>
      </c>
      <c r="D1015" s="261" t="str">
        <f t="shared" si="149"/>
        <v>0025-0130-0003</v>
      </c>
      <c r="E1015" s="407" t="s">
        <v>1540</v>
      </c>
      <c r="F1015" s="261" t="str">
        <f>TEXT(VLOOKUP(J1015,'[3]1'!$B$2:$D$37,2,0),"0000")</f>
        <v>0025</v>
      </c>
      <c r="G1015" s="261" t="str">
        <f t="shared" si="150"/>
        <v>0130</v>
      </c>
      <c r="H1015" s="408">
        <f t="shared" si="151"/>
        <v>3</v>
      </c>
      <c r="I1015" s="407" t="s">
        <v>1540</v>
      </c>
      <c r="J1015" s="413" t="s">
        <v>1935</v>
      </c>
      <c r="K1015" s="413" t="s">
        <v>3219</v>
      </c>
      <c r="L1015" s="413" t="s">
        <v>3275</v>
      </c>
      <c r="M1015" s="409">
        <v>101600000</v>
      </c>
      <c r="N1015" s="416">
        <v>0</v>
      </c>
      <c r="O1015" s="413" t="s">
        <v>1290</v>
      </c>
      <c r="P1015" s="413" t="s">
        <v>73</v>
      </c>
      <c r="Q1015" s="413" t="s">
        <v>72</v>
      </c>
      <c r="R1015" s="416">
        <v>5</v>
      </c>
      <c r="S1015" s="410">
        <v>6</v>
      </c>
      <c r="T1015" s="261">
        <v>6</v>
      </c>
      <c r="U1015" s="261">
        <v>6</v>
      </c>
      <c r="V1015" s="258" t="s">
        <v>1914</v>
      </c>
      <c r="W1015" s="261" t="str">
        <f t="shared" si="153"/>
        <v>MercedesBenzEQE350+ 4m101600000</v>
      </c>
      <c r="X1015" s="411">
        <f t="shared" si="154"/>
        <v>4789</v>
      </c>
      <c r="Y1015" s="261">
        <v>6</v>
      </c>
      <c r="Z1015" s="261">
        <v>6</v>
      </c>
      <c r="AA1015" s="407" t="s">
        <v>1540</v>
      </c>
      <c r="AB1015" s="260" t="s">
        <v>73</v>
      </c>
      <c r="AC1015" s="260"/>
      <c r="AD1015" s="260">
        <v>7</v>
      </c>
      <c r="AE1015" s="260">
        <v>0</v>
      </c>
      <c r="AF1015" s="260"/>
      <c r="AG1015" s="260"/>
      <c r="AH1015" s="259"/>
      <c r="AI1015" s="260"/>
      <c r="AJ1015" s="260"/>
      <c r="AK1015" s="259">
        <v>26</v>
      </c>
      <c r="AL1015" s="259"/>
      <c r="AM1015" s="259" t="s">
        <v>3681</v>
      </c>
      <c r="AN1015" s="449"/>
      <c r="AO1015" s="449"/>
      <c r="AP1015" s="449"/>
      <c r="AQ1015" s="392" t="str">
        <f>IFERROR(VLOOKUP(BG1015,#REF!,1,0),"")</f>
        <v/>
      </c>
      <c r="AR1015" s="392"/>
      <c r="AS1015" s="259" t="s">
        <v>150</v>
      </c>
      <c r="AT1015" s="392"/>
      <c r="AU1015" s="392"/>
      <c r="AV1015" s="392"/>
      <c r="AW1015" s="392"/>
      <c r="AX1015" s="392"/>
      <c r="AY1015" s="392"/>
      <c r="BD1015" s="202" t="str">
        <f t="shared" si="146"/>
        <v>EQE350+ 4m</v>
      </c>
      <c r="BE1015" s="261" t="str">
        <f t="shared" si="152"/>
        <v>0130</v>
      </c>
      <c r="BF1015" s="407" t="s">
        <v>1540</v>
      </c>
      <c r="BG1015" s="202" t="str">
        <f t="shared" si="147"/>
        <v>0130-1014</v>
      </c>
    </row>
    <row r="1016" spans="1:59" s="207" customFormat="1">
      <c r="A1016" s="405">
        <v>4790</v>
      </c>
      <c r="B1016" s="406">
        <v>4790</v>
      </c>
      <c r="C1016" s="261" t="str">
        <f t="shared" si="148"/>
        <v>0025-0130</v>
      </c>
      <c r="D1016" s="261" t="str">
        <f t="shared" si="149"/>
        <v>0025-0130-0004</v>
      </c>
      <c r="E1016" s="407" t="s">
        <v>1541</v>
      </c>
      <c r="F1016" s="261" t="str">
        <f>TEXT(VLOOKUP(J1016,'[3]1'!$B$2:$D$37,2,0),"0000")</f>
        <v>0025</v>
      </c>
      <c r="G1016" s="261" t="str">
        <f t="shared" si="150"/>
        <v>0130</v>
      </c>
      <c r="H1016" s="408">
        <f t="shared" si="151"/>
        <v>4</v>
      </c>
      <c r="I1016" s="407" t="s">
        <v>1541</v>
      </c>
      <c r="J1016" s="413" t="s">
        <v>1935</v>
      </c>
      <c r="K1016" s="413" t="s">
        <v>3219</v>
      </c>
      <c r="L1016" s="413" t="s">
        <v>3336</v>
      </c>
      <c r="M1016" s="409">
        <v>143800000</v>
      </c>
      <c r="N1016" s="416">
        <v>0</v>
      </c>
      <c r="O1016" s="413" t="s">
        <v>1290</v>
      </c>
      <c r="P1016" s="413" t="s">
        <v>73</v>
      </c>
      <c r="Q1016" s="413" t="s">
        <v>72</v>
      </c>
      <c r="R1016" s="416">
        <v>5</v>
      </c>
      <c r="S1016" s="410">
        <v>9</v>
      </c>
      <c r="T1016" s="261">
        <v>6</v>
      </c>
      <c r="U1016" s="261">
        <v>6</v>
      </c>
      <c r="V1016" s="258" t="s">
        <v>1969</v>
      </c>
      <c r="W1016" s="261" t="str">
        <f t="shared" si="153"/>
        <v>MercedesBenzEQE53 4m143800000</v>
      </c>
      <c r="X1016" s="411">
        <f t="shared" si="154"/>
        <v>4790</v>
      </c>
      <c r="Y1016" s="261">
        <v>6</v>
      </c>
      <c r="Z1016" s="261">
        <v>6</v>
      </c>
      <c r="AA1016" s="407" t="s">
        <v>1541</v>
      </c>
      <c r="AB1016" s="260" t="s">
        <v>73</v>
      </c>
      <c r="AC1016" s="260"/>
      <c r="AD1016" s="260">
        <v>7</v>
      </c>
      <c r="AE1016" s="260">
        <v>0</v>
      </c>
      <c r="AF1016" s="260"/>
      <c r="AG1016" s="260"/>
      <c r="AH1016" s="259"/>
      <c r="AI1016" s="260"/>
      <c r="AJ1016" s="260"/>
      <c r="AK1016" s="259">
        <v>26</v>
      </c>
      <c r="AL1016" s="259"/>
      <c r="AM1016" s="259" t="s">
        <v>3681</v>
      </c>
      <c r="AN1016" s="449"/>
      <c r="AO1016" s="449"/>
      <c r="AP1016" s="449"/>
      <c r="AQ1016" s="392" t="str">
        <f>IFERROR(VLOOKUP(BG1016,#REF!,1,0),"")</f>
        <v/>
      </c>
      <c r="AR1016" s="392"/>
      <c r="AS1016" s="259" t="s">
        <v>3337</v>
      </c>
      <c r="AT1016" s="392">
        <v>2024.01</v>
      </c>
      <c r="AU1016" s="392"/>
      <c r="AV1016" s="392"/>
      <c r="AW1016" s="392"/>
      <c r="AX1016" s="392"/>
      <c r="AY1016" s="392"/>
      <c r="BD1016" s="202" t="str">
        <f t="shared" si="146"/>
        <v>EQE53 4m</v>
      </c>
      <c r="BE1016" s="261" t="str">
        <f t="shared" si="152"/>
        <v>0130</v>
      </c>
      <c r="BF1016" s="407" t="s">
        <v>1541</v>
      </c>
      <c r="BG1016" s="202" t="str">
        <f t="shared" si="147"/>
        <v>0130-1015</v>
      </c>
    </row>
    <row r="1017" spans="1:59" s="207" customFormat="1">
      <c r="A1017" s="405">
        <v>4791</v>
      </c>
      <c r="B1017" s="406">
        <v>4791</v>
      </c>
      <c r="C1017" s="261" t="str">
        <f t="shared" si="148"/>
        <v>0025-0131</v>
      </c>
      <c r="D1017" s="261" t="str">
        <f t="shared" si="149"/>
        <v>0025-0131-0001</v>
      </c>
      <c r="E1017" s="407" t="s">
        <v>1542</v>
      </c>
      <c r="F1017" s="261" t="str">
        <f>TEXT(VLOOKUP(J1017,'[3]1'!$B$2:$D$37,2,0),"0000")</f>
        <v>0025</v>
      </c>
      <c r="G1017" s="261" t="str">
        <f t="shared" si="150"/>
        <v>0131</v>
      </c>
      <c r="H1017" s="408">
        <f t="shared" si="151"/>
        <v>1</v>
      </c>
      <c r="I1017" s="407" t="s">
        <v>1542</v>
      </c>
      <c r="J1017" s="413" t="s">
        <v>1935</v>
      </c>
      <c r="K1017" s="413" t="s">
        <v>3325</v>
      </c>
      <c r="L1017" s="413" t="s">
        <v>3326</v>
      </c>
      <c r="M1017" s="409">
        <v>109900000</v>
      </c>
      <c r="N1017" s="416">
        <v>0</v>
      </c>
      <c r="O1017" s="413" t="s">
        <v>1290</v>
      </c>
      <c r="P1017" s="413" t="s">
        <v>73</v>
      </c>
      <c r="Q1017" s="413" t="s">
        <v>72</v>
      </c>
      <c r="R1017" s="416">
        <v>5</v>
      </c>
      <c r="S1017" s="410">
        <v>6</v>
      </c>
      <c r="T1017" s="261">
        <v>6</v>
      </c>
      <c r="U1017" s="261">
        <v>6</v>
      </c>
      <c r="V1017" s="258" t="s">
        <v>1914</v>
      </c>
      <c r="W1017" s="261" t="str">
        <f t="shared" si="153"/>
        <v>MercedesBenzEQE SUV350 4m109900000</v>
      </c>
      <c r="X1017" s="411">
        <f t="shared" si="154"/>
        <v>4791</v>
      </c>
      <c r="Y1017" s="261">
        <v>6</v>
      </c>
      <c r="Z1017" s="261">
        <v>6</v>
      </c>
      <c r="AA1017" s="407" t="s">
        <v>1542</v>
      </c>
      <c r="AB1017" s="260" t="s">
        <v>73</v>
      </c>
      <c r="AC1017" s="260"/>
      <c r="AD1017" s="260">
        <v>7</v>
      </c>
      <c r="AE1017" s="260">
        <v>0</v>
      </c>
      <c r="AF1017" s="260"/>
      <c r="AG1017" s="260"/>
      <c r="AH1017" s="259"/>
      <c r="AI1017" s="260"/>
      <c r="AJ1017" s="260"/>
      <c r="AK1017" s="259">
        <v>26</v>
      </c>
      <c r="AL1017" s="259"/>
      <c r="AM1017" s="259" t="s">
        <v>3681</v>
      </c>
      <c r="AN1017" s="449"/>
      <c r="AO1017" s="449"/>
      <c r="AP1017" s="449"/>
      <c r="AQ1017" s="392" t="str">
        <f>IFERROR(VLOOKUP(BG1017,#REF!,1,0),"")</f>
        <v/>
      </c>
      <c r="AR1017" s="392"/>
      <c r="AS1017" s="259" t="s">
        <v>150</v>
      </c>
      <c r="AT1017" s="392"/>
      <c r="AU1017" s="392"/>
      <c r="AV1017" s="392"/>
      <c r="AW1017" s="392"/>
      <c r="AX1017" s="392"/>
      <c r="AY1017" s="392"/>
      <c r="BD1017" s="202" t="str">
        <f t="shared" si="146"/>
        <v>EQE SUV350 4m</v>
      </c>
      <c r="BE1017" s="261" t="str">
        <f t="shared" si="152"/>
        <v>0131</v>
      </c>
      <c r="BF1017" s="407" t="s">
        <v>1542</v>
      </c>
      <c r="BG1017" s="202" t="str">
        <f t="shared" si="147"/>
        <v>0131-1016</v>
      </c>
    </row>
    <row r="1018" spans="1:59" s="207" customFormat="1">
      <c r="A1018" s="405">
        <v>4792</v>
      </c>
      <c r="B1018" s="406">
        <v>4792</v>
      </c>
      <c r="C1018" s="261" t="str">
        <f t="shared" si="148"/>
        <v>0025-0131</v>
      </c>
      <c r="D1018" s="261" t="str">
        <f t="shared" si="149"/>
        <v>0025-0131-0002</v>
      </c>
      <c r="E1018" s="407" t="s">
        <v>1543</v>
      </c>
      <c r="F1018" s="261" t="str">
        <f>TEXT(VLOOKUP(J1018,'[3]1'!$B$2:$D$37,2,0),"0000")</f>
        <v>0025</v>
      </c>
      <c r="G1018" s="261" t="str">
        <f t="shared" si="150"/>
        <v>0131</v>
      </c>
      <c r="H1018" s="408">
        <f t="shared" si="151"/>
        <v>2</v>
      </c>
      <c r="I1018" s="407" t="s">
        <v>1543</v>
      </c>
      <c r="J1018" s="413" t="s">
        <v>1935</v>
      </c>
      <c r="K1018" s="413" t="s">
        <v>3325</v>
      </c>
      <c r="L1018" s="413" t="s">
        <v>3327</v>
      </c>
      <c r="M1018" s="409">
        <v>128000000</v>
      </c>
      <c r="N1018" s="416">
        <v>0</v>
      </c>
      <c r="O1018" s="413" t="s">
        <v>1290</v>
      </c>
      <c r="P1018" s="413" t="s">
        <v>73</v>
      </c>
      <c r="Q1018" s="413" t="s">
        <v>72</v>
      </c>
      <c r="R1018" s="416">
        <v>5</v>
      </c>
      <c r="S1018" s="410">
        <v>6</v>
      </c>
      <c r="T1018" s="261">
        <v>6</v>
      </c>
      <c r="U1018" s="261">
        <v>6</v>
      </c>
      <c r="V1018" s="258" t="s">
        <v>1914</v>
      </c>
      <c r="W1018" s="261" t="str">
        <f t="shared" si="153"/>
        <v>MercedesBenzEQE SUV500 4m128000000</v>
      </c>
      <c r="X1018" s="411">
        <f t="shared" si="154"/>
        <v>4792</v>
      </c>
      <c r="Y1018" s="261">
        <v>6</v>
      </c>
      <c r="Z1018" s="261">
        <v>6</v>
      </c>
      <c r="AA1018" s="407" t="s">
        <v>1543</v>
      </c>
      <c r="AB1018" s="260" t="s">
        <v>73</v>
      </c>
      <c r="AC1018" s="260"/>
      <c r="AD1018" s="260">
        <v>7</v>
      </c>
      <c r="AE1018" s="260">
        <v>0</v>
      </c>
      <c r="AF1018" s="260"/>
      <c r="AG1018" s="260"/>
      <c r="AH1018" s="259"/>
      <c r="AI1018" s="260"/>
      <c r="AJ1018" s="260"/>
      <c r="AK1018" s="259">
        <v>26</v>
      </c>
      <c r="AL1018" s="259"/>
      <c r="AM1018" s="259" t="s">
        <v>3681</v>
      </c>
      <c r="AN1018" s="449"/>
      <c r="AO1018" s="449"/>
      <c r="AP1018" s="449"/>
      <c r="AQ1018" s="392" t="str">
        <f>IFERROR(VLOOKUP(BG1018,#REF!,1,0),"")</f>
        <v/>
      </c>
      <c r="AR1018" s="392"/>
      <c r="AS1018" s="259" t="s">
        <v>150</v>
      </c>
      <c r="AT1018" s="392"/>
      <c r="AU1018" s="392"/>
      <c r="AV1018" s="392"/>
      <c r="AW1018" s="392"/>
      <c r="AX1018" s="392"/>
      <c r="AY1018" s="392"/>
      <c r="BD1018" s="202" t="str">
        <f t="shared" si="146"/>
        <v>EQE SUV500 4m</v>
      </c>
      <c r="BE1018" s="261" t="str">
        <f t="shared" si="152"/>
        <v>0131</v>
      </c>
      <c r="BF1018" s="407" t="s">
        <v>1543</v>
      </c>
      <c r="BG1018" s="202" t="str">
        <f t="shared" si="147"/>
        <v>0131-1017</v>
      </c>
    </row>
    <row r="1019" spans="1:59" s="207" customFormat="1">
      <c r="A1019" s="405">
        <v>4793</v>
      </c>
      <c r="B1019" s="406">
        <v>4793</v>
      </c>
      <c r="C1019" s="261" t="str">
        <f t="shared" si="148"/>
        <v>0025-0132</v>
      </c>
      <c r="D1019" s="261" t="str">
        <f t="shared" si="149"/>
        <v>0025-0132-0001</v>
      </c>
      <c r="E1019" s="407" t="s">
        <v>1544</v>
      </c>
      <c r="F1019" s="261" t="str">
        <f>TEXT(VLOOKUP(J1019,'[3]1'!$B$2:$D$37,2,0),"0000")</f>
        <v>0025</v>
      </c>
      <c r="G1019" s="261" t="str">
        <f t="shared" si="150"/>
        <v>0132</v>
      </c>
      <c r="H1019" s="408">
        <f t="shared" si="151"/>
        <v>1</v>
      </c>
      <c r="I1019" s="407" t="s">
        <v>1544</v>
      </c>
      <c r="J1019" s="413" t="s">
        <v>1935</v>
      </c>
      <c r="K1019" s="413" t="s">
        <v>3323</v>
      </c>
      <c r="L1019" s="413" t="s">
        <v>3276</v>
      </c>
      <c r="M1019" s="409">
        <v>185400000</v>
      </c>
      <c r="N1019" s="416">
        <v>0</v>
      </c>
      <c r="O1019" s="413" t="s">
        <v>1290</v>
      </c>
      <c r="P1019" s="413" t="s">
        <v>73</v>
      </c>
      <c r="Q1019" s="413" t="s">
        <v>72</v>
      </c>
      <c r="R1019" s="416">
        <v>7</v>
      </c>
      <c r="S1019" s="410">
        <v>6</v>
      </c>
      <c r="T1019" s="261">
        <v>6</v>
      </c>
      <c r="U1019" s="261">
        <v>6</v>
      </c>
      <c r="V1019" s="258" t="s">
        <v>1969</v>
      </c>
      <c r="W1019" s="261" t="str">
        <f t="shared" si="153"/>
        <v>MercedesBenzEQS SUVEQS 580 4Matic185400000</v>
      </c>
      <c r="X1019" s="411">
        <f t="shared" si="154"/>
        <v>4793</v>
      </c>
      <c r="Y1019" s="261">
        <v>6</v>
      </c>
      <c r="Z1019" s="261">
        <v>6</v>
      </c>
      <c r="AA1019" s="407" t="s">
        <v>1544</v>
      </c>
      <c r="AB1019" s="260" t="s">
        <v>73</v>
      </c>
      <c r="AC1019" s="260"/>
      <c r="AD1019" s="260">
        <v>7</v>
      </c>
      <c r="AE1019" s="260">
        <v>0</v>
      </c>
      <c r="AF1019" s="260"/>
      <c r="AG1019" s="260"/>
      <c r="AH1019" s="259"/>
      <c r="AI1019" s="260"/>
      <c r="AJ1019" s="260"/>
      <c r="AK1019" s="259">
        <v>26</v>
      </c>
      <c r="AL1019" s="259"/>
      <c r="AM1019" s="259" t="s">
        <v>3681</v>
      </c>
      <c r="AN1019" s="449"/>
      <c r="AO1019" s="449"/>
      <c r="AP1019" s="449"/>
      <c r="AQ1019" s="392" t="str">
        <f>IFERROR(VLOOKUP(BG1019,#REF!,1,0),"")</f>
        <v/>
      </c>
      <c r="AR1019" s="392"/>
      <c r="AS1019" s="259" t="s">
        <v>150</v>
      </c>
      <c r="AT1019" s="392"/>
      <c r="AU1019" s="392"/>
      <c r="AV1019" s="392"/>
      <c r="AW1019" s="392"/>
      <c r="AX1019" s="392"/>
      <c r="AY1019" s="392"/>
      <c r="BD1019" s="202" t="str">
        <f t="shared" si="146"/>
        <v>EQS SUVEQS 580 4Matic</v>
      </c>
      <c r="BE1019" s="261" t="str">
        <f t="shared" si="152"/>
        <v>0132</v>
      </c>
      <c r="BF1019" s="407" t="s">
        <v>1544</v>
      </c>
      <c r="BG1019" s="202" t="str">
        <f t="shared" si="147"/>
        <v>0132-1018</v>
      </c>
    </row>
    <row r="1020" spans="1:59" s="207" customFormat="1">
      <c r="A1020" s="405">
        <v>4794</v>
      </c>
      <c r="B1020" s="406">
        <v>4794</v>
      </c>
      <c r="C1020" s="261" t="str">
        <f t="shared" si="148"/>
        <v>0025-0132</v>
      </c>
      <c r="D1020" s="261" t="str">
        <f t="shared" si="149"/>
        <v>0025-0132-0002</v>
      </c>
      <c r="E1020" s="407" t="s">
        <v>1545</v>
      </c>
      <c r="F1020" s="261" t="str">
        <f>TEXT(VLOOKUP(J1020,'[3]1'!$B$2:$D$37,2,0),"0000")</f>
        <v>0025</v>
      </c>
      <c r="G1020" s="261" t="str">
        <f t="shared" si="150"/>
        <v>0132</v>
      </c>
      <c r="H1020" s="408">
        <f t="shared" si="151"/>
        <v>2</v>
      </c>
      <c r="I1020" s="407" t="s">
        <v>1545</v>
      </c>
      <c r="J1020" s="413" t="s">
        <v>1935</v>
      </c>
      <c r="K1020" s="413" t="s">
        <v>3323</v>
      </c>
      <c r="L1020" s="413" t="s">
        <v>3277</v>
      </c>
      <c r="M1020" s="409">
        <v>152700000</v>
      </c>
      <c r="N1020" s="416">
        <v>0</v>
      </c>
      <c r="O1020" s="413" t="s">
        <v>2117</v>
      </c>
      <c r="P1020" s="413" t="s">
        <v>73</v>
      </c>
      <c r="Q1020" s="413" t="s">
        <v>72</v>
      </c>
      <c r="R1020" s="416">
        <v>5</v>
      </c>
      <c r="S1020" s="410">
        <v>6</v>
      </c>
      <c r="T1020" s="261">
        <v>6</v>
      </c>
      <c r="U1020" s="261">
        <v>6</v>
      </c>
      <c r="V1020" s="258" t="s">
        <v>1969</v>
      </c>
      <c r="W1020" s="261" t="str">
        <f t="shared" si="153"/>
        <v>MercedesBenzEQS SUVEQS 450 4Matic152700000</v>
      </c>
      <c r="X1020" s="411">
        <f t="shared" si="154"/>
        <v>4794</v>
      </c>
      <c r="Y1020" s="261">
        <v>6</v>
      </c>
      <c r="Z1020" s="261">
        <v>6</v>
      </c>
      <c r="AA1020" s="407" t="s">
        <v>1545</v>
      </c>
      <c r="AB1020" s="260" t="s">
        <v>73</v>
      </c>
      <c r="AC1020" s="260"/>
      <c r="AD1020" s="260">
        <v>7</v>
      </c>
      <c r="AE1020" s="260">
        <v>0</v>
      </c>
      <c r="AF1020" s="260"/>
      <c r="AG1020" s="260"/>
      <c r="AH1020" s="259"/>
      <c r="AI1020" s="260"/>
      <c r="AJ1020" s="260"/>
      <c r="AK1020" s="259">
        <v>26</v>
      </c>
      <c r="AL1020" s="259"/>
      <c r="AM1020" s="259" t="s">
        <v>3681</v>
      </c>
      <c r="AN1020" s="449"/>
      <c r="AO1020" s="449"/>
      <c r="AP1020" s="449"/>
      <c r="AQ1020" s="392" t="str">
        <f>IFERROR(VLOOKUP(BG1020,#REF!,1,0),"")</f>
        <v/>
      </c>
      <c r="AR1020" s="392"/>
      <c r="AS1020" s="259" t="s">
        <v>150</v>
      </c>
      <c r="AT1020" s="392"/>
      <c r="AU1020" s="392"/>
      <c r="AV1020" s="392"/>
      <c r="AW1020" s="392"/>
      <c r="AX1020" s="392"/>
      <c r="AY1020" s="392"/>
      <c r="AZ1020" s="202"/>
      <c r="BA1020" s="202"/>
      <c r="BD1020" s="202" t="str">
        <f t="shared" si="146"/>
        <v>EQS SUVEQS 450 4Matic</v>
      </c>
      <c r="BE1020" s="261" t="str">
        <f t="shared" si="152"/>
        <v>0132</v>
      </c>
      <c r="BF1020" s="407" t="s">
        <v>1545</v>
      </c>
      <c r="BG1020" s="202" t="str">
        <f t="shared" si="147"/>
        <v>0132-1019</v>
      </c>
    </row>
    <row r="1021" spans="1:59" s="207" customFormat="1">
      <c r="A1021" s="405">
        <v>4795</v>
      </c>
      <c r="B1021" s="406">
        <v>4795</v>
      </c>
      <c r="C1021" s="261" t="str">
        <f t="shared" si="148"/>
        <v>0025-0133</v>
      </c>
      <c r="D1021" s="261" t="str">
        <f t="shared" si="149"/>
        <v>0025-0133-0001</v>
      </c>
      <c r="E1021" s="407" t="s">
        <v>3924</v>
      </c>
      <c r="F1021" s="261" t="str">
        <f>TEXT(VLOOKUP(J1021,'[3]1'!$B$2:$D$37,2,0),"0000")</f>
        <v>0025</v>
      </c>
      <c r="G1021" s="261" t="str">
        <f t="shared" si="150"/>
        <v>0133</v>
      </c>
      <c r="H1021" s="408">
        <f t="shared" si="151"/>
        <v>1</v>
      </c>
      <c r="I1021" s="407" t="s">
        <v>3924</v>
      </c>
      <c r="J1021" s="413" t="s">
        <v>1935</v>
      </c>
      <c r="K1021" s="413" t="s">
        <v>3174</v>
      </c>
      <c r="L1021" s="413" t="s">
        <v>3702</v>
      </c>
      <c r="M1021" s="409">
        <v>177000000</v>
      </c>
      <c r="N1021" s="416">
        <v>0</v>
      </c>
      <c r="O1021" s="413" t="s">
        <v>2117</v>
      </c>
      <c r="P1021" s="413" t="s">
        <v>73</v>
      </c>
      <c r="Q1021" s="413" t="s">
        <v>72</v>
      </c>
      <c r="R1021" s="416">
        <v>5</v>
      </c>
      <c r="S1021" s="410">
        <v>6</v>
      </c>
      <c r="T1021" s="261">
        <v>6</v>
      </c>
      <c r="U1021" s="261">
        <v>6</v>
      </c>
      <c r="V1021" s="258" t="s">
        <v>1969</v>
      </c>
      <c r="W1021" s="261" t="str">
        <f t="shared" si="153"/>
        <v>MercedesBenzEQSEQS450+ AMG Line177000000</v>
      </c>
      <c r="X1021" s="411">
        <f t="shared" si="154"/>
        <v>4795</v>
      </c>
      <c r="Y1021" s="261">
        <v>6</v>
      </c>
      <c r="Z1021" s="261">
        <v>6</v>
      </c>
      <c r="AA1021" s="407" t="s">
        <v>3924</v>
      </c>
      <c r="AB1021" s="260" t="s">
        <v>73</v>
      </c>
      <c r="AC1021" s="260"/>
      <c r="AD1021" s="260">
        <v>7</v>
      </c>
      <c r="AE1021" s="260">
        <v>0</v>
      </c>
      <c r="AF1021" s="260"/>
      <c r="AG1021" s="260"/>
      <c r="AH1021" s="259"/>
      <c r="AI1021" s="260"/>
      <c r="AJ1021" s="260"/>
      <c r="AK1021" s="259">
        <v>26</v>
      </c>
      <c r="AL1021" s="259"/>
      <c r="AM1021" s="259" t="s">
        <v>3681</v>
      </c>
      <c r="AN1021" s="449"/>
      <c r="AO1021" s="449"/>
      <c r="AP1021" s="449"/>
      <c r="AQ1021" s="392" t="str">
        <f>IFERROR(VLOOKUP(BG1021,#REF!,1,0),"")</f>
        <v/>
      </c>
      <c r="AR1021" s="392"/>
      <c r="AS1021" s="259" t="s">
        <v>150</v>
      </c>
      <c r="AT1021" s="392" t="s">
        <v>3171</v>
      </c>
      <c r="AU1021" s="392"/>
      <c r="AV1021" s="392"/>
      <c r="AW1021" s="392"/>
      <c r="AX1021" s="392"/>
      <c r="AY1021" s="392"/>
      <c r="AZ1021" s="202" t="e">
        <f>VLOOKUP(#REF!,잔가군!$B:$C,2,0)</f>
        <v>#REF!</v>
      </c>
      <c r="BA1021" s="202" t="e">
        <f>S1021-#REF!</f>
        <v>#REF!</v>
      </c>
      <c r="BD1021" s="202" t="str">
        <f t="shared" si="146"/>
        <v>EQSEQS450+ AMG Line</v>
      </c>
      <c r="BE1021" s="261" t="str">
        <f t="shared" si="152"/>
        <v>0133</v>
      </c>
      <c r="BF1021" s="407" t="s">
        <v>3924</v>
      </c>
      <c r="BG1021" s="202" t="str">
        <f t="shared" si="147"/>
        <v>0133-1020</v>
      </c>
    </row>
    <row r="1022" spans="1:59" s="207" customFormat="1">
      <c r="A1022" s="405">
        <v>4796</v>
      </c>
      <c r="B1022" s="406">
        <v>4796</v>
      </c>
      <c r="C1022" s="261" t="str">
        <f t="shared" si="148"/>
        <v>0025-0133</v>
      </c>
      <c r="D1022" s="261" t="str">
        <f t="shared" si="149"/>
        <v>0025-0133-0002</v>
      </c>
      <c r="E1022" s="407" t="s">
        <v>1546</v>
      </c>
      <c r="F1022" s="261" t="str">
        <f>TEXT(VLOOKUP(J1022,'[3]1'!$B$2:$D$37,2,0),"0000")</f>
        <v>0025</v>
      </c>
      <c r="G1022" s="261" t="str">
        <f t="shared" si="150"/>
        <v>0133</v>
      </c>
      <c r="H1022" s="408">
        <f t="shared" si="151"/>
        <v>2</v>
      </c>
      <c r="I1022" s="407" t="s">
        <v>1546</v>
      </c>
      <c r="J1022" s="413" t="s">
        <v>1935</v>
      </c>
      <c r="K1022" s="413" t="s">
        <v>3174</v>
      </c>
      <c r="L1022" s="413" t="s">
        <v>3277</v>
      </c>
      <c r="M1022" s="409">
        <v>152700000</v>
      </c>
      <c r="N1022" s="416">
        <v>0</v>
      </c>
      <c r="O1022" s="413" t="s">
        <v>2117</v>
      </c>
      <c r="P1022" s="413" t="s">
        <v>73</v>
      </c>
      <c r="Q1022" s="413" t="s">
        <v>72</v>
      </c>
      <c r="R1022" s="416">
        <v>5</v>
      </c>
      <c r="S1022" s="410">
        <v>6</v>
      </c>
      <c r="T1022" s="261">
        <v>6</v>
      </c>
      <c r="U1022" s="261">
        <v>6</v>
      </c>
      <c r="V1022" s="258" t="s">
        <v>1914</v>
      </c>
      <c r="W1022" s="261" t="str">
        <f t="shared" si="153"/>
        <v>MercedesBenzEQSEQS 450 4Matic152700000</v>
      </c>
      <c r="X1022" s="411">
        <f t="shared" si="154"/>
        <v>4796</v>
      </c>
      <c r="Y1022" s="261">
        <v>6</v>
      </c>
      <c r="Z1022" s="261">
        <v>6</v>
      </c>
      <c r="AA1022" s="407" t="s">
        <v>1546</v>
      </c>
      <c r="AB1022" s="260" t="s">
        <v>73</v>
      </c>
      <c r="AC1022" s="260"/>
      <c r="AD1022" s="260">
        <v>7</v>
      </c>
      <c r="AE1022" s="260">
        <v>0</v>
      </c>
      <c r="AF1022" s="260"/>
      <c r="AG1022" s="260"/>
      <c r="AH1022" s="259"/>
      <c r="AI1022" s="260"/>
      <c r="AJ1022" s="260"/>
      <c r="AK1022" s="259">
        <v>26</v>
      </c>
      <c r="AL1022" s="259"/>
      <c r="AM1022" s="259" t="s">
        <v>3681</v>
      </c>
      <c r="AN1022" s="449"/>
      <c r="AO1022" s="449"/>
      <c r="AP1022" s="449"/>
      <c r="AQ1022" s="392" t="str">
        <f>IFERROR(VLOOKUP(BG1022,#REF!,1,0),"")</f>
        <v/>
      </c>
      <c r="AR1022" s="392"/>
      <c r="AS1022" s="259" t="s">
        <v>150</v>
      </c>
      <c r="AT1022" s="392"/>
      <c r="AU1022" s="392"/>
      <c r="AV1022" s="392"/>
      <c r="AW1022" s="392"/>
      <c r="AX1022" s="392"/>
      <c r="AY1022" s="392"/>
      <c r="AZ1022" s="202"/>
      <c r="BA1022" s="202"/>
      <c r="BD1022" s="202" t="str">
        <f t="shared" si="146"/>
        <v>EQSEQS 450 4Matic</v>
      </c>
      <c r="BE1022" s="261" t="str">
        <f t="shared" si="152"/>
        <v>0133</v>
      </c>
      <c r="BF1022" s="407" t="s">
        <v>1546</v>
      </c>
      <c r="BG1022" s="202" t="str">
        <f t="shared" si="147"/>
        <v>0133-1021</v>
      </c>
    </row>
    <row r="1023" spans="1:59" s="207" customFormat="1">
      <c r="A1023" s="405">
        <v>4797</v>
      </c>
      <c r="B1023" s="406">
        <v>4797</v>
      </c>
      <c r="C1023" s="261" t="str">
        <f t="shared" si="148"/>
        <v>0025-0133</v>
      </c>
      <c r="D1023" s="261" t="str">
        <f t="shared" si="149"/>
        <v>0025-0133-0003</v>
      </c>
      <c r="E1023" s="407" t="s">
        <v>1547</v>
      </c>
      <c r="F1023" s="261" t="str">
        <f>TEXT(VLOOKUP(J1023,'[3]1'!$B$2:$D$37,2,0),"0000")</f>
        <v>0025</v>
      </c>
      <c r="G1023" s="261" t="str">
        <f t="shared" si="150"/>
        <v>0133</v>
      </c>
      <c r="H1023" s="408">
        <f t="shared" si="151"/>
        <v>3</v>
      </c>
      <c r="I1023" s="407" t="s">
        <v>1547</v>
      </c>
      <c r="J1023" s="413" t="s">
        <v>1935</v>
      </c>
      <c r="K1023" s="413" t="s">
        <v>3174</v>
      </c>
      <c r="L1023" s="413" t="s">
        <v>3703</v>
      </c>
      <c r="M1023" s="409">
        <v>184500000</v>
      </c>
      <c r="N1023" s="416">
        <v>0</v>
      </c>
      <c r="O1023" s="413" t="s">
        <v>1290</v>
      </c>
      <c r="P1023" s="413" t="s">
        <v>73</v>
      </c>
      <c r="Q1023" s="413" t="s">
        <v>72</v>
      </c>
      <c r="R1023" s="416">
        <v>5</v>
      </c>
      <c r="S1023" s="410">
        <v>6</v>
      </c>
      <c r="T1023" s="261">
        <v>6</v>
      </c>
      <c r="U1023" s="261">
        <v>6</v>
      </c>
      <c r="V1023" s="258" t="s">
        <v>1969</v>
      </c>
      <c r="W1023" s="261" t="str">
        <f t="shared" si="153"/>
        <v>MercedesBenzEQSEQS580+ AMG Line184500000</v>
      </c>
      <c r="X1023" s="411">
        <f t="shared" si="154"/>
        <v>4797</v>
      </c>
      <c r="Y1023" s="261">
        <v>6</v>
      </c>
      <c r="Z1023" s="261">
        <v>6</v>
      </c>
      <c r="AA1023" s="407" t="s">
        <v>1547</v>
      </c>
      <c r="AB1023" s="260" t="s">
        <v>73</v>
      </c>
      <c r="AC1023" s="260"/>
      <c r="AD1023" s="260">
        <v>7</v>
      </c>
      <c r="AE1023" s="260">
        <v>0</v>
      </c>
      <c r="AF1023" s="260"/>
      <c r="AG1023" s="260"/>
      <c r="AH1023" s="259"/>
      <c r="AI1023" s="260"/>
      <c r="AJ1023" s="260"/>
      <c r="AK1023" s="259">
        <v>26</v>
      </c>
      <c r="AL1023" s="259"/>
      <c r="AM1023" s="259" t="s">
        <v>3681</v>
      </c>
      <c r="AN1023" s="449"/>
      <c r="AO1023" s="449"/>
      <c r="AP1023" s="449"/>
      <c r="AQ1023" s="392" t="str">
        <f>IFERROR(VLOOKUP(BG1023,#REF!,1,0),"")</f>
        <v/>
      </c>
      <c r="AR1023" s="392"/>
      <c r="AS1023" s="259" t="s">
        <v>150</v>
      </c>
      <c r="AT1023" s="392"/>
      <c r="AU1023" s="392"/>
      <c r="AV1023" s="392"/>
      <c r="AW1023" s="392"/>
      <c r="AX1023" s="392"/>
      <c r="AY1023" s="392"/>
      <c r="BD1023" s="202" t="str">
        <f t="shared" si="146"/>
        <v>EQSEQS580+ AMG Line</v>
      </c>
      <c r="BE1023" s="261" t="str">
        <f t="shared" si="152"/>
        <v>0133</v>
      </c>
      <c r="BF1023" s="407" t="s">
        <v>1547</v>
      </c>
      <c r="BG1023" s="202" t="str">
        <f t="shared" si="147"/>
        <v>0133-1022</v>
      </c>
    </row>
    <row r="1024" spans="1:59" s="207" customFormat="1">
      <c r="A1024" s="405">
        <v>4798</v>
      </c>
      <c r="B1024" s="406">
        <v>4798</v>
      </c>
      <c r="C1024" s="261" t="str">
        <f t="shared" si="148"/>
        <v>0025-0133</v>
      </c>
      <c r="D1024" s="261" t="str">
        <f t="shared" si="149"/>
        <v>0025-0133-0004</v>
      </c>
      <c r="E1024" s="407" t="s">
        <v>1548</v>
      </c>
      <c r="F1024" s="261" t="str">
        <f>TEXT(VLOOKUP(J1024,'[3]1'!$B$2:$D$37,2,0),"0000")</f>
        <v>0025</v>
      </c>
      <c r="G1024" s="261" t="str">
        <f t="shared" si="150"/>
        <v>0133</v>
      </c>
      <c r="H1024" s="408">
        <f t="shared" si="151"/>
        <v>4</v>
      </c>
      <c r="I1024" s="407" t="s">
        <v>1548</v>
      </c>
      <c r="J1024" s="413" t="s">
        <v>1935</v>
      </c>
      <c r="K1024" s="413" t="s">
        <v>3174</v>
      </c>
      <c r="L1024" s="413" t="s">
        <v>3276</v>
      </c>
      <c r="M1024" s="409">
        <v>185400000</v>
      </c>
      <c r="N1024" s="416">
        <v>0</v>
      </c>
      <c r="O1024" s="413" t="s">
        <v>1290</v>
      </c>
      <c r="P1024" s="413" t="s">
        <v>73</v>
      </c>
      <c r="Q1024" s="413" t="s">
        <v>72</v>
      </c>
      <c r="R1024" s="416">
        <v>5</v>
      </c>
      <c r="S1024" s="410">
        <v>6</v>
      </c>
      <c r="T1024" s="261">
        <v>6</v>
      </c>
      <c r="U1024" s="261">
        <v>6</v>
      </c>
      <c r="V1024" s="258" t="s">
        <v>1969</v>
      </c>
      <c r="W1024" s="261" t="str">
        <f t="shared" si="153"/>
        <v>MercedesBenzEQSEQS 580 4Matic185400000</v>
      </c>
      <c r="X1024" s="411">
        <f t="shared" si="154"/>
        <v>4798</v>
      </c>
      <c r="Y1024" s="261">
        <v>6</v>
      </c>
      <c r="Z1024" s="261">
        <v>6</v>
      </c>
      <c r="AA1024" s="407" t="s">
        <v>1548</v>
      </c>
      <c r="AB1024" s="260" t="s">
        <v>73</v>
      </c>
      <c r="AC1024" s="260"/>
      <c r="AD1024" s="260">
        <v>7</v>
      </c>
      <c r="AE1024" s="260">
        <v>0</v>
      </c>
      <c r="AF1024" s="260"/>
      <c r="AG1024" s="260"/>
      <c r="AH1024" s="259"/>
      <c r="AI1024" s="260"/>
      <c r="AJ1024" s="260"/>
      <c r="AK1024" s="259">
        <v>26</v>
      </c>
      <c r="AL1024" s="259"/>
      <c r="AM1024" s="259" t="s">
        <v>3681</v>
      </c>
      <c r="AN1024" s="449"/>
      <c r="AO1024" s="449"/>
      <c r="AP1024" s="449"/>
      <c r="AQ1024" s="392" t="str">
        <f>IFERROR(VLOOKUP(BG1024,#REF!,1,0),"")</f>
        <v/>
      </c>
      <c r="AR1024" s="392"/>
      <c r="AS1024" s="259" t="s">
        <v>150</v>
      </c>
      <c r="AT1024" s="392"/>
      <c r="AU1024" s="392"/>
      <c r="AV1024" s="392"/>
      <c r="AW1024" s="392"/>
      <c r="AX1024" s="392"/>
      <c r="AY1024" s="392"/>
      <c r="BD1024" s="202" t="str">
        <f t="shared" si="146"/>
        <v>EQSEQS 580 4Matic</v>
      </c>
      <c r="BE1024" s="261" t="str">
        <f t="shared" si="152"/>
        <v>0133</v>
      </c>
      <c r="BF1024" s="407" t="s">
        <v>1548</v>
      </c>
      <c r="BG1024" s="202" t="str">
        <f t="shared" si="147"/>
        <v>0133-1023</v>
      </c>
    </row>
    <row r="1025" spans="1:59" s="207" customFormat="1">
      <c r="A1025" s="405">
        <v>4799</v>
      </c>
      <c r="B1025" s="406">
        <v>4799</v>
      </c>
      <c r="C1025" s="261" t="str">
        <f t="shared" si="148"/>
        <v>0025-0133</v>
      </c>
      <c r="D1025" s="261" t="str">
        <f t="shared" si="149"/>
        <v>0025-0133-0005</v>
      </c>
      <c r="E1025" s="407" t="s">
        <v>1549</v>
      </c>
      <c r="F1025" s="261" t="str">
        <f>TEXT(VLOOKUP(J1025,'[3]1'!$B$2:$D$37,2,0),"0000")</f>
        <v>0025</v>
      </c>
      <c r="G1025" s="261" t="str">
        <f t="shared" si="150"/>
        <v>0133</v>
      </c>
      <c r="H1025" s="408">
        <f t="shared" si="151"/>
        <v>5</v>
      </c>
      <c r="I1025" s="407" t="s">
        <v>1549</v>
      </c>
      <c r="J1025" s="413" t="s">
        <v>1935</v>
      </c>
      <c r="K1025" s="413" t="s">
        <v>3174</v>
      </c>
      <c r="L1025" s="413" t="s">
        <v>3704</v>
      </c>
      <c r="M1025" s="409">
        <v>138700000</v>
      </c>
      <c r="N1025" s="416">
        <v>0</v>
      </c>
      <c r="O1025" s="413" t="s">
        <v>2117</v>
      </c>
      <c r="P1025" s="413" t="s">
        <v>73</v>
      </c>
      <c r="Q1025" s="413" t="s">
        <v>72</v>
      </c>
      <c r="R1025" s="416">
        <v>5</v>
      </c>
      <c r="S1025" s="410">
        <v>6</v>
      </c>
      <c r="T1025" s="261">
        <v>6</v>
      </c>
      <c r="U1025" s="261">
        <v>6</v>
      </c>
      <c r="V1025" s="258" t="s">
        <v>1914</v>
      </c>
      <c r="W1025" s="261" t="str">
        <f t="shared" si="153"/>
        <v>MercedesBenzEQSEQS350138700000</v>
      </c>
      <c r="X1025" s="411">
        <f t="shared" si="154"/>
        <v>4799</v>
      </c>
      <c r="Y1025" s="261">
        <v>6</v>
      </c>
      <c r="Z1025" s="261">
        <v>6</v>
      </c>
      <c r="AA1025" s="407" t="s">
        <v>1549</v>
      </c>
      <c r="AB1025" s="260" t="s">
        <v>73</v>
      </c>
      <c r="AC1025" s="260"/>
      <c r="AD1025" s="260">
        <v>7</v>
      </c>
      <c r="AE1025" s="260">
        <v>0</v>
      </c>
      <c r="AF1025" s="260"/>
      <c r="AG1025" s="260"/>
      <c r="AH1025" s="259"/>
      <c r="AI1025" s="260"/>
      <c r="AJ1025" s="260"/>
      <c r="AK1025" s="259">
        <v>26</v>
      </c>
      <c r="AL1025" s="259"/>
      <c r="AM1025" s="259" t="s">
        <v>3681</v>
      </c>
      <c r="AN1025" s="449"/>
      <c r="AO1025" s="449"/>
      <c r="AP1025" s="449"/>
      <c r="AQ1025" s="392" t="str">
        <f>IFERROR(VLOOKUP(BG1025,#REF!,1,0),"")</f>
        <v/>
      </c>
      <c r="AR1025" s="392"/>
      <c r="AS1025" s="259" t="s">
        <v>150</v>
      </c>
      <c r="AT1025" s="392" t="s">
        <v>3196</v>
      </c>
      <c r="AU1025" s="392"/>
      <c r="AV1025" s="392"/>
      <c r="AW1025" s="392"/>
      <c r="AX1025" s="392"/>
      <c r="AY1025" s="392"/>
      <c r="BD1025" s="202" t="str">
        <f t="shared" si="146"/>
        <v>EQSEQS350</v>
      </c>
      <c r="BE1025" s="261" t="str">
        <f t="shared" si="152"/>
        <v>0133</v>
      </c>
      <c r="BF1025" s="407" t="s">
        <v>1549</v>
      </c>
      <c r="BG1025" s="202" t="str">
        <f t="shared" si="147"/>
        <v>0133-1024</v>
      </c>
    </row>
    <row r="1026" spans="1:59" s="207" customFormat="1">
      <c r="A1026" s="405">
        <v>4800</v>
      </c>
      <c r="B1026" s="406">
        <v>4800</v>
      </c>
      <c r="C1026" s="261" t="str">
        <f t="shared" si="148"/>
        <v>0025-0133</v>
      </c>
      <c r="D1026" s="261" t="str">
        <f t="shared" si="149"/>
        <v>0025-0133-0006</v>
      </c>
      <c r="E1026" s="407" t="s">
        <v>1550</v>
      </c>
      <c r="F1026" s="261" t="str">
        <f>TEXT(VLOOKUP(J1026,'[3]1'!$B$2:$D$37,2,0),"0000")</f>
        <v>0025</v>
      </c>
      <c r="G1026" s="261" t="str">
        <f t="shared" si="150"/>
        <v>0133</v>
      </c>
      <c r="H1026" s="408">
        <f t="shared" si="151"/>
        <v>6</v>
      </c>
      <c r="I1026" s="407" t="s">
        <v>1550</v>
      </c>
      <c r="J1026" s="413" t="s">
        <v>1935</v>
      </c>
      <c r="K1026" s="413" t="s">
        <v>3174</v>
      </c>
      <c r="L1026" s="413" t="s">
        <v>3248</v>
      </c>
      <c r="M1026" s="409">
        <v>213000000</v>
      </c>
      <c r="N1026" s="416">
        <v>0</v>
      </c>
      <c r="O1026" s="413" t="s">
        <v>2117</v>
      </c>
      <c r="P1026" s="413" t="s">
        <v>73</v>
      </c>
      <c r="Q1026" s="413" t="s">
        <v>72</v>
      </c>
      <c r="R1026" s="416">
        <v>5</v>
      </c>
      <c r="S1026" s="410">
        <v>10</v>
      </c>
      <c r="T1026" s="261">
        <v>6</v>
      </c>
      <c r="U1026" s="261">
        <v>6</v>
      </c>
      <c r="V1026" s="258" t="s">
        <v>1969</v>
      </c>
      <c r="W1026" s="261" t="str">
        <f t="shared" si="153"/>
        <v>MercedesBenzEQSEQS 53 AMG213000000</v>
      </c>
      <c r="X1026" s="411">
        <f t="shared" si="154"/>
        <v>4800</v>
      </c>
      <c r="Y1026" s="261">
        <v>6</v>
      </c>
      <c r="Z1026" s="261">
        <v>6</v>
      </c>
      <c r="AA1026" s="407" t="s">
        <v>1550</v>
      </c>
      <c r="AB1026" s="260" t="s">
        <v>73</v>
      </c>
      <c r="AC1026" s="260"/>
      <c r="AD1026" s="260">
        <v>7</v>
      </c>
      <c r="AE1026" s="260">
        <v>0</v>
      </c>
      <c r="AF1026" s="260"/>
      <c r="AG1026" s="260"/>
      <c r="AH1026" s="259"/>
      <c r="AI1026" s="260"/>
      <c r="AJ1026" s="260"/>
      <c r="AK1026" s="259">
        <v>26</v>
      </c>
      <c r="AL1026" s="259"/>
      <c r="AM1026" s="259" t="s">
        <v>3681</v>
      </c>
      <c r="AN1026" s="449"/>
      <c r="AO1026" s="449"/>
      <c r="AP1026" s="449"/>
      <c r="AQ1026" s="392" t="str">
        <f>IFERROR(VLOOKUP(BG1026,#REF!,1,0),"")</f>
        <v/>
      </c>
      <c r="AR1026" s="392"/>
      <c r="AS1026" s="259" t="s">
        <v>3249</v>
      </c>
      <c r="AT1026" s="392"/>
      <c r="AU1026" s="392"/>
      <c r="AV1026" s="392"/>
      <c r="AW1026" s="392"/>
      <c r="AX1026" s="392"/>
      <c r="AY1026" s="392"/>
      <c r="BD1026" s="202" t="str">
        <f t="shared" si="146"/>
        <v>EQSEQS 53 AMG</v>
      </c>
      <c r="BE1026" s="261" t="str">
        <f t="shared" si="152"/>
        <v>0133</v>
      </c>
      <c r="BF1026" s="407" t="s">
        <v>1550</v>
      </c>
      <c r="BG1026" s="202" t="str">
        <f t="shared" si="147"/>
        <v>0133-1025</v>
      </c>
    </row>
    <row r="1027" spans="1:59" s="207" customFormat="1">
      <c r="A1027" s="405">
        <v>4801</v>
      </c>
      <c r="B1027" s="406">
        <v>4801</v>
      </c>
      <c r="C1027" s="261" t="str">
        <f t="shared" si="148"/>
        <v>0025-0134</v>
      </c>
      <c r="D1027" s="261" t="str">
        <f t="shared" si="149"/>
        <v>0025-0134-0001</v>
      </c>
      <c r="E1027" s="407" t="s">
        <v>1551</v>
      </c>
      <c r="F1027" s="261" t="str">
        <f>TEXT(VLOOKUP(J1027,'[3]1'!$B$2:$D$37,2,0),"0000")</f>
        <v>0025</v>
      </c>
      <c r="G1027" s="261" t="str">
        <f t="shared" si="150"/>
        <v>0134</v>
      </c>
      <c r="H1027" s="408">
        <f t="shared" si="151"/>
        <v>1</v>
      </c>
      <c r="I1027" s="407" t="s">
        <v>1551</v>
      </c>
      <c r="J1027" s="260" t="s">
        <v>1935</v>
      </c>
      <c r="K1027" s="260" t="s">
        <v>122</v>
      </c>
      <c r="L1027" s="258" t="s">
        <v>2889</v>
      </c>
      <c r="M1027" s="409">
        <v>172600000</v>
      </c>
      <c r="N1027" s="258">
        <v>2925</v>
      </c>
      <c r="O1027" s="260" t="s">
        <v>78</v>
      </c>
      <c r="P1027" s="260" t="s">
        <v>73</v>
      </c>
      <c r="Q1027" s="260" t="s">
        <v>72</v>
      </c>
      <c r="R1027" s="260">
        <v>5</v>
      </c>
      <c r="S1027" s="410">
        <v>6</v>
      </c>
      <c r="T1027" s="261">
        <v>6</v>
      </c>
      <c r="U1027" s="261">
        <v>6</v>
      </c>
      <c r="V1027" s="260" t="s">
        <v>71</v>
      </c>
      <c r="W1027" s="261" t="str">
        <f t="shared" si="153"/>
        <v>MercedesBenzG-ClassG 400d172600000</v>
      </c>
      <c r="X1027" s="411">
        <f t="shared" si="154"/>
        <v>4801</v>
      </c>
      <c r="Y1027" s="261">
        <v>6</v>
      </c>
      <c r="Z1027" s="261">
        <v>6</v>
      </c>
      <c r="AA1027" s="407" t="s">
        <v>1551</v>
      </c>
      <c r="AB1027" s="260" t="s">
        <v>70</v>
      </c>
      <c r="AC1027" s="260"/>
      <c r="AD1027" s="260">
        <v>7</v>
      </c>
      <c r="AE1027" s="260">
        <v>0</v>
      </c>
      <c r="AF1027" s="260"/>
      <c r="AG1027" s="260"/>
      <c r="AH1027" s="259"/>
      <c r="AI1027" s="260"/>
      <c r="AJ1027" s="260"/>
      <c r="AK1027" s="259">
        <v>8</v>
      </c>
      <c r="AL1027" s="259"/>
      <c r="AM1027" s="259" t="s">
        <v>3971</v>
      </c>
      <c r="AN1027" s="449"/>
      <c r="AO1027" s="449"/>
      <c r="AP1027" s="449"/>
      <c r="AQ1027" s="392" t="str">
        <f>IFERROR(VLOOKUP(BG1027,#REF!,1,0),"")</f>
        <v/>
      </c>
      <c r="AR1027" s="392"/>
      <c r="AS1027" s="259" t="s">
        <v>150</v>
      </c>
      <c r="AT1027" s="392"/>
      <c r="AU1027" s="392"/>
      <c r="AV1027" s="392"/>
      <c r="AW1027" s="392" t="s">
        <v>3959</v>
      </c>
      <c r="AX1027" s="392"/>
      <c r="AY1027" s="392"/>
      <c r="BD1027" s="202" t="str">
        <f t="shared" si="146"/>
        <v>G-ClassG 400d</v>
      </c>
      <c r="BE1027" s="261" t="str">
        <f t="shared" si="152"/>
        <v>0134</v>
      </c>
      <c r="BF1027" s="407" t="s">
        <v>1551</v>
      </c>
      <c r="BG1027" s="202" t="str">
        <f t="shared" si="147"/>
        <v>0134-1026</v>
      </c>
    </row>
    <row r="1028" spans="1:59" s="207" customFormat="1">
      <c r="A1028" s="405">
        <v>4802</v>
      </c>
      <c r="B1028" s="406">
        <v>4802</v>
      </c>
      <c r="C1028" s="261" t="str">
        <f t="shared" si="148"/>
        <v>0025-0134</v>
      </c>
      <c r="D1028" s="261" t="str">
        <f t="shared" si="149"/>
        <v>0025-0134-0002</v>
      </c>
      <c r="E1028" s="407" t="s">
        <v>1552</v>
      </c>
      <c r="F1028" s="261" t="str">
        <f>TEXT(VLOOKUP(J1028,'[3]1'!$B$2:$D$37,2,0),"0000")</f>
        <v>0025</v>
      </c>
      <c r="G1028" s="261" t="str">
        <f t="shared" si="150"/>
        <v>0134</v>
      </c>
      <c r="H1028" s="408">
        <f t="shared" si="151"/>
        <v>2</v>
      </c>
      <c r="I1028" s="407" t="s">
        <v>1552</v>
      </c>
      <c r="J1028" s="260" t="s">
        <v>1935</v>
      </c>
      <c r="K1028" s="260" t="s">
        <v>122</v>
      </c>
      <c r="L1028" s="258" t="s">
        <v>121</v>
      </c>
      <c r="M1028" s="430">
        <v>217600000</v>
      </c>
      <c r="N1028" s="258">
        <v>3982</v>
      </c>
      <c r="O1028" s="258" t="s">
        <v>77</v>
      </c>
      <c r="P1028" s="260" t="s">
        <v>73</v>
      </c>
      <c r="Q1028" s="260" t="s">
        <v>72</v>
      </c>
      <c r="R1028" s="260">
        <v>5</v>
      </c>
      <c r="S1028" s="410">
        <v>5</v>
      </c>
      <c r="T1028" s="261">
        <v>6</v>
      </c>
      <c r="U1028" s="261">
        <v>6</v>
      </c>
      <c r="V1028" s="260" t="s">
        <v>71</v>
      </c>
      <c r="W1028" s="261" t="str">
        <f t="shared" si="153"/>
        <v>MercedesBenzG-ClassG 63 AMG217600000</v>
      </c>
      <c r="X1028" s="411">
        <f t="shared" si="154"/>
        <v>4802</v>
      </c>
      <c r="Y1028" s="261">
        <v>6</v>
      </c>
      <c r="Z1028" s="261">
        <v>6</v>
      </c>
      <c r="AA1028" s="407" t="s">
        <v>1552</v>
      </c>
      <c r="AB1028" s="260" t="s">
        <v>70</v>
      </c>
      <c r="AC1028" s="260"/>
      <c r="AD1028" s="260">
        <v>5</v>
      </c>
      <c r="AE1028" s="260">
        <v>0</v>
      </c>
      <c r="AF1028" s="260"/>
      <c r="AG1028" s="260"/>
      <c r="AH1028" s="259"/>
      <c r="AI1028" s="260"/>
      <c r="AJ1028" s="260"/>
      <c r="AK1028" s="259">
        <v>9</v>
      </c>
      <c r="AL1028" s="259"/>
      <c r="AM1028" s="259" t="s">
        <v>3962</v>
      </c>
      <c r="AN1028" s="449"/>
      <c r="AO1028" s="449"/>
      <c r="AP1028" s="449"/>
      <c r="AQ1028" s="392" t="str">
        <f>IFERROR(VLOOKUP(BG1028,#REF!,1,0),"")</f>
        <v/>
      </c>
      <c r="AR1028" s="392"/>
      <c r="AS1028" s="259" t="s">
        <v>93</v>
      </c>
      <c r="AT1028" s="392"/>
      <c r="AU1028" s="392"/>
      <c r="AV1028" s="392"/>
      <c r="AW1028" s="392" t="s">
        <v>3959</v>
      </c>
      <c r="AX1028" s="392"/>
      <c r="AY1028" s="392"/>
      <c r="BD1028" s="202" t="str">
        <f t="shared" si="146"/>
        <v>G-ClassG 63 AMG</v>
      </c>
      <c r="BE1028" s="261" t="str">
        <f t="shared" si="152"/>
        <v>0134</v>
      </c>
      <c r="BF1028" s="407" t="s">
        <v>1552</v>
      </c>
      <c r="BG1028" s="202" t="str">
        <f t="shared" si="147"/>
        <v>0134-1027</v>
      </c>
    </row>
    <row r="1029" spans="1:59" s="207" customFormat="1">
      <c r="A1029" s="405">
        <v>4803</v>
      </c>
      <c r="B1029" s="406">
        <v>4803</v>
      </c>
      <c r="C1029" s="261" t="str">
        <f t="shared" si="148"/>
        <v>0025-0135</v>
      </c>
      <c r="D1029" s="261" t="str">
        <f t="shared" si="149"/>
        <v>0025-0135-0001</v>
      </c>
      <c r="E1029" s="407" t="s">
        <v>1553</v>
      </c>
      <c r="F1029" s="261" t="str">
        <f>TEXT(VLOOKUP(J1029,'[3]1'!$B$2:$D$37,2,0),"0000")</f>
        <v>0025</v>
      </c>
      <c r="G1029" s="261" t="str">
        <f t="shared" si="150"/>
        <v>0135</v>
      </c>
      <c r="H1029" s="408">
        <f t="shared" si="151"/>
        <v>1</v>
      </c>
      <c r="I1029" s="407" t="s">
        <v>1553</v>
      </c>
      <c r="J1029" s="260" t="s">
        <v>1935</v>
      </c>
      <c r="K1029" s="260" t="s">
        <v>120</v>
      </c>
      <c r="L1029" s="258" t="s">
        <v>1249</v>
      </c>
      <c r="M1029" s="429">
        <v>60100000</v>
      </c>
      <c r="N1029" s="258">
        <v>1991</v>
      </c>
      <c r="O1029" s="258" t="s">
        <v>77</v>
      </c>
      <c r="P1029" s="260" t="s">
        <v>73</v>
      </c>
      <c r="Q1029" s="260" t="s">
        <v>72</v>
      </c>
      <c r="R1029" s="260">
        <v>5</v>
      </c>
      <c r="S1029" s="410">
        <v>2</v>
      </c>
      <c r="T1029" s="261">
        <v>6</v>
      </c>
      <c r="U1029" s="261">
        <v>6</v>
      </c>
      <c r="V1029" s="260" t="s">
        <v>71</v>
      </c>
      <c r="W1029" s="261" t="str">
        <f t="shared" si="153"/>
        <v>MercedesBenzGLA-ClassGLA 250 4MATIC60100000</v>
      </c>
      <c r="X1029" s="411">
        <f t="shared" si="154"/>
        <v>4803</v>
      </c>
      <c r="Y1029" s="261">
        <v>6</v>
      </c>
      <c r="Z1029" s="261">
        <v>6</v>
      </c>
      <c r="AA1029" s="407" t="s">
        <v>1553</v>
      </c>
      <c r="AB1029" s="260" t="s">
        <v>70</v>
      </c>
      <c r="AC1029" s="260"/>
      <c r="AD1029" s="260">
        <v>3</v>
      </c>
      <c r="AE1029" s="260">
        <v>1</v>
      </c>
      <c r="AF1029" s="260"/>
      <c r="AG1029" s="260"/>
      <c r="AH1029" s="259"/>
      <c r="AI1029" s="260"/>
      <c r="AJ1029" s="260"/>
      <c r="AK1029" s="259">
        <v>10</v>
      </c>
      <c r="AL1029" s="259"/>
      <c r="AM1029" s="259" t="s">
        <v>3994</v>
      </c>
      <c r="AN1029" s="449"/>
      <c r="AO1029" s="449"/>
      <c r="AP1029" s="449"/>
      <c r="AQ1029" s="392" t="str">
        <f>IFERROR(VLOOKUP(BG1029,#REF!,1,0),"")</f>
        <v/>
      </c>
      <c r="AR1029" s="250"/>
      <c r="AS1029" s="259" t="s">
        <v>3223</v>
      </c>
      <c r="AT1029" s="250"/>
      <c r="AU1029" s="392"/>
      <c r="AV1029" s="392"/>
      <c r="AW1029" s="250"/>
      <c r="AX1029" s="250"/>
      <c r="AY1029" s="250"/>
      <c r="BD1029" s="202" t="str">
        <f t="shared" ref="BD1029:BD1092" si="155">K1029&amp;L1029</f>
        <v>GLA-ClassGLA 250 4MATIC</v>
      </c>
      <c r="BE1029" s="261" t="str">
        <f t="shared" si="152"/>
        <v>0135</v>
      </c>
      <c r="BF1029" s="407" t="s">
        <v>1553</v>
      </c>
      <c r="BG1029" s="202" t="str">
        <f t="shared" ref="BG1029:BG1092" si="156">BE1029&amp;"-"&amp;BF1029</f>
        <v>0135-1028</v>
      </c>
    </row>
    <row r="1030" spans="1:59" s="207" customFormat="1">
      <c r="A1030" s="405">
        <v>4804</v>
      </c>
      <c r="B1030" s="406">
        <v>4804</v>
      </c>
      <c r="C1030" s="261" t="str">
        <f t="shared" ref="C1030:C1093" si="157">TEXT(F1030,"0000")&amp;"-"&amp;TEXT(G1030,"0000")</f>
        <v>0025-0135</v>
      </c>
      <c r="D1030" s="261" t="str">
        <f t="shared" ref="D1030:D1093" si="158">TEXT(F1030,"0000")&amp;"-"&amp;TEXT(G1030,"0000")&amp;"-"&amp;TEXT(H1030,"0000")</f>
        <v>0025-0135-0002</v>
      </c>
      <c r="E1030" s="407" t="s">
        <v>1554</v>
      </c>
      <c r="F1030" s="261" t="str">
        <f>TEXT(VLOOKUP(J1030,'[3]1'!$B$2:$D$37,2,0),"0000")</f>
        <v>0025</v>
      </c>
      <c r="G1030" s="261" t="str">
        <f t="shared" ref="G1030:G1093" si="159">IF(K1030=K1029,TEXT(G1029,"0000"),TEXT(G1029+1,"0000"))</f>
        <v>0135</v>
      </c>
      <c r="H1030" s="408">
        <f t="shared" ref="H1030:H1093" si="160">IF(F1030&amp;G1030=F1029&amp;G1029,H1029+1,1)</f>
        <v>2</v>
      </c>
      <c r="I1030" s="407" t="s">
        <v>1554</v>
      </c>
      <c r="J1030" s="260" t="s">
        <v>1935</v>
      </c>
      <c r="K1030" s="260" t="s">
        <v>120</v>
      </c>
      <c r="L1030" s="258" t="s">
        <v>119</v>
      </c>
      <c r="M1030" s="429">
        <v>77100000</v>
      </c>
      <c r="N1030" s="258">
        <v>1991</v>
      </c>
      <c r="O1030" s="258" t="s">
        <v>77</v>
      </c>
      <c r="P1030" s="260" t="s">
        <v>73</v>
      </c>
      <c r="Q1030" s="260" t="s">
        <v>72</v>
      </c>
      <c r="R1030" s="260">
        <v>5</v>
      </c>
      <c r="S1030" s="410">
        <v>15</v>
      </c>
      <c r="T1030" s="261">
        <v>6</v>
      </c>
      <c r="U1030" s="261">
        <v>6</v>
      </c>
      <c r="V1030" s="260" t="s">
        <v>71</v>
      </c>
      <c r="W1030" s="261" t="str">
        <f t="shared" si="153"/>
        <v>MercedesBenzGLA-ClassGLA 45 AMG 4MATIC77100000</v>
      </c>
      <c r="X1030" s="411">
        <f t="shared" si="154"/>
        <v>4804</v>
      </c>
      <c r="Y1030" s="261">
        <v>6</v>
      </c>
      <c r="Z1030" s="261">
        <v>6</v>
      </c>
      <c r="AA1030" s="407" t="s">
        <v>1554</v>
      </c>
      <c r="AB1030" s="260" t="s">
        <v>70</v>
      </c>
      <c r="AC1030" s="260"/>
      <c r="AD1030" s="260">
        <v>4</v>
      </c>
      <c r="AE1030" s="260">
        <v>0</v>
      </c>
      <c r="AF1030" s="260"/>
      <c r="AG1030" s="260"/>
      <c r="AH1030" s="259"/>
      <c r="AI1030" s="260"/>
      <c r="AJ1030" s="260"/>
      <c r="AK1030" s="259">
        <v>16</v>
      </c>
      <c r="AL1030" s="259"/>
      <c r="AM1030" s="259" t="s">
        <v>3690</v>
      </c>
      <c r="AN1030" s="449"/>
      <c r="AO1030" s="449"/>
      <c r="AP1030" s="449"/>
      <c r="AQ1030" s="392" t="str">
        <f>IFERROR(VLOOKUP(BG1030,#REF!,1,0),"")</f>
        <v/>
      </c>
      <c r="AR1030" s="392"/>
      <c r="AS1030" s="259" t="s">
        <v>3233</v>
      </c>
      <c r="AT1030" s="392"/>
      <c r="AU1030" s="392"/>
      <c r="AV1030" s="392"/>
      <c r="AW1030" s="392"/>
      <c r="AX1030" s="392"/>
      <c r="AY1030" s="392"/>
      <c r="BD1030" s="202" t="str">
        <f t="shared" si="155"/>
        <v>GLA-ClassGLA 45 AMG 4MATIC</v>
      </c>
      <c r="BE1030" s="261" t="str">
        <f t="shared" ref="BE1030:BE1093" si="161">IF(K1029=K1030,TEXT(G1029,"0000"),TEXT(G1029+1,"0000"))</f>
        <v>0135</v>
      </c>
      <c r="BF1030" s="407" t="s">
        <v>1554</v>
      </c>
      <c r="BG1030" s="202" t="str">
        <f t="shared" si="156"/>
        <v>0135-1029</v>
      </c>
    </row>
    <row r="1031" spans="1:59" s="207" customFormat="1">
      <c r="A1031" s="405">
        <v>4805</v>
      </c>
      <c r="B1031" s="406">
        <v>4805</v>
      </c>
      <c r="C1031" s="261" t="str">
        <f t="shared" si="157"/>
        <v>0025-0136</v>
      </c>
      <c r="D1031" s="261" t="str">
        <f t="shared" si="158"/>
        <v>0025-0136-0001</v>
      </c>
      <c r="E1031" s="407" t="s">
        <v>1555</v>
      </c>
      <c r="F1031" s="261" t="str">
        <f>TEXT(VLOOKUP(J1031,'[3]1'!$B$2:$D$37,2,0),"0000")</f>
        <v>0025</v>
      </c>
      <c r="G1031" s="261" t="str">
        <f t="shared" si="159"/>
        <v>0136</v>
      </c>
      <c r="H1031" s="408">
        <f t="shared" si="160"/>
        <v>1</v>
      </c>
      <c r="I1031" s="407" t="s">
        <v>1555</v>
      </c>
      <c r="J1031" s="260" t="s">
        <v>1935</v>
      </c>
      <c r="K1031" s="413" t="s">
        <v>2794</v>
      </c>
      <c r="L1031" s="258" t="s">
        <v>2888</v>
      </c>
      <c r="M1031" s="429">
        <v>54800000</v>
      </c>
      <c r="N1031" s="258">
        <v>1950</v>
      </c>
      <c r="O1031" s="260" t="s">
        <v>1961</v>
      </c>
      <c r="P1031" s="260" t="s">
        <v>73</v>
      </c>
      <c r="Q1031" s="260" t="s">
        <v>72</v>
      </c>
      <c r="R1031" s="260">
        <v>5</v>
      </c>
      <c r="S1031" s="410">
        <v>3</v>
      </c>
      <c r="T1031" s="261">
        <v>6</v>
      </c>
      <c r="U1031" s="261">
        <v>6</v>
      </c>
      <c r="V1031" s="260" t="s">
        <v>71</v>
      </c>
      <c r="W1031" s="261" t="str">
        <f t="shared" ref="W1031:W1094" si="162">J1031&amp;K1031&amp;L1031&amp;M1031</f>
        <v>MercedesBenzGLB-ClassGLB 200d54800000</v>
      </c>
      <c r="X1031" s="411">
        <f t="shared" ref="X1031:X1094" si="163">B1031</f>
        <v>4805</v>
      </c>
      <c r="Y1031" s="261">
        <v>6</v>
      </c>
      <c r="Z1031" s="261">
        <v>6</v>
      </c>
      <c r="AA1031" s="407" t="s">
        <v>1555</v>
      </c>
      <c r="AB1031" s="260" t="s">
        <v>70</v>
      </c>
      <c r="AC1031" s="260"/>
      <c r="AD1031" s="260">
        <v>7</v>
      </c>
      <c r="AE1031" s="260">
        <v>0</v>
      </c>
      <c r="AF1031" s="260"/>
      <c r="AG1031" s="260"/>
      <c r="AH1031" s="259"/>
      <c r="AI1031" s="260"/>
      <c r="AJ1031" s="260"/>
      <c r="AK1031" s="259">
        <v>8</v>
      </c>
      <c r="AL1031" s="259"/>
      <c r="AM1031" s="259" t="s">
        <v>3743</v>
      </c>
      <c r="AN1031" s="449"/>
      <c r="AO1031" s="449"/>
      <c r="AP1031" s="449"/>
      <c r="AQ1031" s="392" t="str">
        <f>IFERROR(VLOOKUP(BG1031,#REF!,1,0),"")</f>
        <v/>
      </c>
      <c r="AR1031" s="392"/>
      <c r="AS1031" s="259" t="s">
        <v>3237</v>
      </c>
      <c r="AT1031" s="392"/>
      <c r="AU1031" s="392"/>
      <c r="AV1031" s="392"/>
      <c r="AW1031" s="392" t="s">
        <v>3958</v>
      </c>
      <c r="AX1031" s="392"/>
      <c r="AY1031" s="392"/>
      <c r="BD1031" s="202" t="str">
        <f t="shared" si="155"/>
        <v>GLB-ClassGLB 200d</v>
      </c>
      <c r="BE1031" s="261" t="str">
        <f t="shared" si="161"/>
        <v>0136</v>
      </c>
      <c r="BF1031" s="407" t="s">
        <v>1555</v>
      </c>
      <c r="BG1031" s="202" t="str">
        <f t="shared" si="156"/>
        <v>0136-1030</v>
      </c>
    </row>
    <row r="1032" spans="1:59" s="207" customFormat="1">
      <c r="A1032" s="405">
        <v>4806</v>
      </c>
      <c r="B1032" s="406">
        <v>4806</v>
      </c>
      <c r="C1032" s="261" t="str">
        <f t="shared" si="157"/>
        <v>0025-0136</v>
      </c>
      <c r="D1032" s="261" t="str">
        <f t="shared" si="158"/>
        <v>0025-0136-0002</v>
      </c>
      <c r="E1032" s="407" t="s">
        <v>1556</v>
      </c>
      <c r="F1032" s="261" t="str">
        <f>TEXT(VLOOKUP(J1032,'[3]1'!$B$2:$D$37,2,0),"0000")</f>
        <v>0025</v>
      </c>
      <c r="G1032" s="261" t="str">
        <f t="shared" si="159"/>
        <v>0136</v>
      </c>
      <c r="H1032" s="408">
        <f t="shared" si="160"/>
        <v>2</v>
      </c>
      <c r="I1032" s="407" t="s">
        <v>1556</v>
      </c>
      <c r="J1032" s="260" t="s">
        <v>1935</v>
      </c>
      <c r="K1032" s="413" t="s">
        <v>2794</v>
      </c>
      <c r="L1032" s="413" t="s">
        <v>2795</v>
      </c>
      <c r="M1032" s="429">
        <v>62100000</v>
      </c>
      <c r="N1032" s="416">
        <v>1991</v>
      </c>
      <c r="O1032" s="258" t="s">
        <v>77</v>
      </c>
      <c r="P1032" s="413" t="s">
        <v>73</v>
      </c>
      <c r="Q1032" s="413" t="s">
        <v>72</v>
      </c>
      <c r="R1032" s="416">
        <v>5</v>
      </c>
      <c r="S1032" s="410">
        <v>3</v>
      </c>
      <c r="T1032" s="261">
        <v>6</v>
      </c>
      <c r="U1032" s="261">
        <v>6</v>
      </c>
      <c r="V1032" s="260" t="s">
        <v>71</v>
      </c>
      <c r="W1032" s="261" t="str">
        <f t="shared" si="162"/>
        <v>MercedesBenzGLB-ClassGLB 250 4Matic62100000</v>
      </c>
      <c r="X1032" s="411">
        <f t="shared" si="163"/>
        <v>4806</v>
      </c>
      <c r="Y1032" s="261">
        <v>6</v>
      </c>
      <c r="Z1032" s="261">
        <v>6</v>
      </c>
      <c r="AA1032" s="407" t="s">
        <v>1556</v>
      </c>
      <c r="AB1032" s="260" t="s">
        <v>70</v>
      </c>
      <c r="AC1032" s="260"/>
      <c r="AD1032" s="260">
        <v>4</v>
      </c>
      <c r="AE1032" s="260">
        <v>0</v>
      </c>
      <c r="AF1032" s="260"/>
      <c r="AG1032" s="260"/>
      <c r="AH1032" s="259"/>
      <c r="AI1032" s="260"/>
      <c r="AJ1032" s="260"/>
      <c r="AK1032" s="259">
        <v>8</v>
      </c>
      <c r="AL1032" s="259"/>
      <c r="AM1032" s="259" t="s">
        <v>3743</v>
      </c>
      <c r="AN1032" s="449"/>
      <c r="AO1032" s="449"/>
      <c r="AP1032" s="449"/>
      <c r="AQ1032" s="392" t="str">
        <f>IFERROR(VLOOKUP(BG1032,#REF!,1,0),"")</f>
        <v/>
      </c>
      <c r="AR1032" s="392"/>
      <c r="AS1032" s="259" t="s">
        <v>3237</v>
      </c>
      <c r="AT1032" s="392"/>
      <c r="AU1032" s="392"/>
      <c r="AV1032" s="392"/>
      <c r="AW1032" s="392" t="s">
        <v>3958</v>
      </c>
      <c r="AX1032" s="392"/>
      <c r="AY1032" s="392"/>
      <c r="BD1032" s="202" t="str">
        <f t="shared" si="155"/>
        <v>GLB-ClassGLB 250 4Matic</v>
      </c>
      <c r="BE1032" s="261" t="str">
        <f t="shared" si="161"/>
        <v>0136</v>
      </c>
      <c r="BF1032" s="407" t="s">
        <v>1556</v>
      </c>
      <c r="BG1032" s="202" t="str">
        <f t="shared" si="156"/>
        <v>0136-1031</v>
      </c>
    </row>
    <row r="1033" spans="1:59" s="207" customFormat="1">
      <c r="A1033" s="405">
        <v>4807</v>
      </c>
      <c r="B1033" s="406">
        <v>4807</v>
      </c>
      <c r="C1033" s="261" t="str">
        <f t="shared" si="157"/>
        <v>0025-0136</v>
      </c>
      <c r="D1033" s="261" t="str">
        <f t="shared" si="158"/>
        <v>0025-0136-0003</v>
      </c>
      <c r="E1033" s="407" t="s">
        <v>1557</v>
      </c>
      <c r="F1033" s="261" t="str">
        <f>TEXT(VLOOKUP(J1033,'[3]1'!$B$2:$D$37,2,0),"0000")</f>
        <v>0025</v>
      </c>
      <c r="G1033" s="261" t="str">
        <f t="shared" si="159"/>
        <v>0136</v>
      </c>
      <c r="H1033" s="408">
        <f t="shared" si="160"/>
        <v>3</v>
      </c>
      <c r="I1033" s="407" t="s">
        <v>1557</v>
      </c>
      <c r="J1033" s="260" t="s">
        <v>1935</v>
      </c>
      <c r="K1033" s="413" t="s">
        <v>2794</v>
      </c>
      <c r="L1033" s="413" t="s">
        <v>2887</v>
      </c>
      <c r="M1033" s="429">
        <v>70300000</v>
      </c>
      <c r="N1033" s="416">
        <v>1991</v>
      </c>
      <c r="O1033" s="258" t="s">
        <v>77</v>
      </c>
      <c r="P1033" s="413" t="s">
        <v>73</v>
      </c>
      <c r="Q1033" s="413" t="s">
        <v>72</v>
      </c>
      <c r="R1033" s="416">
        <v>5</v>
      </c>
      <c r="S1033" s="410">
        <v>7</v>
      </c>
      <c r="T1033" s="261">
        <v>6</v>
      </c>
      <c r="U1033" s="261">
        <v>6</v>
      </c>
      <c r="V1033" s="260" t="s">
        <v>71</v>
      </c>
      <c r="W1033" s="261" t="str">
        <f t="shared" si="162"/>
        <v>MercedesBenzGLB-ClassGLB 35 4matic AMG70300000</v>
      </c>
      <c r="X1033" s="411">
        <f t="shared" si="163"/>
        <v>4807</v>
      </c>
      <c r="Y1033" s="261">
        <v>6</v>
      </c>
      <c r="Z1033" s="261">
        <v>6</v>
      </c>
      <c r="AA1033" s="407" t="s">
        <v>1557</v>
      </c>
      <c r="AB1033" s="260" t="s">
        <v>70</v>
      </c>
      <c r="AC1033" s="260"/>
      <c r="AD1033" s="260">
        <v>7</v>
      </c>
      <c r="AE1033" s="260">
        <v>0</v>
      </c>
      <c r="AF1033" s="260"/>
      <c r="AG1033" s="260"/>
      <c r="AH1033" s="259"/>
      <c r="AI1033" s="260"/>
      <c r="AJ1033" s="260"/>
      <c r="AK1033" s="259">
        <v>16</v>
      </c>
      <c r="AL1033" s="259"/>
      <c r="AM1033" s="259" t="s">
        <v>3690</v>
      </c>
      <c r="AN1033" s="449"/>
      <c r="AO1033" s="449"/>
      <c r="AP1033" s="449"/>
      <c r="AQ1033" s="392" t="str">
        <f>IFERROR(VLOOKUP(BG1033,#REF!,1,0),"")</f>
        <v/>
      </c>
      <c r="AR1033" s="392"/>
      <c r="AS1033" s="259" t="s">
        <v>3229</v>
      </c>
      <c r="AT1033" s="392"/>
      <c r="AU1033" s="392"/>
      <c r="AV1033" s="392"/>
      <c r="AW1033" s="392"/>
      <c r="AX1033" s="392"/>
      <c r="AY1033" s="392"/>
      <c r="BD1033" s="202" t="str">
        <f t="shared" si="155"/>
        <v>GLB-ClassGLB 35 4matic AMG</v>
      </c>
      <c r="BE1033" s="261" t="str">
        <f t="shared" si="161"/>
        <v>0136</v>
      </c>
      <c r="BF1033" s="407" t="s">
        <v>1557</v>
      </c>
      <c r="BG1033" s="202" t="str">
        <f t="shared" si="156"/>
        <v>0136-1032</v>
      </c>
    </row>
    <row r="1034" spans="1:59" s="207" customFormat="1">
      <c r="A1034" s="405">
        <v>4808</v>
      </c>
      <c r="B1034" s="406">
        <v>4808</v>
      </c>
      <c r="C1034" s="261" t="str">
        <f t="shared" si="157"/>
        <v>0025-0137</v>
      </c>
      <c r="D1034" s="261" t="str">
        <f t="shared" si="158"/>
        <v>0025-0137-0001</v>
      </c>
      <c r="E1034" s="407" t="s">
        <v>1558</v>
      </c>
      <c r="F1034" s="261" t="str">
        <f>TEXT(VLOOKUP(J1034,'[3]1'!$B$2:$D$37,2,0),"0000")</f>
        <v>0025</v>
      </c>
      <c r="G1034" s="261" t="str">
        <f t="shared" si="159"/>
        <v>0137</v>
      </c>
      <c r="H1034" s="408">
        <f t="shared" si="160"/>
        <v>1</v>
      </c>
      <c r="I1034" s="407" t="s">
        <v>1558</v>
      </c>
      <c r="J1034" s="260" t="s">
        <v>1935</v>
      </c>
      <c r="K1034" s="260" t="s">
        <v>118</v>
      </c>
      <c r="L1034" s="260" t="s">
        <v>1919</v>
      </c>
      <c r="M1034" s="429">
        <v>69600000</v>
      </c>
      <c r="N1034" s="258">
        <v>1950</v>
      </c>
      <c r="O1034" s="260" t="s">
        <v>1961</v>
      </c>
      <c r="P1034" s="260" t="s">
        <v>73</v>
      </c>
      <c r="Q1034" s="260" t="s">
        <v>72</v>
      </c>
      <c r="R1034" s="260">
        <v>5</v>
      </c>
      <c r="S1034" s="410">
        <v>1</v>
      </c>
      <c r="T1034" s="261">
        <v>6</v>
      </c>
      <c r="U1034" s="261">
        <v>6</v>
      </c>
      <c r="V1034" s="260" t="s">
        <v>71</v>
      </c>
      <c r="W1034" s="261" t="str">
        <f t="shared" si="162"/>
        <v>MercedesBenzGLC-Class220d 4MATIC69600000</v>
      </c>
      <c r="X1034" s="411">
        <f t="shared" si="163"/>
        <v>4808</v>
      </c>
      <c r="Y1034" s="261">
        <v>6</v>
      </c>
      <c r="Z1034" s="261">
        <v>6</v>
      </c>
      <c r="AA1034" s="407" t="s">
        <v>1558</v>
      </c>
      <c r="AB1034" s="260" t="s">
        <v>70</v>
      </c>
      <c r="AC1034" s="260"/>
      <c r="AD1034" s="260">
        <v>1</v>
      </c>
      <c r="AE1034" s="260">
        <v>0</v>
      </c>
      <c r="AF1034" s="260"/>
      <c r="AG1034" s="260"/>
      <c r="AH1034" s="259"/>
      <c r="AI1034" s="260"/>
      <c r="AJ1034" s="260"/>
      <c r="AK1034" s="259">
        <v>6</v>
      </c>
      <c r="AL1034" s="259"/>
      <c r="AM1034" s="259" t="s">
        <v>3964</v>
      </c>
      <c r="AN1034" s="449"/>
      <c r="AO1034" s="449"/>
      <c r="AP1034" s="449"/>
      <c r="AQ1034" s="392" t="str">
        <f>IFERROR(VLOOKUP(BG1034,#REF!,1,0),"")</f>
        <v/>
      </c>
      <c r="AR1034" s="392"/>
      <c r="AS1034" s="259" t="s">
        <v>3189</v>
      </c>
      <c r="AT1034" s="392"/>
      <c r="AU1034" s="392"/>
      <c r="AV1034" s="392"/>
      <c r="AW1034" s="392" t="s">
        <v>3958</v>
      </c>
      <c r="AX1034" s="392"/>
      <c r="AY1034" s="392"/>
      <c r="BD1034" s="202" t="str">
        <f t="shared" si="155"/>
        <v>GLC-Class220d 4MATIC</v>
      </c>
      <c r="BE1034" s="261" t="str">
        <f t="shared" si="161"/>
        <v>0137</v>
      </c>
      <c r="BF1034" s="407" t="s">
        <v>1558</v>
      </c>
      <c r="BG1034" s="202" t="str">
        <f t="shared" si="156"/>
        <v>0137-1033</v>
      </c>
    </row>
    <row r="1035" spans="1:59" s="207" customFormat="1">
      <c r="A1035" s="405">
        <v>4809</v>
      </c>
      <c r="B1035" s="406">
        <v>4809</v>
      </c>
      <c r="C1035" s="261" t="str">
        <f t="shared" si="157"/>
        <v>0025-0137</v>
      </c>
      <c r="D1035" s="261" t="str">
        <f t="shared" si="158"/>
        <v>0025-0137-0002</v>
      </c>
      <c r="E1035" s="407" t="s">
        <v>1559</v>
      </c>
      <c r="F1035" s="261" t="str">
        <f>TEXT(VLOOKUP(J1035,'[3]1'!$B$2:$D$37,2,0),"0000")</f>
        <v>0025</v>
      </c>
      <c r="G1035" s="261" t="str">
        <f t="shared" si="159"/>
        <v>0137</v>
      </c>
      <c r="H1035" s="408">
        <f t="shared" si="160"/>
        <v>2</v>
      </c>
      <c r="I1035" s="407" t="s">
        <v>1559</v>
      </c>
      <c r="J1035" s="260" t="s">
        <v>1935</v>
      </c>
      <c r="K1035" s="260" t="s">
        <v>118</v>
      </c>
      <c r="L1035" s="260" t="s">
        <v>1374</v>
      </c>
      <c r="M1035" s="429">
        <v>80500000</v>
      </c>
      <c r="N1035" s="260">
        <v>1991</v>
      </c>
      <c r="O1035" s="258" t="s">
        <v>77</v>
      </c>
      <c r="P1035" s="260" t="s">
        <v>73</v>
      </c>
      <c r="Q1035" s="260" t="s">
        <v>72</v>
      </c>
      <c r="R1035" s="260">
        <v>5</v>
      </c>
      <c r="S1035" s="410">
        <v>1</v>
      </c>
      <c r="T1035" s="261">
        <v>6</v>
      </c>
      <c r="U1035" s="261">
        <v>6</v>
      </c>
      <c r="V1035" s="260" t="s">
        <v>71</v>
      </c>
      <c r="W1035" s="261" t="str">
        <f t="shared" si="162"/>
        <v>MercedesBenzGLC-Class300 4MATIC80500000</v>
      </c>
      <c r="X1035" s="411">
        <f t="shared" si="163"/>
        <v>4809</v>
      </c>
      <c r="Y1035" s="261">
        <v>6</v>
      </c>
      <c r="Z1035" s="261">
        <v>6</v>
      </c>
      <c r="AA1035" s="407" t="s">
        <v>1559</v>
      </c>
      <c r="AB1035" s="260" t="s">
        <v>70</v>
      </c>
      <c r="AC1035" s="260"/>
      <c r="AD1035" s="260">
        <v>3</v>
      </c>
      <c r="AE1035" s="260">
        <v>1</v>
      </c>
      <c r="AF1035" s="260"/>
      <c r="AG1035" s="260"/>
      <c r="AH1035" s="259"/>
      <c r="AI1035" s="456"/>
      <c r="AJ1035" s="260"/>
      <c r="AK1035" s="259">
        <v>6</v>
      </c>
      <c r="AL1035" s="259"/>
      <c r="AM1035" s="259" t="s">
        <v>3964</v>
      </c>
      <c r="AN1035" s="449"/>
      <c r="AO1035" s="449"/>
      <c r="AP1035" s="449"/>
      <c r="AQ1035" s="392" t="str">
        <f>IFERROR(VLOOKUP(BG1035,#REF!,1,0),"")</f>
        <v/>
      </c>
      <c r="AR1035" s="392"/>
      <c r="AS1035" s="259" t="s">
        <v>3189</v>
      </c>
      <c r="AT1035" s="392"/>
      <c r="AU1035" s="392"/>
      <c r="AV1035" s="392"/>
      <c r="AW1035" s="392" t="s">
        <v>3958</v>
      </c>
      <c r="AX1035" s="392"/>
      <c r="AY1035" s="392"/>
      <c r="BD1035" s="202" t="str">
        <f t="shared" si="155"/>
        <v>GLC-Class300 4MATIC</v>
      </c>
      <c r="BE1035" s="261" t="str">
        <f t="shared" si="161"/>
        <v>0137</v>
      </c>
      <c r="BF1035" s="407" t="s">
        <v>1559</v>
      </c>
      <c r="BG1035" s="202" t="str">
        <f t="shared" si="156"/>
        <v>0137-1034</v>
      </c>
    </row>
    <row r="1036" spans="1:59" s="207" customFormat="1">
      <c r="A1036" s="405">
        <v>4810</v>
      </c>
      <c r="B1036" s="406">
        <v>4810</v>
      </c>
      <c r="C1036" s="261" t="str">
        <f t="shared" si="157"/>
        <v>0025-0137</v>
      </c>
      <c r="D1036" s="261" t="str">
        <f t="shared" si="158"/>
        <v>0025-0137-0003</v>
      </c>
      <c r="E1036" s="407" t="s">
        <v>1560</v>
      </c>
      <c r="F1036" s="261" t="str">
        <f>TEXT(VLOOKUP(J1036,'[3]1'!$B$2:$D$37,2,0),"0000")</f>
        <v>0025</v>
      </c>
      <c r="G1036" s="261" t="str">
        <f t="shared" si="159"/>
        <v>0137</v>
      </c>
      <c r="H1036" s="408">
        <f t="shared" si="160"/>
        <v>3</v>
      </c>
      <c r="I1036" s="407" t="s">
        <v>1560</v>
      </c>
      <c r="J1036" s="260" t="s">
        <v>1935</v>
      </c>
      <c r="K1036" s="260" t="s">
        <v>118</v>
      </c>
      <c r="L1036" s="258" t="s">
        <v>1921</v>
      </c>
      <c r="M1036" s="430">
        <v>74700000</v>
      </c>
      <c r="N1036" s="258">
        <v>1950</v>
      </c>
      <c r="O1036" s="260" t="s">
        <v>1961</v>
      </c>
      <c r="P1036" s="260" t="s">
        <v>73</v>
      </c>
      <c r="Q1036" s="260" t="s">
        <v>72</v>
      </c>
      <c r="R1036" s="260">
        <v>5</v>
      </c>
      <c r="S1036" s="410">
        <v>1</v>
      </c>
      <c r="T1036" s="261">
        <v>6</v>
      </c>
      <c r="U1036" s="261">
        <v>6</v>
      </c>
      <c r="V1036" s="260" t="s">
        <v>71</v>
      </c>
      <c r="W1036" s="261" t="str">
        <f t="shared" si="162"/>
        <v>MercedesBenzGLC-Class220d 4Matic Coupe74700000</v>
      </c>
      <c r="X1036" s="411">
        <f t="shared" si="163"/>
        <v>4810</v>
      </c>
      <c r="Y1036" s="261">
        <v>6</v>
      </c>
      <c r="Z1036" s="261">
        <v>6</v>
      </c>
      <c r="AA1036" s="407" t="s">
        <v>1560</v>
      </c>
      <c r="AB1036" s="260" t="s">
        <v>70</v>
      </c>
      <c r="AC1036" s="262"/>
      <c r="AD1036" s="262">
        <v>2</v>
      </c>
      <c r="AE1036" s="262">
        <v>0</v>
      </c>
      <c r="AF1036" s="260"/>
      <c r="AG1036" s="260"/>
      <c r="AH1036" s="259"/>
      <c r="AI1036" s="260"/>
      <c r="AJ1036" s="260"/>
      <c r="AK1036" s="259">
        <v>6</v>
      </c>
      <c r="AL1036" s="259"/>
      <c r="AM1036" s="259" t="s">
        <v>3964</v>
      </c>
      <c r="AN1036" s="449"/>
      <c r="AO1036" s="449"/>
      <c r="AP1036" s="449"/>
      <c r="AQ1036" s="392" t="str">
        <f>IFERROR(VLOOKUP(BG1036,#REF!,1,0),"")</f>
        <v/>
      </c>
      <c r="AR1036" s="392"/>
      <c r="AS1036" s="259" t="s">
        <v>3189</v>
      </c>
      <c r="AT1036" s="392"/>
      <c r="AU1036" s="392"/>
      <c r="AV1036" s="392"/>
      <c r="AW1036" s="392" t="s">
        <v>3958</v>
      </c>
      <c r="AX1036" s="392"/>
      <c r="AY1036" s="392"/>
      <c r="BD1036" s="202" t="str">
        <f t="shared" si="155"/>
        <v>GLC-Class220d 4Matic Coupe</v>
      </c>
      <c r="BE1036" s="261" t="str">
        <f t="shared" si="161"/>
        <v>0137</v>
      </c>
      <c r="BF1036" s="407" t="s">
        <v>1560</v>
      </c>
      <c r="BG1036" s="202" t="str">
        <f t="shared" si="156"/>
        <v>0137-1035</v>
      </c>
    </row>
    <row r="1037" spans="1:59" s="207" customFormat="1">
      <c r="A1037" s="405">
        <v>4811</v>
      </c>
      <c r="B1037" s="406">
        <v>4811</v>
      </c>
      <c r="C1037" s="261" t="str">
        <f t="shared" si="157"/>
        <v>0025-0137</v>
      </c>
      <c r="D1037" s="261" t="str">
        <f t="shared" si="158"/>
        <v>0025-0137-0004</v>
      </c>
      <c r="E1037" s="407" t="s">
        <v>1561</v>
      </c>
      <c r="F1037" s="261" t="str">
        <f>TEXT(VLOOKUP(J1037,'[3]1'!$B$2:$D$37,2,0),"0000")</f>
        <v>0025</v>
      </c>
      <c r="G1037" s="261" t="str">
        <f t="shared" si="159"/>
        <v>0137</v>
      </c>
      <c r="H1037" s="408">
        <f t="shared" si="160"/>
        <v>4</v>
      </c>
      <c r="I1037" s="407" t="s">
        <v>1561</v>
      </c>
      <c r="J1037" s="260" t="s">
        <v>1935</v>
      </c>
      <c r="K1037" s="260" t="s">
        <v>118</v>
      </c>
      <c r="L1037" s="258" t="s">
        <v>1307</v>
      </c>
      <c r="M1037" s="429">
        <v>83100000</v>
      </c>
      <c r="N1037" s="258">
        <v>1991</v>
      </c>
      <c r="O1037" s="258" t="s">
        <v>77</v>
      </c>
      <c r="P1037" s="260" t="s">
        <v>73</v>
      </c>
      <c r="Q1037" s="260" t="s">
        <v>72</v>
      </c>
      <c r="R1037" s="260">
        <v>5</v>
      </c>
      <c r="S1037" s="410">
        <v>1</v>
      </c>
      <c r="T1037" s="261">
        <v>6</v>
      </c>
      <c r="U1037" s="261">
        <v>6</v>
      </c>
      <c r="V1037" s="260" t="s">
        <v>71</v>
      </c>
      <c r="W1037" s="261" t="str">
        <f t="shared" si="162"/>
        <v>MercedesBenzGLC-Class300 4Matic Coupe83100000</v>
      </c>
      <c r="X1037" s="411">
        <f t="shared" si="163"/>
        <v>4811</v>
      </c>
      <c r="Y1037" s="261">
        <v>6</v>
      </c>
      <c r="Z1037" s="261">
        <v>6</v>
      </c>
      <c r="AA1037" s="407" t="s">
        <v>1561</v>
      </c>
      <c r="AB1037" s="260" t="s">
        <v>70</v>
      </c>
      <c r="AC1037" s="260"/>
      <c r="AD1037" s="260">
        <v>3</v>
      </c>
      <c r="AE1037" s="260">
        <v>0</v>
      </c>
      <c r="AF1037" s="260"/>
      <c r="AG1037" s="260"/>
      <c r="AH1037" s="259"/>
      <c r="AI1037" s="260"/>
      <c r="AJ1037" s="260"/>
      <c r="AK1037" s="259">
        <v>6</v>
      </c>
      <c r="AL1037" s="259"/>
      <c r="AM1037" s="259" t="s">
        <v>3964</v>
      </c>
      <c r="AN1037" s="449"/>
      <c r="AO1037" s="449"/>
      <c r="AP1037" s="449"/>
      <c r="AQ1037" s="392" t="str">
        <f>IFERROR(VLOOKUP(BG1037,#REF!,1,0),"")</f>
        <v/>
      </c>
      <c r="AR1037" s="392"/>
      <c r="AS1037" s="259" t="s">
        <v>3189</v>
      </c>
      <c r="AT1037" s="392"/>
      <c r="AU1037" s="392"/>
      <c r="AV1037" s="392"/>
      <c r="AW1037" s="392" t="s">
        <v>3958</v>
      </c>
      <c r="AX1037" s="392"/>
      <c r="AY1037" s="392"/>
      <c r="BD1037" s="202" t="str">
        <f t="shared" si="155"/>
        <v>GLC-Class300 4Matic Coupe</v>
      </c>
      <c r="BE1037" s="261" t="str">
        <f t="shared" si="161"/>
        <v>0137</v>
      </c>
      <c r="BF1037" s="407" t="s">
        <v>1561</v>
      </c>
      <c r="BG1037" s="202" t="str">
        <f t="shared" si="156"/>
        <v>0137-1036</v>
      </c>
    </row>
    <row r="1038" spans="1:59" s="207" customFormat="1">
      <c r="A1038" s="405">
        <v>4812</v>
      </c>
      <c r="B1038" s="406">
        <v>4812</v>
      </c>
      <c r="C1038" s="261" t="str">
        <f t="shared" si="157"/>
        <v>0025-0137</v>
      </c>
      <c r="D1038" s="261" t="str">
        <f t="shared" si="158"/>
        <v>0025-0137-0005</v>
      </c>
      <c r="E1038" s="407" t="s">
        <v>1562</v>
      </c>
      <c r="F1038" s="261" t="str">
        <f>TEXT(VLOOKUP(J1038,'[3]1'!$B$2:$D$37,2,0),"0000")</f>
        <v>0025</v>
      </c>
      <c r="G1038" s="261" t="str">
        <f t="shared" si="159"/>
        <v>0137</v>
      </c>
      <c r="H1038" s="408">
        <f t="shared" si="160"/>
        <v>5</v>
      </c>
      <c r="I1038" s="407" t="s">
        <v>1562</v>
      </c>
      <c r="J1038" s="260" t="s">
        <v>1935</v>
      </c>
      <c r="K1038" s="260" t="s">
        <v>118</v>
      </c>
      <c r="L1038" s="258" t="s">
        <v>3735</v>
      </c>
      <c r="M1038" s="429">
        <v>80900000</v>
      </c>
      <c r="N1038" s="416">
        <v>1991</v>
      </c>
      <c r="O1038" s="413" t="s">
        <v>74</v>
      </c>
      <c r="P1038" s="413" t="s">
        <v>73</v>
      </c>
      <c r="Q1038" s="413" t="s">
        <v>72</v>
      </c>
      <c r="R1038" s="416">
        <v>5</v>
      </c>
      <c r="S1038" s="410">
        <v>3</v>
      </c>
      <c r="T1038" s="261">
        <v>6</v>
      </c>
      <c r="U1038" s="261">
        <v>6</v>
      </c>
      <c r="V1038" s="258" t="s">
        <v>71</v>
      </c>
      <c r="W1038" s="261" t="str">
        <f t="shared" si="162"/>
        <v>MercedesBenzGLC-Class 300e 4MATIC Coupe80900000</v>
      </c>
      <c r="X1038" s="411">
        <f t="shared" si="163"/>
        <v>4812</v>
      </c>
      <c r="Y1038" s="261">
        <v>6</v>
      </c>
      <c r="Z1038" s="261">
        <v>6</v>
      </c>
      <c r="AA1038" s="407" t="s">
        <v>1562</v>
      </c>
      <c r="AB1038" s="260" t="s">
        <v>70</v>
      </c>
      <c r="AC1038" s="260"/>
      <c r="AD1038" s="260">
        <v>6</v>
      </c>
      <c r="AE1038" s="260">
        <v>0</v>
      </c>
      <c r="AF1038" s="260"/>
      <c r="AG1038" s="260"/>
      <c r="AH1038" s="259"/>
      <c r="AI1038" s="260"/>
      <c r="AJ1038" s="260"/>
      <c r="AK1038" s="259">
        <v>6</v>
      </c>
      <c r="AL1038" s="259"/>
      <c r="AM1038" s="259" t="s">
        <v>3964</v>
      </c>
      <c r="AN1038" s="449"/>
      <c r="AO1038" s="449"/>
      <c r="AP1038" s="449"/>
      <c r="AQ1038" s="392" t="str">
        <f>IFERROR(VLOOKUP(BG1038,#REF!,1,0),"")</f>
        <v/>
      </c>
      <c r="AR1038" s="392"/>
      <c r="AS1038" s="259" t="s">
        <v>3237</v>
      </c>
      <c r="AT1038" s="392"/>
      <c r="AU1038" s="392"/>
      <c r="AV1038" s="392"/>
      <c r="AW1038" s="392" t="s">
        <v>3958</v>
      </c>
      <c r="AX1038" s="392"/>
      <c r="AY1038" s="392"/>
      <c r="BD1038" s="202" t="str">
        <f t="shared" si="155"/>
        <v>GLC-Class 300e 4MATIC Coupe</v>
      </c>
      <c r="BE1038" s="261" t="str">
        <f t="shared" si="161"/>
        <v>0137</v>
      </c>
      <c r="BF1038" s="407" t="s">
        <v>1562</v>
      </c>
      <c r="BG1038" s="202" t="str">
        <f t="shared" si="156"/>
        <v>0137-1037</v>
      </c>
    </row>
    <row r="1039" spans="1:59" s="207" customFormat="1">
      <c r="A1039" s="405">
        <v>4813</v>
      </c>
      <c r="B1039" s="406">
        <v>4813</v>
      </c>
      <c r="C1039" s="261" t="str">
        <f t="shared" si="157"/>
        <v>0025-0137</v>
      </c>
      <c r="D1039" s="261" t="str">
        <f t="shared" si="158"/>
        <v>0025-0137-0006</v>
      </c>
      <c r="E1039" s="407" t="s">
        <v>1563</v>
      </c>
      <c r="F1039" s="261" t="str">
        <f>TEXT(VLOOKUP(J1039,'[3]1'!$B$2:$D$37,2,0),"0000")</f>
        <v>0025</v>
      </c>
      <c r="G1039" s="261" t="str">
        <f t="shared" si="159"/>
        <v>0137</v>
      </c>
      <c r="H1039" s="408">
        <f t="shared" si="160"/>
        <v>6</v>
      </c>
      <c r="I1039" s="407" t="s">
        <v>1563</v>
      </c>
      <c r="J1039" s="260" t="s">
        <v>1935</v>
      </c>
      <c r="K1039" s="260" t="s">
        <v>118</v>
      </c>
      <c r="L1039" s="258" t="s">
        <v>3734</v>
      </c>
      <c r="M1039" s="430">
        <v>99600000</v>
      </c>
      <c r="N1039" s="258">
        <v>2996</v>
      </c>
      <c r="O1039" s="258" t="s">
        <v>77</v>
      </c>
      <c r="P1039" s="260" t="s">
        <v>73</v>
      </c>
      <c r="Q1039" s="260" t="s">
        <v>72</v>
      </c>
      <c r="R1039" s="260">
        <v>5</v>
      </c>
      <c r="S1039" s="410">
        <v>10</v>
      </c>
      <c r="T1039" s="261">
        <v>6</v>
      </c>
      <c r="U1039" s="261">
        <v>6</v>
      </c>
      <c r="V1039" s="260" t="s">
        <v>71</v>
      </c>
      <c r="W1039" s="261" t="str">
        <f t="shared" si="162"/>
        <v>MercedesBenzGLC-Class43 4MATIC Coupe99600000</v>
      </c>
      <c r="X1039" s="411">
        <f t="shared" si="163"/>
        <v>4813</v>
      </c>
      <c r="Y1039" s="261">
        <v>6</v>
      </c>
      <c r="Z1039" s="261">
        <v>6</v>
      </c>
      <c r="AA1039" s="407" t="s">
        <v>1563</v>
      </c>
      <c r="AB1039" s="260" t="s">
        <v>70</v>
      </c>
      <c r="AC1039" s="260"/>
      <c r="AD1039" s="260">
        <v>5</v>
      </c>
      <c r="AE1039" s="260">
        <v>2</v>
      </c>
      <c r="AF1039" s="260"/>
      <c r="AG1039" s="260"/>
      <c r="AH1039" s="259"/>
      <c r="AI1039" s="260"/>
      <c r="AJ1039" s="260"/>
      <c r="AK1039" s="259">
        <v>13</v>
      </c>
      <c r="AL1039" s="259"/>
      <c r="AM1039" s="259" t="s">
        <v>3970</v>
      </c>
      <c r="AN1039" s="449"/>
      <c r="AO1039" s="449"/>
      <c r="AP1039" s="449"/>
      <c r="AQ1039" s="392" t="str">
        <f>IFERROR(VLOOKUP(BG1039,#REF!,1,0),"")</f>
        <v/>
      </c>
      <c r="AR1039" s="392"/>
      <c r="AS1039" s="259" t="s">
        <v>3224</v>
      </c>
      <c r="AT1039" s="392"/>
      <c r="AU1039" s="392"/>
      <c r="AV1039" s="392"/>
      <c r="AW1039" s="392" t="s">
        <v>3958</v>
      </c>
      <c r="AX1039" s="392"/>
      <c r="AY1039" s="392"/>
      <c r="BD1039" s="202" t="str">
        <f t="shared" si="155"/>
        <v>GLC-Class43 4MATIC Coupe</v>
      </c>
      <c r="BE1039" s="261" t="str">
        <f t="shared" si="161"/>
        <v>0137</v>
      </c>
      <c r="BF1039" s="407" t="s">
        <v>1563</v>
      </c>
      <c r="BG1039" s="202" t="str">
        <f t="shared" si="156"/>
        <v>0137-1038</v>
      </c>
    </row>
    <row r="1040" spans="1:59" s="207" customFormat="1">
      <c r="A1040" s="405">
        <v>4814</v>
      </c>
      <c r="B1040" s="406">
        <v>4814</v>
      </c>
      <c r="C1040" s="261" t="str">
        <f t="shared" si="157"/>
        <v>0025-0137</v>
      </c>
      <c r="D1040" s="261" t="str">
        <f t="shared" si="158"/>
        <v>0025-0137-0007</v>
      </c>
      <c r="E1040" s="407" t="s">
        <v>1564</v>
      </c>
      <c r="F1040" s="261" t="str">
        <f>TEXT(VLOOKUP(J1040,'[3]1'!$B$2:$D$37,2,0),"0000")</f>
        <v>0025</v>
      </c>
      <c r="G1040" s="261" t="str">
        <f t="shared" si="159"/>
        <v>0137</v>
      </c>
      <c r="H1040" s="408">
        <f t="shared" si="160"/>
        <v>7</v>
      </c>
      <c r="I1040" s="407" t="s">
        <v>1564</v>
      </c>
      <c r="J1040" s="260" t="s">
        <v>1935</v>
      </c>
      <c r="K1040" s="260" t="s">
        <v>118</v>
      </c>
      <c r="L1040" s="258" t="s">
        <v>1428</v>
      </c>
      <c r="M1040" s="409">
        <v>132600000</v>
      </c>
      <c r="N1040" s="258">
        <v>3982</v>
      </c>
      <c r="O1040" s="258" t="s">
        <v>77</v>
      </c>
      <c r="P1040" s="260" t="s">
        <v>73</v>
      </c>
      <c r="Q1040" s="260" t="s">
        <v>72</v>
      </c>
      <c r="R1040" s="260">
        <v>5</v>
      </c>
      <c r="S1040" s="410">
        <v>8</v>
      </c>
      <c r="T1040" s="261">
        <v>6</v>
      </c>
      <c r="U1040" s="261">
        <v>6</v>
      </c>
      <c r="V1040" s="260" t="s">
        <v>71</v>
      </c>
      <c r="W1040" s="261" t="str">
        <f t="shared" si="162"/>
        <v>MercedesBenzGLC-Class63 S 4matic+ 쿠페132600000</v>
      </c>
      <c r="X1040" s="411">
        <f t="shared" si="163"/>
        <v>4814</v>
      </c>
      <c r="Y1040" s="261">
        <v>6</v>
      </c>
      <c r="Z1040" s="261">
        <v>6</v>
      </c>
      <c r="AA1040" s="407" t="s">
        <v>1564</v>
      </c>
      <c r="AB1040" s="260" t="s">
        <v>70</v>
      </c>
      <c r="AC1040" s="260"/>
      <c r="AD1040" s="260">
        <v>5</v>
      </c>
      <c r="AE1040" s="260">
        <v>0</v>
      </c>
      <c r="AF1040" s="260"/>
      <c r="AG1040" s="260"/>
      <c r="AH1040" s="259"/>
      <c r="AI1040" s="260"/>
      <c r="AJ1040" s="260"/>
      <c r="AK1040" s="259">
        <v>16</v>
      </c>
      <c r="AL1040" s="259"/>
      <c r="AM1040" s="259" t="s">
        <v>3969</v>
      </c>
      <c r="AN1040" s="449"/>
      <c r="AO1040" s="449"/>
      <c r="AP1040" s="449"/>
      <c r="AQ1040" s="392" t="str">
        <f>IFERROR(VLOOKUP(BG1040,#REF!,1,0),"")</f>
        <v/>
      </c>
      <c r="AR1040" s="392"/>
      <c r="AS1040" s="259" t="s">
        <v>3234</v>
      </c>
      <c r="AT1040" s="392"/>
      <c r="AU1040" s="392"/>
      <c r="AV1040" s="392"/>
      <c r="AW1040" s="392" t="s">
        <v>3959</v>
      </c>
      <c r="AX1040" s="392"/>
      <c r="AY1040" s="392"/>
      <c r="AZ1040" s="202" t="e">
        <f>VLOOKUP(#REF!,잔가군!$B:$C,2,0)</f>
        <v>#REF!</v>
      </c>
      <c r="BA1040" s="202" t="e">
        <f>S1040-#REF!</f>
        <v>#REF!</v>
      </c>
      <c r="BD1040" s="202" t="str">
        <f t="shared" si="155"/>
        <v>GLC-Class63 S 4matic+ 쿠페</v>
      </c>
      <c r="BE1040" s="261" t="str">
        <f t="shared" si="161"/>
        <v>0137</v>
      </c>
      <c r="BF1040" s="407" t="s">
        <v>1564</v>
      </c>
      <c r="BG1040" s="202" t="str">
        <f t="shared" si="156"/>
        <v>0137-1039</v>
      </c>
    </row>
    <row r="1041" spans="1:59" s="207" customFormat="1">
      <c r="A1041" s="405">
        <v>4815</v>
      </c>
      <c r="B1041" s="406">
        <v>4815</v>
      </c>
      <c r="C1041" s="261" t="str">
        <f t="shared" si="157"/>
        <v>0025-0138</v>
      </c>
      <c r="D1041" s="261" t="str">
        <f t="shared" si="158"/>
        <v>0025-0138-0001</v>
      </c>
      <c r="E1041" s="407" t="s">
        <v>1565</v>
      </c>
      <c r="F1041" s="261" t="str">
        <f>TEXT(VLOOKUP(J1041,'[3]1'!$B$2:$D$37,2,0),"0000")</f>
        <v>0025</v>
      </c>
      <c r="G1041" s="261" t="str">
        <f t="shared" si="159"/>
        <v>0138</v>
      </c>
      <c r="H1041" s="408">
        <f t="shared" si="160"/>
        <v>1</v>
      </c>
      <c r="I1041" s="407" t="s">
        <v>1565</v>
      </c>
      <c r="J1041" s="260" t="s">
        <v>1935</v>
      </c>
      <c r="K1041" s="260" t="s">
        <v>116</v>
      </c>
      <c r="L1041" s="260" t="s">
        <v>1415</v>
      </c>
      <c r="M1041" s="552">
        <v>101600000</v>
      </c>
      <c r="N1041" s="260">
        <v>1950</v>
      </c>
      <c r="O1041" s="260" t="s">
        <v>78</v>
      </c>
      <c r="P1041" s="260" t="s">
        <v>73</v>
      </c>
      <c r="Q1041" s="260" t="s">
        <v>72</v>
      </c>
      <c r="R1041" s="260">
        <v>5</v>
      </c>
      <c r="S1041" s="410">
        <v>1</v>
      </c>
      <c r="T1041" s="261">
        <v>6</v>
      </c>
      <c r="U1041" s="261">
        <v>6</v>
      </c>
      <c r="V1041" s="260" t="s">
        <v>71</v>
      </c>
      <c r="W1041" s="261" t="str">
        <f t="shared" si="162"/>
        <v>MercedesBenzGLE-Class300d 4Matic101600000</v>
      </c>
      <c r="X1041" s="411">
        <f t="shared" si="163"/>
        <v>4815</v>
      </c>
      <c r="Y1041" s="261">
        <v>6</v>
      </c>
      <c r="Z1041" s="261">
        <v>6</v>
      </c>
      <c r="AA1041" s="407" t="s">
        <v>1565</v>
      </c>
      <c r="AB1041" s="260" t="s">
        <v>70</v>
      </c>
      <c r="AC1041" s="260"/>
      <c r="AD1041" s="260">
        <v>2</v>
      </c>
      <c r="AE1041" s="260">
        <v>1</v>
      </c>
      <c r="AF1041" s="259"/>
      <c r="AG1041" s="260"/>
      <c r="AH1041" s="259"/>
      <c r="AI1041" s="259"/>
      <c r="AJ1041" s="260"/>
      <c r="AK1041" s="259">
        <v>5</v>
      </c>
      <c r="AL1041" s="259"/>
      <c r="AM1041" s="259" t="s">
        <v>3654</v>
      </c>
      <c r="AN1041" s="449"/>
      <c r="AO1041" s="449"/>
      <c r="AP1041" s="449"/>
      <c r="AQ1041" s="392" t="str">
        <f>IFERROR(VLOOKUP(BG1041,#REF!,1,0),"")</f>
        <v/>
      </c>
      <c r="AR1041" s="457"/>
      <c r="AS1041" s="259" t="s">
        <v>3189</v>
      </c>
      <c r="AT1041" s="392"/>
      <c r="AU1041" s="392"/>
      <c r="AV1041" s="392"/>
      <c r="AW1041" s="457"/>
      <c r="AX1041" s="457"/>
      <c r="AY1041" s="457"/>
      <c r="BD1041" s="202" t="str">
        <f t="shared" si="155"/>
        <v>GLE-Class300d 4Matic</v>
      </c>
      <c r="BE1041" s="261" t="str">
        <f t="shared" si="161"/>
        <v>0138</v>
      </c>
      <c r="BF1041" s="407" t="s">
        <v>1565</v>
      </c>
      <c r="BG1041" s="202" t="str">
        <f t="shared" si="156"/>
        <v>0138-1040</v>
      </c>
    </row>
    <row r="1042" spans="1:59" s="207" customFormat="1">
      <c r="A1042" s="405">
        <v>4816</v>
      </c>
      <c r="B1042" s="406">
        <v>4816</v>
      </c>
      <c r="C1042" s="261" t="str">
        <f t="shared" si="157"/>
        <v>0025-0138</v>
      </c>
      <c r="D1042" s="261" t="str">
        <f t="shared" si="158"/>
        <v>0025-0138-0002</v>
      </c>
      <c r="E1042" s="407" t="s">
        <v>1566</v>
      </c>
      <c r="F1042" s="261" t="str">
        <f>TEXT(VLOOKUP(J1042,'[3]1'!$B$2:$D$37,2,0),"0000")</f>
        <v>0025</v>
      </c>
      <c r="G1042" s="261" t="str">
        <f t="shared" si="159"/>
        <v>0138</v>
      </c>
      <c r="H1042" s="408">
        <f t="shared" si="160"/>
        <v>2</v>
      </c>
      <c r="I1042" s="407" t="s">
        <v>1566</v>
      </c>
      <c r="J1042" s="260" t="s">
        <v>1935</v>
      </c>
      <c r="K1042" s="260" t="s">
        <v>116</v>
      </c>
      <c r="L1042" s="260" t="s">
        <v>3492</v>
      </c>
      <c r="M1042" s="552">
        <v>118600000</v>
      </c>
      <c r="N1042" s="260">
        <v>1991</v>
      </c>
      <c r="O1042" s="413" t="s">
        <v>1173</v>
      </c>
      <c r="P1042" s="260" t="s">
        <v>73</v>
      </c>
      <c r="Q1042" s="260" t="s">
        <v>72</v>
      </c>
      <c r="R1042" s="260">
        <v>5</v>
      </c>
      <c r="S1042" s="410">
        <v>6</v>
      </c>
      <c r="T1042" s="261">
        <v>6</v>
      </c>
      <c r="U1042" s="261">
        <v>6</v>
      </c>
      <c r="V1042" s="258" t="s">
        <v>71</v>
      </c>
      <c r="W1042" s="261" t="str">
        <f t="shared" si="162"/>
        <v>MercedesBenzGLE-ClassGLE 400e 4matic Coupe118600000</v>
      </c>
      <c r="X1042" s="411">
        <f t="shared" si="163"/>
        <v>4816</v>
      </c>
      <c r="Y1042" s="261">
        <v>6</v>
      </c>
      <c r="Z1042" s="261">
        <v>6</v>
      </c>
      <c r="AA1042" s="407" t="s">
        <v>1566</v>
      </c>
      <c r="AB1042" s="260" t="s">
        <v>70</v>
      </c>
      <c r="AC1042" s="260"/>
      <c r="AD1042" s="260"/>
      <c r="AE1042" s="260"/>
      <c r="AF1042" s="259"/>
      <c r="AG1042" s="260"/>
      <c r="AH1042" s="259"/>
      <c r="AI1042" s="259"/>
      <c r="AJ1042" s="260"/>
      <c r="AK1042" s="259">
        <v>6</v>
      </c>
      <c r="AL1042" s="259"/>
      <c r="AM1042" s="259" t="s">
        <v>3964</v>
      </c>
      <c r="AN1042" s="449"/>
      <c r="AO1042" s="449"/>
      <c r="AP1042" s="449"/>
      <c r="AQ1042" s="392" t="str">
        <f>IFERROR(VLOOKUP(BG1042,#REF!,1,0),"")</f>
        <v/>
      </c>
      <c r="AR1042" s="392"/>
      <c r="AS1042" s="259" t="s">
        <v>1984</v>
      </c>
      <c r="AT1042" s="392" t="s">
        <v>3156</v>
      </c>
      <c r="AU1042" s="392"/>
      <c r="AV1042" s="392"/>
      <c r="AW1042" s="392" t="s">
        <v>3959</v>
      </c>
      <c r="AX1042" s="392"/>
      <c r="AY1042" s="392"/>
      <c r="BD1042" s="202" t="str">
        <f t="shared" si="155"/>
        <v>GLE-ClassGLE 400e 4matic Coupe</v>
      </c>
      <c r="BE1042" s="261" t="str">
        <f t="shared" si="161"/>
        <v>0138</v>
      </c>
      <c r="BF1042" s="407" t="s">
        <v>1566</v>
      </c>
      <c r="BG1042" s="202" t="str">
        <f t="shared" si="156"/>
        <v>0138-1041</v>
      </c>
    </row>
    <row r="1043" spans="1:59" s="207" customFormat="1">
      <c r="A1043" s="405">
        <v>4817</v>
      </c>
      <c r="B1043" s="406">
        <v>4817</v>
      </c>
      <c r="C1043" s="261" t="str">
        <f t="shared" si="157"/>
        <v>0025-0138</v>
      </c>
      <c r="D1043" s="261" t="str">
        <f t="shared" si="158"/>
        <v>0025-0138-0003</v>
      </c>
      <c r="E1043" s="407" t="s">
        <v>1567</v>
      </c>
      <c r="F1043" s="261" t="str">
        <f>TEXT(VLOOKUP(J1043,'[3]1'!$B$2:$D$37,2,0),"0000")</f>
        <v>0025</v>
      </c>
      <c r="G1043" s="261" t="str">
        <f t="shared" si="159"/>
        <v>0138</v>
      </c>
      <c r="H1043" s="408">
        <f t="shared" si="160"/>
        <v>3</v>
      </c>
      <c r="I1043" s="407" t="s">
        <v>1567</v>
      </c>
      <c r="J1043" s="260" t="s">
        <v>1935</v>
      </c>
      <c r="K1043" s="260" t="s">
        <v>116</v>
      </c>
      <c r="L1043" s="260" t="s">
        <v>1416</v>
      </c>
      <c r="M1043" s="552">
        <v>123600000</v>
      </c>
      <c r="N1043" s="260">
        <v>2999</v>
      </c>
      <c r="O1043" s="258" t="s">
        <v>77</v>
      </c>
      <c r="P1043" s="260" t="s">
        <v>73</v>
      </c>
      <c r="Q1043" s="260" t="s">
        <v>72</v>
      </c>
      <c r="R1043" s="260">
        <v>5</v>
      </c>
      <c r="S1043" s="410">
        <v>1</v>
      </c>
      <c r="T1043" s="261">
        <v>6</v>
      </c>
      <c r="U1043" s="261">
        <v>6</v>
      </c>
      <c r="V1043" s="260" t="s">
        <v>71</v>
      </c>
      <c r="W1043" s="261" t="str">
        <f t="shared" si="162"/>
        <v>MercedesBenzGLE-Class450 4Matic123600000</v>
      </c>
      <c r="X1043" s="411">
        <f t="shared" si="163"/>
        <v>4817</v>
      </c>
      <c r="Y1043" s="261">
        <v>6</v>
      </c>
      <c r="Z1043" s="261">
        <v>6</v>
      </c>
      <c r="AA1043" s="407" t="s">
        <v>1567</v>
      </c>
      <c r="AB1043" s="260" t="s">
        <v>70</v>
      </c>
      <c r="AC1043" s="260"/>
      <c r="AD1043" s="260">
        <v>3</v>
      </c>
      <c r="AE1043" s="260">
        <v>0</v>
      </c>
      <c r="AF1043" s="259"/>
      <c r="AG1043" s="260"/>
      <c r="AH1043" s="259"/>
      <c r="AI1043" s="259"/>
      <c r="AJ1043" s="260"/>
      <c r="AK1043" s="259">
        <v>5</v>
      </c>
      <c r="AL1043" s="259"/>
      <c r="AM1043" s="259" t="s">
        <v>3654</v>
      </c>
      <c r="AN1043" s="449"/>
      <c r="AO1043" s="449"/>
      <c r="AP1043" s="449"/>
      <c r="AQ1043" s="392" t="str">
        <f>IFERROR(VLOOKUP(BG1043,#REF!,1,0),"")</f>
        <v/>
      </c>
      <c r="AR1043" s="392"/>
      <c r="AS1043" s="259" t="s">
        <v>3189</v>
      </c>
      <c r="AT1043" s="392"/>
      <c r="AU1043" s="392"/>
      <c r="AV1043" s="392"/>
      <c r="AW1043" s="392"/>
      <c r="AX1043" s="392"/>
      <c r="AY1043" s="392"/>
      <c r="BD1043" s="202" t="str">
        <f t="shared" si="155"/>
        <v>GLE-Class450 4Matic</v>
      </c>
      <c r="BE1043" s="261" t="str">
        <f t="shared" si="161"/>
        <v>0138</v>
      </c>
      <c r="BF1043" s="407" t="s">
        <v>1567</v>
      </c>
      <c r="BG1043" s="202" t="str">
        <f t="shared" si="156"/>
        <v>0138-1042</v>
      </c>
    </row>
    <row r="1044" spans="1:59" s="207" customFormat="1">
      <c r="A1044" s="405">
        <v>4818</v>
      </c>
      <c r="B1044" s="406">
        <v>4818</v>
      </c>
      <c r="C1044" s="261" t="str">
        <f t="shared" si="157"/>
        <v>0025-0138</v>
      </c>
      <c r="D1044" s="261" t="str">
        <f t="shared" si="158"/>
        <v>0025-0138-0004</v>
      </c>
      <c r="E1044" s="407" t="s">
        <v>1568</v>
      </c>
      <c r="F1044" s="261" t="str">
        <f>TEXT(VLOOKUP(J1044,'[3]1'!$B$2:$D$37,2,0),"0000")</f>
        <v>0025</v>
      </c>
      <c r="G1044" s="261" t="str">
        <f t="shared" si="159"/>
        <v>0138</v>
      </c>
      <c r="H1044" s="408">
        <f t="shared" si="160"/>
        <v>4</v>
      </c>
      <c r="I1044" s="407" t="s">
        <v>1568</v>
      </c>
      <c r="J1044" s="260" t="s">
        <v>1935</v>
      </c>
      <c r="K1044" s="260" t="s">
        <v>116</v>
      </c>
      <c r="L1044" s="413" t="s">
        <v>3328</v>
      </c>
      <c r="M1044" s="552">
        <v>137000000</v>
      </c>
      <c r="N1044" s="260">
        <v>2989</v>
      </c>
      <c r="O1044" s="413" t="s">
        <v>78</v>
      </c>
      <c r="P1044" s="260" t="s">
        <v>73</v>
      </c>
      <c r="Q1044" s="260" t="s">
        <v>72</v>
      </c>
      <c r="R1044" s="260">
        <v>5</v>
      </c>
      <c r="S1044" s="410">
        <v>3</v>
      </c>
      <c r="T1044" s="261">
        <v>6</v>
      </c>
      <c r="U1044" s="261">
        <v>6</v>
      </c>
      <c r="V1044" s="260" t="s">
        <v>71</v>
      </c>
      <c r="W1044" s="261" t="str">
        <f t="shared" si="162"/>
        <v>MercedesBenzGLE-Class450d 4Matic Coupe137000000</v>
      </c>
      <c r="X1044" s="411">
        <f t="shared" si="163"/>
        <v>4818</v>
      </c>
      <c r="Y1044" s="261">
        <v>6</v>
      </c>
      <c r="Z1044" s="261">
        <v>6</v>
      </c>
      <c r="AA1044" s="407" t="s">
        <v>1568</v>
      </c>
      <c r="AB1044" s="260" t="s">
        <v>70</v>
      </c>
      <c r="AC1044" s="260"/>
      <c r="AD1044" s="260">
        <v>3</v>
      </c>
      <c r="AE1044" s="260">
        <v>0</v>
      </c>
      <c r="AF1044" s="259"/>
      <c r="AG1044" s="260"/>
      <c r="AH1044" s="259"/>
      <c r="AI1044" s="259"/>
      <c r="AJ1044" s="260"/>
      <c r="AK1044" s="259">
        <v>5</v>
      </c>
      <c r="AL1044" s="259"/>
      <c r="AM1044" s="259" t="s">
        <v>3654</v>
      </c>
      <c r="AN1044" s="449"/>
      <c r="AO1044" s="449"/>
      <c r="AP1044" s="449"/>
      <c r="AQ1044" s="392" t="str">
        <f>IFERROR(VLOOKUP(BG1044,#REF!,1,0),"")</f>
        <v/>
      </c>
      <c r="AR1044" s="392"/>
      <c r="AS1044" s="259" t="s">
        <v>1959</v>
      </c>
      <c r="AT1044" s="392"/>
      <c r="AU1044" s="392"/>
      <c r="AV1044" s="392"/>
      <c r="AW1044" s="392"/>
      <c r="AX1044" s="392"/>
      <c r="AY1044" s="392"/>
      <c r="BD1044" s="202" t="str">
        <f t="shared" si="155"/>
        <v>GLE-Class450d 4Matic Coupe</v>
      </c>
      <c r="BE1044" s="261" t="str">
        <f t="shared" si="161"/>
        <v>0138</v>
      </c>
      <c r="BF1044" s="407" t="s">
        <v>1568</v>
      </c>
      <c r="BG1044" s="202" t="str">
        <f t="shared" si="156"/>
        <v>0138-1043</v>
      </c>
    </row>
    <row r="1045" spans="1:59" s="207" customFormat="1">
      <c r="A1045" s="405">
        <v>4819</v>
      </c>
      <c r="B1045" s="406">
        <v>4819</v>
      </c>
      <c r="C1045" s="261" t="str">
        <f t="shared" si="157"/>
        <v>0025-0138</v>
      </c>
      <c r="D1045" s="261" t="str">
        <f t="shared" si="158"/>
        <v>0025-0138-0005</v>
      </c>
      <c r="E1045" s="407" t="s">
        <v>3925</v>
      </c>
      <c r="F1045" s="261" t="str">
        <f>TEXT(VLOOKUP(J1045,'[3]1'!$B$2:$D$37,2,0),"0000")</f>
        <v>0025</v>
      </c>
      <c r="G1045" s="261" t="str">
        <f t="shared" si="159"/>
        <v>0138</v>
      </c>
      <c r="H1045" s="408">
        <f t="shared" si="160"/>
        <v>5</v>
      </c>
      <c r="I1045" s="407" t="s">
        <v>3925</v>
      </c>
      <c r="J1045" s="260" t="s">
        <v>1935</v>
      </c>
      <c r="K1045" s="413" t="s">
        <v>116</v>
      </c>
      <c r="L1045" s="413" t="s">
        <v>3680</v>
      </c>
      <c r="M1045" s="552">
        <v>147600000</v>
      </c>
      <c r="N1045" s="416">
        <v>2999</v>
      </c>
      <c r="O1045" s="258" t="s">
        <v>77</v>
      </c>
      <c r="P1045" s="413" t="s">
        <v>73</v>
      </c>
      <c r="Q1045" s="413" t="s">
        <v>72</v>
      </c>
      <c r="R1045" s="416">
        <v>5</v>
      </c>
      <c r="S1045" s="410">
        <v>9</v>
      </c>
      <c r="T1045" s="261">
        <v>6</v>
      </c>
      <c r="U1045" s="261">
        <v>6</v>
      </c>
      <c r="V1045" s="260" t="s">
        <v>71</v>
      </c>
      <c r="W1045" s="261" t="str">
        <f t="shared" si="162"/>
        <v>MercedesBenzGLE-ClassGLE 53 AMG 4Matic+147600000</v>
      </c>
      <c r="X1045" s="411">
        <f t="shared" si="163"/>
        <v>4819</v>
      </c>
      <c r="Y1045" s="261">
        <v>6</v>
      </c>
      <c r="Z1045" s="261">
        <v>6</v>
      </c>
      <c r="AA1045" s="407" t="s">
        <v>3925</v>
      </c>
      <c r="AB1045" s="260" t="s">
        <v>70</v>
      </c>
      <c r="AC1045" s="260"/>
      <c r="AD1045" s="260">
        <v>5</v>
      </c>
      <c r="AE1045" s="260">
        <v>2</v>
      </c>
      <c r="AF1045" s="260"/>
      <c r="AG1045" s="260"/>
      <c r="AH1045" s="259"/>
      <c r="AI1045" s="260"/>
      <c r="AJ1045" s="260"/>
      <c r="AK1045" s="259">
        <v>13</v>
      </c>
      <c r="AL1045" s="259"/>
      <c r="AM1045" s="259" t="s">
        <v>3970</v>
      </c>
      <c r="AN1045" s="449"/>
      <c r="AO1045" s="449"/>
      <c r="AP1045" s="449"/>
      <c r="AQ1045" s="392" t="str">
        <f>IFERROR(VLOOKUP(BG1045,#REF!,1,0),"")</f>
        <v/>
      </c>
      <c r="AR1045" s="392"/>
      <c r="AS1045" s="259" t="s">
        <v>3233</v>
      </c>
      <c r="AT1045" s="392"/>
      <c r="AU1045" s="392"/>
      <c r="AV1045" s="392"/>
      <c r="AW1045" s="392" t="s">
        <v>3959</v>
      </c>
      <c r="AX1045" s="392"/>
      <c r="AY1045" s="392"/>
      <c r="AZ1045" s="202" t="e">
        <f>VLOOKUP(#REF!,잔가군!$B:$C,2,0)</f>
        <v>#REF!</v>
      </c>
      <c r="BA1045" s="202" t="e">
        <f>S1045-#REF!</f>
        <v>#REF!</v>
      </c>
      <c r="BD1045" s="202" t="str">
        <f t="shared" si="155"/>
        <v>GLE-ClassGLE 53 AMG 4Matic+</v>
      </c>
      <c r="BE1045" s="261" t="str">
        <f t="shared" si="161"/>
        <v>0138</v>
      </c>
      <c r="BF1045" s="407" t="s">
        <v>3925</v>
      </c>
      <c r="BG1045" s="202" t="str">
        <f t="shared" si="156"/>
        <v>0138-1044</v>
      </c>
    </row>
    <row r="1046" spans="1:59" s="207" customFormat="1">
      <c r="A1046" s="405">
        <v>4820</v>
      </c>
      <c r="B1046" s="406">
        <v>4820</v>
      </c>
      <c r="C1046" s="261" t="str">
        <f t="shared" si="157"/>
        <v>0025-0138</v>
      </c>
      <c r="D1046" s="261" t="str">
        <f t="shared" si="158"/>
        <v>0025-0138-0006</v>
      </c>
      <c r="E1046" s="407" t="s">
        <v>1569</v>
      </c>
      <c r="F1046" s="261" t="str">
        <f>TEXT(VLOOKUP(J1046,'[3]1'!$B$2:$D$37,2,0),"0000")</f>
        <v>0025</v>
      </c>
      <c r="G1046" s="261" t="str">
        <f t="shared" si="159"/>
        <v>0138</v>
      </c>
      <c r="H1046" s="408">
        <f t="shared" si="160"/>
        <v>6</v>
      </c>
      <c r="I1046" s="407" t="s">
        <v>1569</v>
      </c>
      <c r="J1046" s="260" t="s">
        <v>1935</v>
      </c>
      <c r="K1046" s="413" t="s">
        <v>116</v>
      </c>
      <c r="L1046" s="413" t="s">
        <v>3736</v>
      </c>
      <c r="M1046" s="552">
        <v>147600000</v>
      </c>
      <c r="N1046" s="416">
        <v>2999</v>
      </c>
      <c r="O1046" s="258" t="s">
        <v>77</v>
      </c>
      <c r="P1046" s="413" t="s">
        <v>73</v>
      </c>
      <c r="Q1046" s="413" t="s">
        <v>72</v>
      </c>
      <c r="R1046" s="416">
        <v>5</v>
      </c>
      <c r="S1046" s="410">
        <v>9</v>
      </c>
      <c r="T1046" s="261">
        <v>6</v>
      </c>
      <c r="U1046" s="261">
        <v>6</v>
      </c>
      <c r="V1046" s="260" t="s">
        <v>71</v>
      </c>
      <c r="W1046" s="261" t="str">
        <f t="shared" si="162"/>
        <v>MercedesBenzGLE-ClassGLE 53 AMG 4Matic+ 쿠페147600000</v>
      </c>
      <c r="X1046" s="411">
        <f t="shared" si="163"/>
        <v>4820</v>
      </c>
      <c r="Y1046" s="261">
        <v>6</v>
      </c>
      <c r="Z1046" s="261">
        <v>6</v>
      </c>
      <c r="AA1046" s="407" t="s">
        <v>1569</v>
      </c>
      <c r="AB1046" s="260" t="s">
        <v>70</v>
      </c>
      <c r="AC1046" s="260"/>
      <c r="AD1046" s="260">
        <v>5</v>
      </c>
      <c r="AE1046" s="260">
        <v>2</v>
      </c>
      <c r="AF1046" s="260"/>
      <c r="AG1046" s="260"/>
      <c r="AH1046" s="259"/>
      <c r="AI1046" s="260"/>
      <c r="AJ1046" s="260"/>
      <c r="AK1046" s="259">
        <v>13</v>
      </c>
      <c r="AL1046" s="259"/>
      <c r="AM1046" s="259" t="s">
        <v>3970</v>
      </c>
      <c r="AN1046" s="449"/>
      <c r="AO1046" s="449"/>
      <c r="AP1046" s="449"/>
      <c r="AQ1046" s="392" t="str">
        <f>IFERROR(VLOOKUP(BG1046,#REF!,1,0),"")</f>
        <v/>
      </c>
      <c r="AR1046" s="392"/>
      <c r="AS1046" s="259" t="s">
        <v>3233</v>
      </c>
      <c r="AT1046" s="392"/>
      <c r="AU1046" s="392"/>
      <c r="AV1046" s="392"/>
      <c r="AW1046" s="392" t="s">
        <v>3959</v>
      </c>
      <c r="AX1046" s="392"/>
      <c r="AY1046" s="392"/>
      <c r="AZ1046" s="202" t="e">
        <f>VLOOKUP(#REF!,잔가군!$B:$C,2,0)</f>
        <v>#REF!</v>
      </c>
      <c r="BA1046" s="202" t="e">
        <f>S1046-#REF!</f>
        <v>#REF!</v>
      </c>
      <c r="BD1046" s="202" t="str">
        <f t="shared" si="155"/>
        <v>GLE-ClassGLE 53 AMG 4Matic+ 쿠페</v>
      </c>
      <c r="BE1046" s="261" t="str">
        <f t="shared" si="161"/>
        <v>0138</v>
      </c>
      <c r="BF1046" s="407" t="s">
        <v>1569</v>
      </c>
      <c r="BG1046" s="202" t="str">
        <f t="shared" si="156"/>
        <v>0138-1045</v>
      </c>
    </row>
    <row r="1047" spans="1:59">
      <c r="A1047" s="405">
        <v>4821</v>
      </c>
      <c r="B1047" s="406">
        <v>4821</v>
      </c>
      <c r="C1047" s="261" t="str">
        <f t="shared" si="157"/>
        <v>0025-0139</v>
      </c>
      <c r="D1047" s="261" t="str">
        <f t="shared" si="158"/>
        <v>0025-0139-0001</v>
      </c>
      <c r="E1047" s="407" t="s">
        <v>1570</v>
      </c>
      <c r="F1047" s="261" t="str">
        <f>TEXT(VLOOKUP(J1047,'[3]1'!$B$2:$D$37,2,0),"0000")</f>
        <v>0025</v>
      </c>
      <c r="G1047" s="261" t="str">
        <f t="shared" si="159"/>
        <v>0139</v>
      </c>
      <c r="H1047" s="408">
        <f t="shared" si="160"/>
        <v>1</v>
      </c>
      <c r="I1047" s="407" t="s">
        <v>1570</v>
      </c>
      <c r="J1047" s="260" t="s">
        <v>1935</v>
      </c>
      <c r="K1047" s="260" t="s">
        <v>115</v>
      </c>
      <c r="L1047" s="413" t="s">
        <v>2024</v>
      </c>
      <c r="M1047" s="430">
        <v>141100000</v>
      </c>
      <c r="N1047" s="416">
        <v>2925</v>
      </c>
      <c r="O1047" s="413" t="s">
        <v>78</v>
      </c>
      <c r="P1047" s="413" t="s">
        <v>73</v>
      </c>
      <c r="Q1047" s="413" t="s">
        <v>72</v>
      </c>
      <c r="R1047" s="416">
        <v>5</v>
      </c>
      <c r="S1047" s="410">
        <v>7</v>
      </c>
      <c r="T1047" s="261">
        <v>6</v>
      </c>
      <c r="U1047" s="261">
        <v>6</v>
      </c>
      <c r="V1047" s="260" t="s">
        <v>71</v>
      </c>
      <c r="W1047" s="261" t="str">
        <f t="shared" si="162"/>
        <v>MercedesBenzGLS-ClassGLS 400d 4matic141100000</v>
      </c>
      <c r="X1047" s="411">
        <f t="shared" si="163"/>
        <v>4821</v>
      </c>
      <c r="Y1047" s="261">
        <v>6</v>
      </c>
      <c r="Z1047" s="261">
        <v>6</v>
      </c>
      <c r="AA1047" s="407" t="s">
        <v>1570</v>
      </c>
      <c r="AB1047" s="413" t="s">
        <v>70</v>
      </c>
      <c r="AC1047" s="260"/>
      <c r="AD1047" s="260">
        <v>3</v>
      </c>
      <c r="AE1047" s="260">
        <v>0</v>
      </c>
      <c r="AF1047" s="260"/>
      <c r="AG1047" s="260"/>
      <c r="AH1047" s="259"/>
      <c r="AI1047" s="260"/>
      <c r="AJ1047" s="260"/>
      <c r="AK1047" s="259">
        <v>9</v>
      </c>
      <c r="AL1047" s="259"/>
      <c r="AM1047" s="259" t="s">
        <v>3962</v>
      </c>
      <c r="AN1047" s="449"/>
      <c r="AO1047" s="449"/>
      <c r="AP1047" s="449"/>
      <c r="AQ1047" s="392" t="str">
        <f>IFERROR(VLOOKUP(BG1047,#REF!,1,0),"")</f>
        <v/>
      </c>
      <c r="AS1047" s="259" t="s">
        <v>3229</v>
      </c>
      <c r="AW1047" s="392" t="s">
        <v>3958</v>
      </c>
      <c r="BD1047" s="202" t="str">
        <f t="shared" si="155"/>
        <v>GLS-ClassGLS 400d 4matic</v>
      </c>
      <c r="BE1047" s="261" t="str">
        <f t="shared" si="161"/>
        <v>0139</v>
      </c>
      <c r="BF1047" s="407" t="s">
        <v>1570</v>
      </c>
      <c r="BG1047" s="202" t="str">
        <f t="shared" si="156"/>
        <v>0139-1046</v>
      </c>
    </row>
    <row r="1048" spans="1:59">
      <c r="A1048" s="405">
        <v>4822</v>
      </c>
      <c r="B1048" s="406">
        <v>4822</v>
      </c>
      <c r="C1048" s="261" t="str">
        <f t="shared" si="157"/>
        <v>0025-0139</v>
      </c>
      <c r="D1048" s="261" t="str">
        <f t="shared" si="158"/>
        <v>0025-0139-0002</v>
      </c>
      <c r="E1048" s="407" t="s">
        <v>1571</v>
      </c>
      <c r="F1048" s="261" t="str">
        <f>TEXT(VLOOKUP(J1048,'[3]1'!$B$2:$D$37,2,0),"0000")</f>
        <v>0025</v>
      </c>
      <c r="G1048" s="261" t="str">
        <f t="shared" si="159"/>
        <v>0139</v>
      </c>
      <c r="H1048" s="408">
        <f t="shared" si="160"/>
        <v>2</v>
      </c>
      <c r="I1048" s="407" t="s">
        <v>1571</v>
      </c>
      <c r="J1048" s="260" t="s">
        <v>1935</v>
      </c>
      <c r="K1048" s="260" t="s">
        <v>115</v>
      </c>
      <c r="L1048" s="413" t="s">
        <v>3335</v>
      </c>
      <c r="M1048" s="430">
        <v>141100000</v>
      </c>
      <c r="N1048" s="416">
        <v>2925</v>
      </c>
      <c r="O1048" s="413" t="s">
        <v>78</v>
      </c>
      <c r="P1048" s="413" t="s">
        <v>73</v>
      </c>
      <c r="Q1048" s="413" t="s">
        <v>72</v>
      </c>
      <c r="R1048" s="416">
        <v>5</v>
      </c>
      <c r="S1048" s="410">
        <v>9</v>
      </c>
      <c r="T1048" s="261">
        <v>6</v>
      </c>
      <c r="U1048" s="261">
        <v>6</v>
      </c>
      <c r="V1048" s="260" t="s">
        <v>71</v>
      </c>
      <c r="W1048" s="261" t="str">
        <f t="shared" si="162"/>
        <v>MercedesBenzGLS-ClassGLS 450d 4matic141100000</v>
      </c>
      <c r="X1048" s="411">
        <f t="shared" si="163"/>
        <v>4822</v>
      </c>
      <c r="Y1048" s="261">
        <v>6</v>
      </c>
      <c r="Z1048" s="261">
        <v>6</v>
      </c>
      <c r="AA1048" s="407" t="s">
        <v>1571</v>
      </c>
      <c r="AB1048" s="413" t="s">
        <v>70</v>
      </c>
      <c r="AC1048" s="260"/>
      <c r="AD1048" s="260">
        <v>3</v>
      </c>
      <c r="AE1048" s="260">
        <v>0</v>
      </c>
      <c r="AF1048" s="260"/>
      <c r="AG1048" s="260"/>
      <c r="AH1048" s="259"/>
      <c r="AI1048" s="260"/>
      <c r="AJ1048" s="260"/>
      <c r="AK1048" s="259">
        <v>8</v>
      </c>
      <c r="AL1048" s="259"/>
      <c r="AM1048" s="259" t="s">
        <v>3657</v>
      </c>
      <c r="AN1048" s="449"/>
      <c r="AO1048" s="449"/>
      <c r="AP1048" s="449"/>
      <c r="AQ1048" s="392" t="str">
        <f>IFERROR(VLOOKUP(BG1048,#REF!,1,0),"")</f>
        <v/>
      </c>
      <c r="AS1048" s="259" t="s">
        <v>3222</v>
      </c>
      <c r="BD1048" s="202" t="str">
        <f t="shared" si="155"/>
        <v>GLS-ClassGLS 450d 4matic</v>
      </c>
      <c r="BE1048" s="261" t="str">
        <f t="shared" si="161"/>
        <v>0139</v>
      </c>
      <c r="BF1048" s="407" t="s">
        <v>1571</v>
      </c>
      <c r="BG1048" s="202" t="str">
        <f t="shared" si="156"/>
        <v>0139-1047</v>
      </c>
    </row>
    <row r="1049" spans="1:59">
      <c r="A1049" s="405">
        <v>4823</v>
      </c>
      <c r="B1049" s="406">
        <v>4823</v>
      </c>
      <c r="C1049" s="261" t="str">
        <f t="shared" si="157"/>
        <v>0025-0139</v>
      </c>
      <c r="D1049" s="261" t="str">
        <f t="shared" si="158"/>
        <v>0025-0139-0003</v>
      </c>
      <c r="E1049" s="407" t="s">
        <v>1572</v>
      </c>
      <c r="F1049" s="261" t="str">
        <f>TEXT(VLOOKUP(J1049,'[3]1'!$B$2:$D$37,2,0),"0000")</f>
        <v>0025</v>
      </c>
      <c r="G1049" s="261" t="str">
        <f t="shared" si="159"/>
        <v>0139</v>
      </c>
      <c r="H1049" s="408">
        <f t="shared" si="160"/>
        <v>3</v>
      </c>
      <c r="I1049" s="407" t="s">
        <v>1572</v>
      </c>
      <c r="J1049" s="260" t="s">
        <v>1935</v>
      </c>
      <c r="K1049" s="260" t="s">
        <v>115</v>
      </c>
      <c r="L1049" s="413" t="s">
        <v>2025</v>
      </c>
      <c r="M1049" s="430">
        <v>167600000</v>
      </c>
      <c r="N1049" s="416">
        <v>3982</v>
      </c>
      <c r="O1049" s="258" t="s">
        <v>77</v>
      </c>
      <c r="P1049" s="413" t="s">
        <v>73</v>
      </c>
      <c r="Q1049" s="413" t="s">
        <v>72</v>
      </c>
      <c r="R1049" s="416">
        <v>5</v>
      </c>
      <c r="S1049" s="410">
        <v>9</v>
      </c>
      <c r="T1049" s="261">
        <v>6</v>
      </c>
      <c r="U1049" s="261">
        <v>6</v>
      </c>
      <c r="V1049" s="260" t="s">
        <v>71</v>
      </c>
      <c r="W1049" s="261" t="str">
        <f t="shared" si="162"/>
        <v>MercedesBenzGLS-ClassGLS 580 4Matic167600000</v>
      </c>
      <c r="X1049" s="411">
        <f t="shared" si="163"/>
        <v>4823</v>
      </c>
      <c r="Y1049" s="261">
        <v>6</v>
      </c>
      <c r="Z1049" s="261">
        <v>6</v>
      </c>
      <c r="AA1049" s="407" t="s">
        <v>1572</v>
      </c>
      <c r="AB1049" s="413" t="s">
        <v>70</v>
      </c>
      <c r="AC1049" s="260"/>
      <c r="AD1049" s="260">
        <v>5</v>
      </c>
      <c r="AE1049" s="260">
        <v>2</v>
      </c>
      <c r="AF1049" s="260"/>
      <c r="AG1049" s="260"/>
      <c r="AH1049" s="259"/>
      <c r="AI1049" s="260"/>
      <c r="AJ1049" s="260"/>
      <c r="AK1049" s="259">
        <v>10</v>
      </c>
      <c r="AL1049" s="259"/>
      <c r="AM1049" s="259" t="s">
        <v>3972</v>
      </c>
      <c r="AN1049" s="449"/>
      <c r="AO1049" s="449"/>
      <c r="AP1049" s="449"/>
      <c r="AQ1049" s="392" t="str">
        <f>IFERROR(VLOOKUP(BG1049,#REF!,1,0),"")</f>
        <v/>
      </c>
      <c r="AS1049" s="259" t="s">
        <v>3222</v>
      </c>
      <c r="AW1049" s="392" t="s">
        <v>3959</v>
      </c>
      <c r="BD1049" s="202" t="str">
        <f t="shared" si="155"/>
        <v>GLS-ClassGLS 580 4Matic</v>
      </c>
      <c r="BE1049" s="261" t="str">
        <f t="shared" si="161"/>
        <v>0139</v>
      </c>
      <c r="BF1049" s="407" t="s">
        <v>1572</v>
      </c>
      <c r="BG1049" s="202" t="str">
        <f t="shared" si="156"/>
        <v>0139-1048</v>
      </c>
    </row>
    <row r="1050" spans="1:59">
      <c r="A1050" s="405">
        <v>4824</v>
      </c>
      <c r="B1050" s="406">
        <v>4824</v>
      </c>
      <c r="C1050" s="261" t="str">
        <f t="shared" si="157"/>
        <v>0025-0140</v>
      </c>
      <c r="D1050" s="261" t="str">
        <f t="shared" si="158"/>
        <v>0025-0140-0001</v>
      </c>
      <c r="E1050" s="407" t="s">
        <v>1573</v>
      </c>
      <c r="F1050" s="261" t="str">
        <f>TEXT(VLOOKUP(J1050,'[3]1'!$B$2:$D$37,2,0),"0000")</f>
        <v>0025</v>
      </c>
      <c r="G1050" s="261" t="str">
        <f t="shared" si="159"/>
        <v>0140</v>
      </c>
      <c r="H1050" s="408">
        <f t="shared" si="160"/>
        <v>1</v>
      </c>
      <c r="I1050" s="407" t="s">
        <v>1573</v>
      </c>
      <c r="J1050" s="260" t="s">
        <v>1935</v>
      </c>
      <c r="K1050" s="260" t="s">
        <v>114</v>
      </c>
      <c r="L1050" s="260" t="s">
        <v>3265</v>
      </c>
      <c r="M1050" s="429">
        <v>182000000</v>
      </c>
      <c r="N1050" s="260">
        <v>2999</v>
      </c>
      <c r="O1050" s="258" t="s">
        <v>77</v>
      </c>
      <c r="P1050" s="260" t="s">
        <v>73</v>
      </c>
      <c r="Q1050" s="260" t="s">
        <v>72</v>
      </c>
      <c r="R1050" s="260">
        <v>5</v>
      </c>
      <c r="S1050" s="410">
        <v>3</v>
      </c>
      <c r="T1050" s="261">
        <v>6</v>
      </c>
      <c r="U1050" s="261">
        <v>6</v>
      </c>
      <c r="V1050" s="260" t="s">
        <v>1969</v>
      </c>
      <c r="W1050" s="261" t="str">
        <f t="shared" si="162"/>
        <v>MercedesBenzS-ClassS450 4M182000000</v>
      </c>
      <c r="X1050" s="411">
        <f t="shared" si="163"/>
        <v>4824</v>
      </c>
      <c r="Y1050" s="261">
        <v>6</v>
      </c>
      <c r="Z1050" s="261">
        <v>6</v>
      </c>
      <c r="AA1050" s="407" t="s">
        <v>1573</v>
      </c>
      <c r="AB1050" s="260" t="s">
        <v>73</v>
      </c>
      <c r="AC1050" s="260"/>
      <c r="AD1050" s="260"/>
      <c r="AE1050" s="260"/>
      <c r="AF1050" s="260"/>
      <c r="AG1050" s="260"/>
      <c r="AH1050" s="259"/>
      <c r="AI1050" s="260"/>
      <c r="AJ1050" s="260"/>
      <c r="AK1050" s="259">
        <v>8</v>
      </c>
      <c r="AL1050" s="259"/>
      <c r="AM1050" s="259" t="s">
        <v>3971</v>
      </c>
      <c r="AN1050" s="449"/>
      <c r="AO1050" s="449"/>
      <c r="AP1050" s="449"/>
      <c r="AQ1050" s="392" t="str">
        <f>IFERROR(VLOOKUP(BG1050,#REF!,1,0),"")</f>
        <v/>
      </c>
      <c r="AS1050" s="259" t="s">
        <v>3237</v>
      </c>
      <c r="AT1050" s="392" t="s">
        <v>3156</v>
      </c>
      <c r="AW1050" s="392" t="s">
        <v>3959</v>
      </c>
      <c r="BD1050" s="202" t="str">
        <f t="shared" si="155"/>
        <v>S-ClassS450 4M</v>
      </c>
      <c r="BE1050" s="261" t="str">
        <f t="shared" si="161"/>
        <v>0140</v>
      </c>
      <c r="BF1050" s="407" t="s">
        <v>1573</v>
      </c>
      <c r="BG1050" s="202" t="str">
        <f t="shared" si="156"/>
        <v>0140-1049</v>
      </c>
    </row>
    <row r="1051" spans="1:59">
      <c r="A1051" s="405">
        <v>4825</v>
      </c>
      <c r="B1051" s="406">
        <v>4825</v>
      </c>
      <c r="C1051" s="261" t="str">
        <f t="shared" si="157"/>
        <v>0025-0140</v>
      </c>
      <c r="D1051" s="261" t="str">
        <f t="shared" si="158"/>
        <v>0025-0140-0002</v>
      </c>
      <c r="E1051" s="407" t="s">
        <v>1574</v>
      </c>
      <c r="F1051" s="261" t="str">
        <f>TEXT(VLOOKUP(J1051,'[3]1'!$B$2:$D$37,2,0),"0000")</f>
        <v>0025</v>
      </c>
      <c r="G1051" s="261" t="str">
        <f t="shared" si="159"/>
        <v>0140</v>
      </c>
      <c r="H1051" s="408">
        <f t="shared" si="160"/>
        <v>2</v>
      </c>
      <c r="I1051" s="407" t="s">
        <v>1574</v>
      </c>
      <c r="J1051" s="260" t="s">
        <v>1935</v>
      </c>
      <c r="K1051" s="260" t="s">
        <v>114</v>
      </c>
      <c r="L1051" s="432" t="s">
        <v>3737</v>
      </c>
      <c r="M1051" s="430">
        <v>158100000</v>
      </c>
      <c r="N1051" s="267">
        <v>2925</v>
      </c>
      <c r="O1051" s="307" t="s">
        <v>78</v>
      </c>
      <c r="P1051" s="307" t="s">
        <v>73</v>
      </c>
      <c r="Q1051" s="307" t="s">
        <v>72</v>
      </c>
      <c r="R1051" s="307">
        <v>5</v>
      </c>
      <c r="S1051" s="410">
        <v>6</v>
      </c>
      <c r="T1051" s="261">
        <v>6</v>
      </c>
      <c r="U1051" s="261">
        <v>6</v>
      </c>
      <c r="V1051" s="307" t="s">
        <v>71</v>
      </c>
      <c r="W1051" s="261" t="str">
        <f t="shared" si="162"/>
        <v>MercedesBenzS-ClassS 450d 4matic158100000</v>
      </c>
      <c r="X1051" s="411">
        <f t="shared" si="163"/>
        <v>4825</v>
      </c>
      <c r="Y1051" s="261">
        <v>6</v>
      </c>
      <c r="Z1051" s="261">
        <v>6</v>
      </c>
      <c r="AA1051" s="407" t="s">
        <v>1574</v>
      </c>
      <c r="AB1051" s="307" t="s">
        <v>73</v>
      </c>
      <c r="AC1051" s="307"/>
      <c r="AD1051" s="307">
        <v>5</v>
      </c>
      <c r="AE1051" s="307">
        <v>2</v>
      </c>
      <c r="AF1051" s="307"/>
      <c r="AG1051" s="307"/>
      <c r="AH1051" s="270"/>
      <c r="AI1051" s="307"/>
      <c r="AJ1051" s="307"/>
      <c r="AK1051" s="259">
        <v>8</v>
      </c>
      <c r="AL1051" s="259"/>
      <c r="AM1051" s="259" t="s">
        <v>3657</v>
      </c>
      <c r="AN1051" s="449"/>
      <c r="AO1051" s="449"/>
      <c r="AP1051" s="449"/>
      <c r="AQ1051" s="392" t="str">
        <f>IFERROR(VLOOKUP(BG1051,#REF!,1,0),"")</f>
        <v/>
      </c>
      <c r="AS1051" s="259" t="s">
        <v>1984</v>
      </c>
      <c r="BD1051" s="202" t="str">
        <f t="shared" si="155"/>
        <v>S-ClassS 450d 4matic</v>
      </c>
      <c r="BE1051" s="261" t="str">
        <f t="shared" si="161"/>
        <v>0140</v>
      </c>
      <c r="BF1051" s="407" t="s">
        <v>1574</v>
      </c>
      <c r="BG1051" s="202" t="str">
        <f t="shared" si="156"/>
        <v>0140-1050</v>
      </c>
    </row>
    <row r="1052" spans="1:59">
      <c r="A1052" s="405">
        <v>4826</v>
      </c>
      <c r="B1052" s="406">
        <v>4826</v>
      </c>
      <c r="C1052" s="261" t="str">
        <f t="shared" si="157"/>
        <v>0025-0140</v>
      </c>
      <c r="D1052" s="261" t="str">
        <f t="shared" si="158"/>
        <v>0025-0140-0003</v>
      </c>
      <c r="E1052" s="407" t="s">
        <v>3926</v>
      </c>
      <c r="F1052" s="261" t="str">
        <f>TEXT(VLOOKUP(J1052,'[3]1'!$B$2:$D$37,2,0),"0000")</f>
        <v>0025</v>
      </c>
      <c r="G1052" s="261" t="str">
        <f t="shared" si="159"/>
        <v>0140</v>
      </c>
      <c r="H1052" s="408">
        <f t="shared" si="160"/>
        <v>3</v>
      </c>
      <c r="I1052" s="407" t="s">
        <v>3926</v>
      </c>
      <c r="J1052" s="260" t="s">
        <v>1935</v>
      </c>
      <c r="K1052" s="260" t="s">
        <v>114</v>
      </c>
      <c r="L1052" s="432" t="s">
        <v>3324</v>
      </c>
      <c r="M1052" s="430">
        <v>178500000</v>
      </c>
      <c r="N1052" s="267">
        <v>2925</v>
      </c>
      <c r="O1052" s="307" t="s">
        <v>78</v>
      </c>
      <c r="P1052" s="307" t="s">
        <v>73</v>
      </c>
      <c r="Q1052" s="307" t="s">
        <v>72</v>
      </c>
      <c r="R1052" s="307">
        <v>5</v>
      </c>
      <c r="S1052" s="410">
        <v>6</v>
      </c>
      <c r="T1052" s="261">
        <v>6</v>
      </c>
      <c r="U1052" s="261">
        <v>6</v>
      </c>
      <c r="V1052" s="307" t="s">
        <v>71</v>
      </c>
      <c r="W1052" s="261" t="str">
        <f t="shared" si="162"/>
        <v>MercedesBenzS-ClassS 450d 4matic (AMG LIne)178500000</v>
      </c>
      <c r="X1052" s="411">
        <f t="shared" si="163"/>
        <v>4826</v>
      </c>
      <c r="Y1052" s="261">
        <v>6</v>
      </c>
      <c r="Z1052" s="261">
        <v>6</v>
      </c>
      <c r="AA1052" s="407" t="s">
        <v>3926</v>
      </c>
      <c r="AB1052" s="307" t="s">
        <v>73</v>
      </c>
      <c r="AC1052" s="307"/>
      <c r="AD1052" s="307">
        <v>5</v>
      </c>
      <c r="AE1052" s="307">
        <v>2</v>
      </c>
      <c r="AF1052" s="307"/>
      <c r="AG1052" s="307"/>
      <c r="AH1052" s="270"/>
      <c r="AI1052" s="307"/>
      <c r="AJ1052" s="307"/>
      <c r="AK1052" s="259">
        <v>8</v>
      </c>
      <c r="AL1052" s="259"/>
      <c r="AM1052" s="259" t="s">
        <v>3657</v>
      </c>
      <c r="AN1052" s="449"/>
      <c r="AO1052" s="449"/>
      <c r="AP1052" s="449"/>
      <c r="AQ1052" s="392" t="str">
        <f>IFERROR(VLOOKUP(BG1052,#REF!,1,0),"")</f>
        <v/>
      </c>
      <c r="AS1052" s="259" t="s">
        <v>1984</v>
      </c>
      <c r="BD1052" s="202" t="str">
        <f t="shared" si="155"/>
        <v>S-ClassS 450d 4matic (AMG LIne)</v>
      </c>
      <c r="BE1052" s="261" t="str">
        <f t="shared" si="161"/>
        <v>0140</v>
      </c>
      <c r="BF1052" s="407" t="s">
        <v>3926</v>
      </c>
      <c r="BG1052" s="202" t="str">
        <f t="shared" si="156"/>
        <v>0140-1051</v>
      </c>
    </row>
    <row r="1053" spans="1:59">
      <c r="A1053" s="405">
        <v>4827</v>
      </c>
      <c r="B1053" s="406">
        <v>4827</v>
      </c>
      <c r="C1053" s="261" t="str">
        <f t="shared" si="157"/>
        <v>0025-0140</v>
      </c>
      <c r="D1053" s="261" t="str">
        <f t="shared" si="158"/>
        <v>0025-0140-0004</v>
      </c>
      <c r="E1053" s="407" t="s">
        <v>3927</v>
      </c>
      <c r="F1053" s="261" t="str">
        <f>TEXT(VLOOKUP(J1053,'[3]1'!$B$2:$D$37,2,0),"0000")</f>
        <v>0025</v>
      </c>
      <c r="G1053" s="261" t="str">
        <f t="shared" si="159"/>
        <v>0140</v>
      </c>
      <c r="H1053" s="408">
        <f t="shared" si="160"/>
        <v>4</v>
      </c>
      <c r="I1053" s="407" t="s">
        <v>3927</v>
      </c>
      <c r="J1053" s="260" t="s">
        <v>1935</v>
      </c>
      <c r="K1053" s="260" t="s">
        <v>114</v>
      </c>
      <c r="L1053" s="432" t="s">
        <v>3002</v>
      </c>
      <c r="M1053" s="430">
        <v>158100000</v>
      </c>
      <c r="N1053" s="267">
        <v>2925</v>
      </c>
      <c r="O1053" s="307" t="s">
        <v>78</v>
      </c>
      <c r="P1053" s="307" t="s">
        <v>73</v>
      </c>
      <c r="Q1053" s="307" t="s">
        <v>72</v>
      </c>
      <c r="R1053" s="307">
        <v>5</v>
      </c>
      <c r="S1053" s="410">
        <v>14</v>
      </c>
      <c r="T1053" s="261">
        <v>6</v>
      </c>
      <c r="U1053" s="261">
        <v>6</v>
      </c>
      <c r="V1053" s="307" t="s">
        <v>71</v>
      </c>
      <c r="W1053" s="261" t="str">
        <f t="shared" si="162"/>
        <v>MercedesBenzS-ClassS 400d 4matic (AMG LIne)158100000</v>
      </c>
      <c r="X1053" s="411">
        <f t="shared" si="163"/>
        <v>4827</v>
      </c>
      <c r="Y1053" s="261">
        <v>6</v>
      </c>
      <c r="Z1053" s="261">
        <v>6</v>
      </c>
      <c r="AA1053" s="407" t="s">
        <v>3927</v>
      </c>
      <c r="AB1053" s="307" t="s">
        <v>73</v>
      </c>
      <c r="AC1053" s="307"/>
      <c r="AD1053" s="307">
        <v>5</v>
      </c>
      <c r="AE1053" s="307">
        <v>2</v>
      </c>
      <c r="AF1053" s="307"/>
      <c r="AG1053" s="307"/>
      <c r="AH1053" s="270"/>
      <c r="AI1053" s="307"/>
      <c r="AJ1053" s="307"/>
      <c r="AK1053" s="259">
        <v>8</v>
      </c>
      <c r="AL1053" s="259"/>
      <c r="AM1053" s="259" t="s">
        <v>3657</v>
      </c>
      <c r="AN1053" s="449"/>
      <c r="AO1053" s="449"/>
      <c r="AP1053" s="449"/>
      <c r="AQ1053" s="392" t="str">
        <f>IFERROR(VLOOKUP(BG1053,#REF!,1,0),"")</f>
        <v/>
      </c>
      <c r="AS1053" s="259" t="s">
        <v>71</v>
      </c>
      <c r="BD1053" s="202" t="str">
        <f t="shared" si="155"/>
        <v>S-ClassS 400d 4matic (AMG LIne)</v>
      </c>
      <c r="BE1053" s="261" t="str">
        <f t="shared" si="161"/>
        <v>0140</v>
      </c>
      <c r="BF1053" s="407" t="s">
        <v>3927</v>
      </c>
      <c r="BG1053" s="202" t="str">
        <f t="shared" si="156"/>
        <v>0140-1052</v>
      </c>
    </row>
    <row r="1054" spans="1:59">
      <c r="A1054" s="405">
        <v>4828</v>
      </c>
      <c r="B1054" s="406">
        <v>4828</v>
      </c>
      <c r="C1054" s="261" t="str">
        <f t="shared" si="157"/>
        <v>0025-0140</v>
      </c>
      <c r="D1054" s="261" t="str">
        <f t="shared" si="158"/>
        <v>0025-0140-0005</v>
      </c>
      <c r="E1054" s="407" t="s">
        <v>1575</v>
      </c>
      <c r="F1054" s="261" t="str">
        <f>TEXT(VLOOKUP(J1054,'[3]1'!$B$2:$D$37,2,0),"0000")</f>
        <v>0025</v>
      </c>
      <c r="G1054" s="261" t="str">
        <f t="shared" si="159"/>
        <v>0140</v>
      </c>
      <c r="H1054" s="408">
        <f t="shared" si="160"/>
        <v>5</v>
      </c>
      <c r="I1054" s="407" t="s">
        <v>1575</v>
      </c>
      <c r="J1054" s="260" t="s">
        <v>1935</v>
      </c>
      <c r="K1054" s="260" t="s">
        <v>114</v>
      </c>
      <c r="L1054" s="432" t="s">
        <v>3738</v>
      </c>
      <c r="M1054" s="430">
        <v>183000000</v>
      </c>
      <c r="N1054" s="267">
        <v>2999</v>
      </c>
      <c r="O1054" s="258" t="s">
        <v>77</v>
      </c>
      <c r="P1054" s="307" t="s">
        <v>73</v>
      </c>
      <c r="Q1054" s="307" t="s">
        <v>72</v>
      </c>
      <c r="R1054" s="307">
        <v>5</v>
      </c>
      <c r="S1054" s="410">
        <v>4</v>
      </c>
      <c r="T1054" s="261">
        <v>6</v>
      </c>
      <c r="U1054" s="261">
        <v>6</v>
      </c>
      <c r="V1054" s="307" t="s">
        <v>71</v>
      </c>
      <c r="W1054" s="261" t="str">
        <f t="shared" si="162"/>
        <v>MercedesBenzS-ClassS 500 4matic183000000</v>
      </c>
      <c r="X1054" s="411">
        <f t="shared" si="163"/>
        <v>4828</v>
      </c>
      <c r="Y1054" s="261">
        <v>6</v>
      </c>
      <c r="Z1054" s="261">
        <v>6</v>
      </c>
      <c r="AA1054" s="407" t="s">
        <v>1575</v>
      </c>
      <c r="AB1054" s="307" t="s">
        <v>73</v>
      </c>
      <c r="AC1054" s="307"/>
      <c r="AD1054" s="307">
        <v>5</v>
      </c>
      <c r="AE1054" s="307">
        <v>0</v>
      </c>
      <c r="AF1054" s="307"/>
      <c r="AG1054" s="307"/>
      <c r="AH1054" s="270"/>
      <c r="AI1054" s="307"/>
      <c r="AJ1054" s="307"/>
      <c r="AK1054" s="259">
        <v>9</v>
      </c>
      <c r="AL1054" s="259"/>
      <c r="AM1054" s="259" t="s">
        <v>3962</v>
      </c>
      <c r="AN1054" s="449"/>
      <c r="AO1054" s="449"/>
      <c r="AP1054" s="449"/>
      <c r="AQ1054" s="392" t="str">
        <f>IFERROR(VLOOKUP(BG1054,#REF!,1,0),"")</f>
        <v/>
      </c>
      <c r="AS1054" s="259" t="s">
        <v>3226</v>
      </c>
      <c r="AW1054" s="392" t="s">
        <v>3958</v>
      </c>
      <c r="BD1054" s="202" t="str">
        <f t="shared" si="155"/>
        <v>S-ClassS 500 4matic</v>
      </c>
      <c r="BE1054" s="261" t="str">
        <f t="shared" si="161"/>
        <v>0140</v>
      </c>
      <c r="BF1054" s="407" t="s">
        <v>1575</v>
      </c>
      <c r="BG1054" s="202" t="str">
        <f t="shared" si="156"/>
        <v>0140-1053</v>
      </c>
    </row>
    <row r="1055" spans="1:59">
      <c r="A1055" s="405">
        <v>4829</v>
      </c>
      <c r="B1055" s="406">
        <v>4829</v>
      </c>
      <c r="C1055" s="261" t="str">
        <f t="shared" si="157"/>
        <v>0025-0140</v>
      </c>
      <c r="D1055" s="261" t="str">
        <f t="shared" si="158"/>
        <v>0025-0140-0006</v>
      </c>
      <c r="E1055" s="407" t="s">
        <v>1576</v>
      </c>
      <c r="F1055" s="261" t="str">
        <f>TEXT(VLOOKUP(J1055,'[3]1'!$B$2:$D$37,2,0),"0000")</f>
        <v>0025</v>
      </c>
      <c r="G1055" s="261" t="str">
        <f t="shared" si="159"/>
        <v>0140</v>
      </c>
      <c r="H1055" s="408">
        <f t="shared" si="160"/>
        <v>6</v>
      </c>
      <c r="I1055" s="407" t="s">
        <v>1576</v>
      </c>
      <c r="J1055" s="260" t="s">
        <v>1935</v>
      </c>
      <c r="K1055" s="260" t="s">
        <v>114</v>
      </c>
      <c r="L1055" s="433" t="s">
        <v>3544</v>
      </c>
      <c r="M1055" s="430">
        <v>229120000</v>
      </c>
      <c r="N1055" s="267">
        <v>3982</v>
      </c>
      <c r="O1055" s="258" t="s">
        <v>77</v>
      </c>
      <c r="P1055" s="307" t="s">
        <v>73</v>
      </c>
      <c r="Q1055" s="307" t="s">
        <v>72</v>
      </c>
      <c r="R1055" s="307">
        <v>5</v>
      </c>
      <c r="S1055" s="410">
        <v>8</v>
      </c>
      <c r="T1055" s="261">
        <v>6</v>
      </c>
      <c r="U1055" s="261">
        <v>6</v>
      </c>
      <c r="V1055" s="307" t="s">
        <v>71</v>
      </c>
      <c r="W1055" s="261" t="str">
        <f t="shared" si="162"/>
        <v>MercedesBenzS-ClassS 580 4matic 229120000</v>
      </c>
      <c r="X1055" s="411">
        <f t="shared" si="163"/>
        <v>4829</v>
      </c>
      <c r="Y1055" s="261">
        <v>6</v>
      </c>
      <c r="Z1055" s="261">
        <v>6</v>
      </c>
      <c r="AA1055" s="407" t="s">
        <v>1576</v>
      </c>
      <c r="AB1055" s="307" t="s">
        <v>73</v>
      </c>
      <c r="AC1055" s="307"/>
      <c r="AD1055" s="307">
        <v>5</v>
      </c>
      <c r="AE1055" s="307">
        <v>0</v>
      </c>
      <c r="AF1055" s="307"/>
      <c r="AG1055" s="307"/>
      <c r="AH1055" s="270"/>
      <c r="AI1055" s="307"/>
      <c r="AJ1055" s="307"/>
      <c r="AK1055" s="259">
        <v>9</v>
      </c>
      <c r="AL1055" s="259"/>
      <c r="AM1055" s="259" t="s">
        <v>3962</v>
      </c>
      <c r="AN1055" s="449"/>
      <c r="AO1055" s="449"/>
      <c r="AP1055" s="449"/>
      <c r="AQ1055" s="392" t="str">
        <f>IFERROR(VLOOKUP(BG1055,#REF!,1,0),"")</f>
        <v/>
      </c>
      <c r="AS1055" s="259" t="s">
        <v>3231</v>
      </c>
      <c r="AW1055" s="392" t="s">
        <v>3958</v>
      </c>
      <c r="BD1055" s="202" t="str">
        <f t="shared" si="155"/>
        <v xml:space="preserve">S-ClassS 580 4matic </v>
      </c>
      <c r="BE1055" s="261" t="str">
        <f t="shared" si="161"/>
        <v>0140</v>
      </c>
      <c r="BF1055" s="407" t="s">
        <v>1576</v>
      </c>
      <c r="BG1055" s="202" t="str">
        <f t="shared" si="156"/>
        <v>0140-1054</v>
      </c>
    </row>
    <row r="1056" spans="1:59">
      <c r="A1056" s="405">
        <v>4830</v>
      </c>
      <c r="B1056" s="406">
        <v>4830</v>
      </c>
      <c r="C1056" s="261" t="str">
        <f t="shared" si="157"/>
        <v>0025-0140</v>
      </c>
      <c r="D1056" s="261" t="str">
        <f t="shared" si="158"/>
        <v>0025-0140-0007</v>
      </c>
      <c r="E1056" s="407" t="s">
        <v>1577</v>
      </c>
      <c r="F1056" s="261" t="str">
        <f>TEXT(VLOOKUP(J1056,'[3]1'!$B$2:$D$37,2,0),"0000")</f>
        <v>0025</v>
      </c>
      <c r="G1056" s="261" t="str">
        <f t="shared" si="159"/>
        <v>0140</v>
      </c>
      <c r="H1056" s="408">
        <f t="shared" si="160"/>
        <v>7</v>
      </c>
      <c r="I1056" s="407" t="s">
        <v>1577</v>
      </c>
      <c r="J1056" s="260" t="s">
        <v>1935</v>
      </c>
      <c r="K1056" s="260" t="s">
        <v>114</v>
      </c>
      <c r="L1056" s="258" t="s">
        <v>3246</v>
      </c>
      <c r="M1056" s="520">
        <v>240600000</v>
      </c>
      <c r="N1056" s="258">
        <v>2999</v>
      </c>
      <c r="O1056" s="260" t="s">
        <v>1173</v>
      </c>
      <c r="P1056" s="260" t="s">
        <v>73</v>
      </c>
      <c r="Q1056" s="260" t="s">
        <v>72</v>
      </c>
      <c r="R1056" s="260">
        <v>5</v>
      </c>
      <c r="S1056" s="410">
        <v>12</v>
      </c>
      <c r="T1056" s="261">
        <v>6</v>
      </c>
      <c r="U1056" s="261">
        <v>6</v>
      </c>
      <c r="V1056" s="258" t="s">
        <v>71</v>
      </c>
      <c r="W1056" s="261" t="str">
        <f t="shared" si="162"/>
        <v>MercedesBenzS-ClassS580 e 4m240600000</v>
      </c>
      <c r="X1056" s="411">
        <f t="shared" si="163"/>
        <v>4830</v>
      </c>
      <c r="Y1056" s="261">
        <v>6</v>
      </c>
      <c r="Z1056" s="261">
        <v>6</v>
      </c>
      <c r="AA1056" s="407" t="s">
        <v>1577</v>
      </c>
      <c r="AB1056" s="260" t="s">
        <v>73</v>
      </c>
      <c r="AC1056" s="261"/>
      <c r="AD1056" s="261">
        <v>7</v>
      </c>
      <c r="AE1056" s="261">
        <v>0</v>
      </c>
      <c r="AF1056" s="260"/>
      <c r="AG1056" s="260"/>
      <c r="AH1056" s="259"/>
      <c r="AI1056" s="260"/>
      <c r="AJ1056" s="260"/>
      <c r="AK1056" s="259">
        <v>16</v>
      </c>
      <c r="AL1056" s="259"/>
      <c r="AM1056" s="259" t="s">
        <v>3665</v>
      </c>
      <c r="AN1056" s="449"/>
      <c r="AO1056" s="449"/>
      <c r="AP1056" s="449"/>
      <c r="AQ1056" s="392" t="str">
        <f>IFERROR(VLOOKUP(BG1056,#REF!,1,0),"")</f>
        <v/>
      </c>
      <c r="AS1056" s="259" t="s">
        <v>3247</v>
      </c>
      <c r="BD1056" s="202" t="str">
        <f t="shared" si="155"/>
        <v>S-ClassS580 e 4m</v>
      </c>
      <c r="BE1056" s="261" t="str">
        <f t="shared" si="161"/>
        <v>0140</v>
      </c>
      <c r="BF1056" s="407" t="s">
        <v>1577</v>
      </c>
      <c r="BG1056" s="202" t="str">
        <f t="shared" si="156"/>
        <v>0140-1055</v>
      </c>
    </row>
    <row r="1057" spans="1:59">
      <c r="A1057" s="405">
        <v>4831</v>
      </c>
      <c r="B1057" s="406">
        <v>4831</v>
      </c>
      <c r="C1057" s="261" t="str">
        <f t="shared" si="157"/>
        <v>0025-0140</v>
      </c>
      <c r="D1057" s="261" t="str">
        <f t="shared" si="158"/>
        <v>0025-0140-0008</v>
      </c>
      <c r="E1057" s="407" t="s">
        <v>1578</v>
      </c>
      <c r="F1057" s="261" t="str">
        <f>TEXT(VLOOKUP(J1057,'[3]1'!$B$2:$D$37,2,0),"0000")</f>
        <v>0025</v>
      </c>
      <c r="G1057" s="261" t="str">
        <f t="shared" si="159"/>
        <v>0140</v>
      </c>
      <c r="H1057" s="408">
        <f t="shared" si="160"/>
        <v>8</v>
      </c>
      <c r="I1057" s="407" t="s">
        <v>1578</v>
      </c>
      <c r="J1057" s="260" t="s">
        <v>1935</v>
      </c>
      <c r="K1057" s="260" t="s">
        <v>114</v>
      </c>
      <c r="L1057" s="258" t="s">
        <v>3739</v>
      </c>
      <c r="M1057" s="429">
        <v>246600000</v>
      </c>
      <c r="N1057" s="258">
        <v>3982</v>
      </c>
      <c r="O1057" s="258" t="s">
        <v>1173</v>
      </c>
      <c r="P1057" s="260" t="s">
        <v>73</v>
      </c>
      <c r="Q1057" s="260" t="s">
        <v>72</v>
      </c>
      <c r="R1057" s="260">
        <v>5</v>
      </c>
      <c r="S1057" s="410">
        <v>10</v>
      </c>
      <c r="T1057" s="261">
        <v>6</v>
      </c>
      <c r="U1057" s="261">
        <v>6</v>
      </c>
      <c r="V1057" s="258" t="s">
        <v>71</v>
      </c>
      <c r="W1057" s="261" t="str">
        <f t="shared" si="162"/>
        <v>MercedesBenzS-ClassS63 E 퍼포먼스246600000</v>
      </c>
      <c r="X1057" s="411">
        <f t="shared" si="163"/>
        <v>4831</v>
      </c>
      <c r="Y1057" s="261">
        <v>6</v>
      </c>
      <c r="Z1057" s="261">
        <v>6</v>
      </c>
      <c r="AA1057" s="407" t="s">
        <v>1578</v>
      </c>
      <c r="AB1057" s="260" t="s">
        <v>73</v>
      </c>
      <c r="AC1057" s="260"/>
      <c r="AD1057" s="260">
        <v>5</v>
      </c>
      <c r="AE1057" s="260">
        <v>0</v>
      </c>
      <c r="AF1057" s="260"/>
      <c r="AG1057" s="260"/>
      <c r="AH1057" s="259"/>
      <c r="AI1057" s="260"/>
      <c r="AJ1057" s="260"/>
      <c r="AK1057" s="259">
        <v>17</v>
      </c>
      <c r="AL1057" s="259"/>
      <c r="AM1057" s="259" t="s">
        <v>3719</v>
      </c>
      <c r="AN1057" s="449"/>
      <c r="AO1057" s="449"/>
      <c r="AP1057" s="449"/>
      <c r="AQ1057" s="392" t="str">
        <f>IFERROR(VLOOKUP(BG1057,#REF!,1,0),"")</f>
        <v/>
      </c>
      <c r="AS1057" s="259" t="s">
        <v>3224</v>
      </c>
      <c r="BD1057" s="202" t="str">
        <f t="shared" si="155"/>
        <v>S-ClassS63 E 퍼포먼스</v>
      </c>
      <c r="BE1057" s="261" t="str">
        <f t="shared" si="161"/>
        <v>0140</v>
      </c>
      <c r="BF1057" s="407" t="s">
        <v>1578</v>
      </c>
      <c r="BG1057" s="202" t="str">
        <f t="shared" si="156"/>
        <v>0140-1056</v>
      </c>
    </row>
    <row r="1058" spans="1:59">
      <c r="A1058" s="405">
        <v>4832</v>
      </c>
      <c r="B1058" s="406">
        <v>4832</v>
      </c>
      <c r="C1058" s="261" t="str">
        <f t="shared" si="157"/>
        <v>0025-0140</v>
      </c>
      <c r="D1058" s="261" t="str">
        <f t="shared" si="158"/>
        <v>0025-0140-0009</v>
      </c>
      <c r="E1058" s="407" t="s">
        <v>1579</v>
      </c>
      <c r="F1058" s="261" t="str">
        <f>TEXT(VLOOKUP(J1058,'[3]1'!$B$2:$D$37,2,0),"0000")</f>
        <v>0025</v>
      </c>
      <c r="G1058" s="261" t="str">
        <f t="shared" si="159"/>
        <v>0140</v>
      </c>
      <c r="H1058" s="408">
        <f t="shared" si="160"/>
        <v>9</v>
      </c>
      <c r="I1058" s="407" t="s">
        <v>1579</v>
      </c>
      <c r="J1058" s="260" t="s">
        <v>1935</v>
      </c>
      <c r="K1058" s="260" t="s">
        <v>114</v>
      </c>
      <c r="L1058" s="260" t="s">
        <v>3094</v>
      </c>
      <c r="M1058" s="429">
        <v>300000000</v>
      </c>
      <c r="N1058" s="260">
        <v>3982</v>
      </c>
      <c r="O1058" s="258" t="s">
        <v>77</v>
      </c>
      <c r="P1058" s="260" t="s">
        <v>73</v>
      </c>
      <c r="Q1058" s="260" t="s">
        <v>72</v>
      </c>
      <c r="R1058" s="260">
        <v>5</v>
      </c>
      <c r="S1058" s="410">
        <v>11</v>
      </c>
      <c r="T1058" s="261">
        <v>6</v>
      </c>
      <c r="U1058" s="261">
        <v>6</v>
      </c>
      <c r="V1058" s="260" t="s">
        <v>71</v>
      </c>
      <c r="W1058" s="261" t="str">
        <f t="shared" si="162"/>
        <v>MercedesBenzS-ClassS580 4M 마이바흐300000000</v>
      </c>
      <c r="X1058" s="411">
        <f t="shared" si="163"/>
        <v>4832</v>
      </c>
      <c r="Y1058" s="261">
        <v>6</v>
      </c>
      <c r="Z1058" s="261">
        <v>6</v>
      </c>
      <c r="AA1058" s="407" t="s">
        <v>1579</v>
      </c>
      <c r="AB1058" s="260" t="s">
        <v>73</v>
      </c>
      <c r="AC1058" s="260"/>
      <c r="AD1058" s="260">
        <v>6</v>
      </c>
      <c r="AE1058" s="260">
        <v>0</v>
      </c>
      <c r="AF1058" s="260"/>
      <c r="AG1058" s="260"/>
      <c r="AH1058" s="259"/>
      <c r="AI1058" s="260"/>
      <c r="AJ1058" s="260"/>
      <c r="AK1058" s="259">
        <v>16</v>
      </c>
      <c r="AL1058" s="259"/>
      <c r="AM1058" s="259" t="s">
        <v>3700</v>
      </c>
      <c r="AN1058" s="449"/>
      <c r="AO1058" s="449"/>
      <c r="AP1058" s="449"/>
      <c r="AQ1058" s="392" t="str">
        <f>IFERROR(VLOOKUP(BG1058,#REF!,1,0),"")</f>
        <v/>
      </c>
      <c r="AS1058" s="259" t="s">
        <v>3232</v>
      </c>
      <c r="AT1058" s="392" t="s">
        <v>3085</v>
      </c>
      <c r="BD1058" s="202" t="str">
        <f t="shared" si="155"/>
        <v>S-ClassS580 4M 마이바흐</v>
      </c>
      <c r="BE1058" s="261" t="str">
        <f t="shared" si="161"/>
        <v>0140</v>
      </c>
      <c r="BF1058" s="407" t="s">
        <v>1579</v>
      </c>
      <c r="BG1058" s="202" t="str">
        <f t="shared" si="156"/>
        <v>0140-1057</v>
      </c>
    </row>
    <row r="1059" spans="1:59">
      <c r="A1059" s="405">
        <v>4833</v>
      </c>
      <c r="B1059" s="406">
        <v>4833</v>
      </c>
      <c r="C1059" s="261" t="str">
        <f t="shared" si="157"/>
        <v>0025-0140</v>
      </c>
      <c r="D1059" s="261" t="str">
        <f t="shared" si="158"/>
        <v>0025-0140-0010</v>
      </c>
      <c r="E1059" s="407" t="s">
        <v>3928</v>
      </c>
      <c r="F1059" s="261" t="str">
        <f>TEXT(VLOOKUP(J1059,'[3]1'!$B$2:$D$37,2,0),"0000")</f>
        <v>0025</v>
      </c>
      <c r="G1059" s="261" t="str">
        <f t="shared" si="159"/>
        <v>0140</v>
      </c>
      <c r="H1059" s="408">
        <f t="shared" si="160"/>
        <v>10</v>
      </c>
      <c r="I1059" s="407" t="s">
        <v>3928</v>
      </c>
      <c r="J1059" s="260" t="s">
        <v>1935</v>
      </c>
      <c r="K1059" s="260" t="s">
        <v>114</v>
      </c>
      <c r="L1059" s="260" t="s">
        <v>3190</v>
      </c>
      <c r="M1059" s="429">
        <v>373600000</v>
      </c>
      <c r="N1059" s="260">
        <v>5980</v>
      </c>
      <c r="O1059" s="258" t="s">
        <v>77</v>
      </c>
      <c r="P1059" s="260" t="s">
        <v>73</v>
      </c>
      <c r="Q1059" s="260" t="s">
        <v>72</v>
      </c>
      <c r="R1059" s="260">
        <v>5</v>
      </c>
      <c r="S1059" s="410">
        <v>11</v>
      </c>
      <c r="T1059" s="261">
        <v>6</v>
      </c>
      <c r="U1059" s="261">
        <v>6</v>
      </c>
      <c r="V1059" s="260" t="s">
        <v>1969</v>
      </c>
      <c r="W1059" s="261" t="str">
        <f t="shared" si="162"/>
        <v>MercedesBenzS-ClassS680 4M 마이바흐373600000</v>
      </c>
      <c r="X1059" s="411">
        <f t="shared" si="163"/>
        <v>4833</v>
      </c>
      <c r="Y1059" s="261">
        <v>6</v>
      </c>
      <c r="Z1059" s="261">
        <v>6</v>
      </c>
      <c r="AA1059" s="407" t="s">
        <v>3928</v>
      </c>
      <c r="AB1059" s="260" t="s">
        <v>73</v>
      </c>
      <c r="AC1059" s="260"/>
      <c r="AD1059" s="260">
        <v>6</v>
      </c>
      <c r="AE1059" s="260">
        <v>0</v>
      </c>
      <c r="AF1059" s="260"/>
      <c r="AG1059" s="260"/>
      <c r="AH1059" s="259"/>
      <c r="AI1059" s="260"/>
      <c r="AJ1059" s="260"/>
      <c r="AK1059" s="259">
        <v>16</v>
      </c>
      <c r="AL1059" s="259"/>
      <c r="AM1059" s="259" t="s">
        <v>3700</v>
      </c>
      <c r="AN1059" s="449"/>
      <c r="AO1059" s="449"/>
      <c r="AP1059" s="449"/>
      <c r="AQ1059" s="392" t="str">
        <f>IFERROR(VLOOKUP(BG1059,#REF!,1,0),"")</f>
        <v/>
      </c>
      <c r="AS1059" s="259" t="s">
        <v>3232</v>
      </c>
      <c r="AT1059" s="392" t="s">
        <v>3191</v>
      </c>
      <c r="BD1059" s="202" t="str">
        <f t="shared" si="155"/>
        <v>S-ClassS680 4M 마이바흐</v>
      </c>
      <c r="BE1059" s="261" t="str">
        <f t="shared" si="161"/>
        <v>0140</v>
      </c>
      <c r="BF1059" s="407" t="s">
        <v>3928</v>
      </c>
      <c r="BG1059" s="202" t="str">
        <f t="shared" si="156"/>
        <v>0140-1058</v>
      </c>
    </row>
    <row r="1060" spans="1:59">
      <c r="A1060" s="405">
        <v>4834</v>
      </c>
      <c r="B1060" s="406">
        <v>4834</v>
      </c>
      <c r="C1060" s="261" t="str">
        <f t="shared" si="157"/>
        <v>0025-0141</v>
      </c>
      <c r="D1060" s="261" t="str">
        <f t="shared" si="158"/>
        <v>0025-0141-0001</v>
      </c>
      <c r="E1060" s="407" t="s">
        <v>3929</v>
      </c>
      <c r="F1060" s="261" t="str">
        <f>TEXT(VLOOKUP(J1060,'[3]1'!$B$2:$D$37,2,0),"0000")</f>
        <v>0025</v>
      </c>
      <c r="G1060" s="261" t="str">
        <f t="shared" si="159"/>
        <v>0141</v>
      </c>
      <c r="H1060" s="408">
        <f t="shared" si="160"/>
        <v>1</v>
      </c>
      <c r="I1060" s="407" t="s">
        <v>3929</v>
      </c>
      <c r="J1060" s="260" t="s">
        <v>1935</v>
      </c>
      <c r="K1060" s="260" t="s">
        <v>3301</v>
      </c>
      <c r="L1060" s="260" t="s">
        <v>3302</v>
      </c>
      <c r="M1060" s="429">
        <v>233600000</v>
      </c>
      <c r="N1060" s="260">
        <v>3982</v>
      </c>
      <c r="O1060" s="258" t="s">
        <v>77</v>
      </c>
      <c r="P1060" s="260" t="s">
        <v>73</v>
      </c>
      <c r="Q1060" s="260" t="s">
        <v>72</v>
      </c>
      <c r="R1060" s="260">
        <v>4</v>
      </c>
      <c r="S1060" s="410">
        <v>11</v>
      </c>
      <c r="T1060" s="261">
        <v>6</v>
      </c>
      <c r="U1060" s="261">
        <v>6</v>
      </c>
      <c r="V1060" s="260" t="s">
        <v>1969</v>
      </c>
      <c r="W1060" s="261" t="str">
        <f t="shared" si="162"/>
        <v>MercedesBenzSL-ClassSL 63 AMG 4Matic+233600000</v>
      </c>
      <c r="X1060" s="411">
        <f t="shared" si="163"/>
        <v>4834</v>
      </c>
      <c r="Y1060" s="261">
        <v>6</v>
      </c>
      <c r="Z1060" s="261">
        <v>6</v>
      </c>
      <c r="AA1060" s="407" t="s">
        <v>3929</v>
      </c>
      <c r="AB1060" s="260" t="s">
        <v>73</v>
      </c>
      <c r="AC1060" s="260"/>
      <c r="AD1060" s="260">
        <v>7</v>
      </c>
      <c r="AE1060" s="260">
        <v>0</v>
      </c>
      <c r="AF1060" s="260"/>
      <c r="AG1060" s="260"/>
      <c r="AH1060" s="259"/>
      <c r="AI1060" s="260"/>
      <c r="AJ1060" s="260"/>
      <c r="AK1060" s="259">
        <v>18</v>
      </c>
      <c r="AL1060" s="259"/>
      <c r="AM1060" s="259" t="s">
        <v>3667</v>
      </c>
      <c r="AN1060" s="449"/>
      <c r="AO1060" s="449"/>
      <c r="AP1060" s="449"/>
      <c r="AQ1060" s="392" t="str">
        <f>IFERROR(VLOOKUP(BG1060,#REF!,1,0),"")</f>
        <v/>
      </c>
      <c r="AS1060" s="259" t="s">
        <v>3303</v>
      </c>
      <c r="BD1060" s="202" t="str">
        <f t="shared" si="155"/>
        <v>SL-ClassSL 63 AMG 4Matic+</v>
      </c>
      <c r="BE1060" s="261" t="str">
        <f t="shared" si="161"/>
        <v>0141</v>
      </c>
      <c r="BF1060" s="407" t="s">
        <v>3929</v>
      </c>
      <c r="BG1060" s="202" t="str">
        <f t="shared" si="156"/>
        <v>0141-1059</v>
      </c>
    </row>
    <row r="1061" spans="1:59">
      <c r="A1061" s="405">
        <v>4835</v>
      </c>
      <c r="B1061" s="406">
        <v>4835</v>
      </c>
      <c r="C1061" s="261" t="str">
        <f t="shared" si="157"/>
        <v>0025-0142</v>
      </c>
      <c r="D1061" s="261" t="str">
        <f t="shared" si="158"/>
        <v>0025-0142-0001</v>
      </c>
      <c r="E1061" s="407" t="s">
        <v>1580</v>
      </c>
      <c r="F1061" s="261" t="str">
        <f>TEXT(VLOOKUP(J1061,'[3]1'!$B$2:$D$37,2,0),"0000")</f>
        <v>0025</v>
      </c>
      <c r="G1061" s="261" t="str">
        <f t="shared" si="159"/>
        <v>0142</v>
      </c>
      <c r="H1061" s="408">
        <f t="shared" si="160"/>
        <v>1</v>
      </c>
      <c r="I1061" s="407" t="s">
        <v>1580</v>
      </c>
      <c r="J1061" s="260" t="s">
        <v>1935</v>
      </c>
      <c r="K1061" s="260" t="s">
        <v>3095</v>
      </c>
      <c r="L1061" s="260" t="s">
        <v>3096</v>
      </c>
      <c r="M1061" s="429">
        <v>256600000</v>
      </c>
      <c r="N1061" s="260">
        <v>3982</v>
      </c>
      <c r="O1061" s="258" t="s">
        <v>77</v>
      </c>
      <c r="P1061" s="260" t="s">
        <v>73</v>
      </c>
      <c r="Q1061" s="260" t="s">
        <v>72</v>
      </c>
      <c r="R1061" s="260">
        <v>5</v>
      </c>
      <c r="S1061" s="410">
        <v>13</v>
      </c>
      <c r="T1061" s="261">
        <v>6</v>
      </c>
      <c r="U1061" s="261">
        <v>6</v>
      </c>
      <c r="V1061" s="260" t="s">
        <v>1969</v>
      </c>
      <c r="W1061" s="261" t="str">
        <f t="shared" si="162"/>
        <v>MercedesBenz마이바흐 GLSGLS 600 4matic256600000</v>
      </c>
      <c r="X1061" s="411">
        <f t="shared" si="163"/>
        <v>4835</v>
      </c>
      <c r="Y1061" s="261">
        <v>6</v>
      </c>
      <c r="Z1061" s="261">
        <v>6</v>
      </c>
      <c r="AA1061" s="407" t="s">
        <v>1580</v>
      </c>
      <c r="AB1061" s="260" t="s">
        <v>73</v>
      </c>
      <c r="AC1061" s="260"/>
      <c r="AD1061" s="260">
        <v>6</v>
      </c>
      <c r="AE1061" s="260">
        <v>0</v>
      </c>
      <c r="AF1061" s="260"/>
      <c r="AG1061" s="260"/>
      <c r="AH1061" s="259"/>
      <c r="AI1061" s="260"/>
      <c r="AJ1061" s="260"/>
      <c r="AK1061" s="259">
        <v>15</v>
      </c>
      <c r="AL1061" s="259"/>
      <c r="AM1061" s="259" t="s">
        <v>3664</v>
      </c>
      <c r="AN1061" s="449"/>
      <c r="AO1061" s="449"/>
      <c r="AP1061" s="449"/>
      <c r="AQ1061" s="392" t="str">
        <f>IFERROR(VLOOKUP(BG1061,#REF!,1,0),"")</f>
        <v/>
      </c>
      <c r="AS1061" s="259" t="s">
        <v>3233</v>
      </c>
      <c r="AZ1061" s="202" t="e">
        <f>VLOOKUP(#REF!,잔가군!$B:$C,2,0)</f>
        <v>#REF!</v>
      </c>
      <c r="BA1061" s="202" t="e">
        <f>S1061-#REF!</f>
        <v>#REF!</v>
      </c>
      <c r="BD1061" s="202" t="str">
        <f t="shared" si="155"/>
        <v>마이바흐 GLSGLS 600 4matic</v>
      </c>
      <c r="BE1061" s="261" t="str">
        <f t="shared" si="161"/>
        <v>0142</v>
      </c>
      <c r="BF1061" s="407" t="s">
        <v>1580</v>
      </c>
      <c r="BG1061" s="202" t="str">
        <f t="shared" si="156"/>
        <v>0142-1060</v>
      </c>
    </row>
    <row r="1062" spans="1:59">
      <c r="A1062" s="405">
        <v>4836</v>
      </c>
      <c r="B1062" s="406">
        <v>4836</v>
      </c>
      <c r="C1062" s="261" t="str">
        <f t="shared" si="157"/>
        <v>0025-0142</v>
      </c>
      <c r="D1062" s="261" t="str">
        <f t="shared" si="158"/>
        <v>0025-0142-0002</v>
      </c>
      <c r="E1062" s="407" t="s">
        <v>1581</v>
      </c>
      <c r="F1062" s="261" t="str">
        <f>TEXT(VLOOKUP(J1062,'[3]1'!$B$2:$D$37,2,0),"0000")</f>
        <v>0025</v>
      </c>
      <c r="G1062" s="261" t="str">
        <f t="shared" si="159"/>
        <v>0142</v>
      </c>
      <c r="H1062" s="408">
        <f t="shared" si="160"/>
        <v>2</v>
      </c>
      <c r="I1062" s="407" t="s">
        <v>1581</v>
      </c>
      <c r="J1062" s="260" t="s">
        <v>1935</v>
      </c>
      <c r="K1062" s="260" t="s">
        <v>3095</v>
      </c>
      <c r="L1062" s="260" t="s">
        <v>3494</v>
      </c>
      <c r="M1062" s="429">
        <v>256600000</v>
      </c>
      <c r="N1062" s="260">
        <v>3982</v>
      </c>
      <c r="O1062" s="258" t="s">
        <v>77</v>
      </c>
      <c r="P1062" s="260" t="s">
        <v>73</v>
      </c>
      <c r="Q1062" s="260" t="s">
        <v>72</v>
      </c>
      <c r="R1062" s="260">
        <v>5</v>
      </c>
      <c r="S1062" s="410">
        <v>13</v>
      </c>
      <c r="T1062" s="261">
        <v>6</v>
      </c>
      <c r="U1062" s="261">
        <v>6</v>
      </c>
      <c r="V1062" s="260" t="s">
        <v>3068</v>
      </c>
      <c r="W1062" s="261" t="str">
        <f t="shared" si="162"/>
        <v>MercedesBenz마이바흐 GLSGLS 600 4Matic Manufaktur256600000</v>
      </c>
      <c r="X1062" s="411">
        <f t="shared" si="163"/>
        <v>4836</v>
      </c>
      <c r="Y1062" s="261">
        <v>6</v>
      </c>
      <c r="Z1062" s="261">
        <v>6</v>
      </c>
      <c r="AA1062" s="407" t="s">
        <v>1581</v>
      </c>
      <c r="AB1062" s="260" t="s">
        <v>73</v>
      </c>
      <c r="AC1062" s="260"/>
      <c r="AD1062" s="260">
        <v>6</v>
      </c>
      <c r="AE1062" s="260">
        <v>0</v>
      </c>
      <c r="AF1062" s="260"/>
      <c r="AG1062" s="260"/>
      <c r="AH1062" s="259"/>
      <c r="AI1062" s="260"/>
      <c r="AJ1062" s="260"/>
      <c r="AK1062" s="259">
        <v>15</v>
      </c>
      <c r="AL1062" s="259"/>
      <c r="AM1062" s="259" t="s">
        <v>3664</v>
      </c>
      <c r="AN1062" s="449"/>
      <c r="AO1062" s="449"/>
      <c r="AP1062" s="449"/>
      <c r="AQ1062" s="392" t="str">
        <f>IFERROR(VLOOKUP(BG1062,#REF!,1,0),"")</f>
        <v/>
      </c>
      <c r="AS1062" s="259" t="s">
        <v>3233</v>
      </c>
      <c r="AZ1062" s="202" t="e">
        <f>VLOOKUP(#REF!,잔가군!$B:$C,2,0)</f>
        <v>#REF!</v>
      </c>
      <c r="BA1062" s="202" t="e">
        <f>S1062-#REF!</f>
        <v>#REF!</v>
      </c>
      <c r="BD1062" s="202" t="str">
        <f t="shared" si="155"/>
        <v>마이바흐 GLSGLS 600 4Matic Manufaktur</v>
      </c>
      <c r="BE1062" s="261" t="str">
        <f t="shared" si="161"/>
        <v>0142</v>
      </c>
      <c r="BF1062" s="407" t="s">
        <v>1581</v>
      </c>
      <c r="BG1062" s="202" t="str">
        <f t="shared" si="156"/>
        <v>0142-1061</v>
      </c>
    </row>
    <row r="1063" spans="1:59">
      <c r="A1063" s="405">
        <v>4837</v>
      </c>
      <c r="B1063" s="406">
        <v>4837</v>
      </c>
      <c r="C1063" s="261" t="str">
        <f t="shared" si="157"/>
        <v>0027-0143</v>
      </c>
      <c r="D1063" s="261" t="str">
        <f t="shared" si="158"/>
        <v>0027-0143-0001</v>
      </c>
      <c r="E1063" s="407" t="s">
        <v>1582</v>
      </c>
      <c r="F1063" s="261" t="str">
        <f>TEXT(VLOOKUP(J1063,'[3]1'!$B$2:$D$37,2,0),"0000")</f>
        <v>0027</v>
      </c>
      <c r="G1063" s="261" t="str">
        <f t="shared" si="159"/>
        <v>0143</v>
      </c>
      <c r="H1063" s="408">
        <f t="shared" si="160"/>
        <v>1</v>
      </c>
      <c r="I1063" s="407" t="s">
        <v>1582</v>
      </c>
      <c r="J1063" s="258" t="s">
        <v>1207</v>
      </c>
      <c r="K1063" s="258" t="s">
        <v>1218</v>
      </c>
      <c r="L1063" s="258" t="s">
        <v>1258</v>
      </c>
      <c r="M1063" s="409">
        <v>279000000</v>
      </c>
      <c r="N1063" s="258">
        <v>3799</v>
      </c>
      <c r="O1063" s="258" t="s">
        <v>77</v>
      </c>
      <c r="P1063" s="258" t="s">
        <v>73</v>
      </c>
      <c r="Q1063" s="258" t="s">
        <v>72</v>
      </c>
      <c r="R1063" s="258">
        <v>2</v>
      </c>
      <c r="S1063" s="410">
        <v>14</v>
      </c>
      <c r="T1063" s="261">
        <v>6</v>
      </c>
      <c r="U1063" s="261">
        <v>6</v>
      </c>
      <c r="V1063" s="258" t="s">
        <v>71</v>
      </c>
      <c r="W1063" s="261" t="str">
        <f t="shared" si="162"/>
        <v>Mclaren570S570S Spider279000000</v>
      </c>
      <c r="X1063" s="411">
        <f t="shared" si="163"/>
        <v>4837</v>
      </c>
      <c r="Y1063" s="261">
        <v>6</v>
      </c>
      <c r="Z1063" s="261">
        <v>6</v>
      </c>
      <c r="AA1063" s="407" t="s">
        <v>1582</v>
      </c>
      <c r="AB1063" s="260" t="s">
        <v>73</v>
      </c>
      <c r="AC1063" s="258"/>
      <c r="AD1063" s="258">
        <v>6</v>
      </c>
      <c r="AE1063" s="258">
        <v>0</v>
      </c>
      <c r="AF1063" s="259"/>
      <c r="AG1063" s="260"/>
      <c r="AH1063" s="259"/>
      <c r="AI1063" s="259"/>
      <c r="AJ1063" s="260"/>
      <c r="AK1063" s="259" t="s">
        <v>1176</v>
      </c>
      <c r="AL1063" s="259"/>
      <c r="AM1063" s="259" t="s">
        <v>3672</v>
      </c>
      <c r="AN1063" s="449"/>
      <c r="AO1063" s="449"/>
      <c r="AP1063" s="449"/>
      <c r="AQ1063" s="392" t="str">
        <f>IFERROR(VLOOKUP(BG1063,#REF!,1,0),"")</f>
        <v/>
      </c>
      <c r="AS1063" s="259" t="s">
        <v>71</v>
      </c>
      <c r="BD1063" s="202" t="str">
        <f t="shared" si="155"/>
        <v>570S570S Spider</v>
      </c>
      <c r="BE1063" s="261" t="str">
        <f t="shared" si="161"/>
        <v>0143</v>
      </c>
      <c r="BF1063" s="407" t="s">
        <v>1582</v>
      </c>
      <c r="BG1063" s="202" t="str">
        <f t="shared" si="156"/>
        <v>0143-1062</v>
      </c>
    </row>
    <row r="1064" spans="1:59">
      <c r="A1064" s="405">
        <v>4838</v>
      </c>
      <c r="B1064" s="406">
        <v>4838</v>
      </c>
      <c r="C1064" s="261" t="str">
        <f t="shared" si="157"/>
        <v>0027-0143</v>
      </c>
      <c r="D1064" s="261" t="str">
        <f t="shared" si="158"/>
        <v>0027-0143-0002</v>
      </c>
      <c r="E1064" s="407" t="s">
        <v>1583</v>
      </c>
      <c r="F1064" s="261" t="str">
        <f>TEXT(VLOOKUP(J1064,'[3]1'!$B$2:$D$37,2,0),"0000")</f>
        <v>0027</v>
      </c>
      <c r="G1064" s="261" t="str">
        <f t="shared" si="159"/>
        <v>0143</v>
      </c>
      <c r="H1064" s="408">
        <f t="shared" si="160"/>
        <v>2</v>
      </c>
      <c r="I1064" s="407" t="s">
        <v>1583</v>
      </c>
      <c r="J1064" s="258" t="s">
        <v>1207</v>
      </c>
      <c r="K1064" s="258" t="s">
        <v>1218</v>
      </c>
      <c r="L1064" s="258" t="s">
        <v>1219</v>
      </c>
      <c r="M1064" s="409">
        <v>254900000</v>
      </c>
      <c r="N1064" s="258">
        <v>3799</v>
      </c>
      <c r="O1064" s="258" t="s">
        <v>77</v>
      </c>
      <c r="P1064" s="258" t="s">
        <v>73</v>
      </c>
      <c r="Q1064" s="258" t="s">
        <v>72</v>
      </c>
      <c r="R1064" s="258">
        <v>2</v>
      </c>
      <c r="S1064" s="410">
        <v>14</v>
      </c>
      <c r="T1064" s="261">
        <v>6</v>
      </c>
      <c r="U1064" s="261">
        <v>6</v>
      </c>
      <c r="V1064" s="258" t="s">
        <v>71</v>
      </c>
      <c r="W1064" s="261" t="str">
        <f t="shared" si="162"/>
        <v>Mclaren570S570S V8 Coupe 254900000</v>
      </c>
      <c r="X1064" s="411">
        <f t="shared" si="163"/>
        <v>4838</v>
      </c>
      <c r="Y1064" s="261">
        <v>6</v>
      </c>
      <c r="Z1064" s="261">
        <v>6</v>
      </c>
      <c r="AA1064" s="407" t="s">
        <v>1583</v>
      </c>
      <c r="AB1064" s="260" t="s">
        <v>73</v>
      </c>
      <c r="AC1064" s="258"/>
      <c r="AD1064" s="258">
        <v>6</v>
      </c>
      <c r="AE1064" s="258">
        <v>0</v>
      </c>
      <c r="AF1064" s="259"/>
      <c r="AG1064" s="260"/>
      <c r="AH1064" s="259"/>
      <c r="AI1064" s="259"/>
      <c r="AJ1064" s="260"/>
      <c r="AK1064" s="259" t="s">
        <v>1176</v>
      </c>
      <c r="AL1064" s="259"/>
      <c r="AM1064" s="259" t="s">
        <v>3672</v>
      </c>
      <c r="AN1064" s="449"/>
      <c r="AO1064" s="449"/>
      <c r="AP1064" s="449"/>
      <c r="AQ1064" s="392" t="str">
        <f>IFERROR(VLOOKUP(BG1064,#REF!,1,0),"")</f>
        <v/>
      </c>
      <c r="AS1064" s="259" t="s">
        <v>71</v>
      </c>
      <c r="BD1064" s="202" t="str">
        <f t="shared" si="155"/>
        <v xml:space="preserve">570S570S V8 Coupe </v>
      </c>
      <c r="BE1064" s="261" t="str">
        <f t="shared" si="161"/>
        <v>0143</v>
      </c>
      <c r="BF1064" s="407" t="s">
        <v>1583</v>
      </c>
      <c r="BG1064" s="202" t="str">
        <f t="shared" si="156"/>
        <v>0143-1063</v>
      </c>
    </row>
    <row r="1065" spans="1:59">
      <c r="A1065" s="405">
        <v>4839</v>
      </c>
      <c r="B1065" s="406">
        <v>4839</v>
      </c>
      <c r="C1065" s="261" t="str">
        <f t="shared" si="157"/>
        <v>0027-0144</v>
      </c>
      <c r="D1065" s="261" t="str">
        <f t="shared" si="158"/>
        <v>0027-0144-0001</v>
      </c>
      <c r="E1065" s="407" t="s">
        <v>1584</v>
      </c>
      <c r="F1065" s="261" t="str">
        <f>TEXT(VLOOKUP(J1065,'[3]1'!$B$2:$D$37,2,0),"0000")</f>
        <v>0027</v>
      </c>
      <c r="G1065" s="261" t="str">
        <f t="shared" si="159"/>
        <v>0144</v>
      </c>
      <c r="H1065" s="408">
        <f t="shared" si="160"/>
        <v>1</v>
      </c>
      <c r="I1065" s="407" t="s">
        <v>1584</v>
      </c>
      <c r="J1065" s="258" t="s">
        <v>1207</v>
      </c>
      <c r="K1065" s="258" t="s">
        <v>1336</v>
      </c>
      <c r="L1065" s="258" t="s">
        <v>1337</v>
      </c>
      <c r="M1065" s="409">
        <v>270000000</v>
      </c>
      <c r="N1065" s="258">
        <v>3799</v>
      </c>
      <c r="O1065" s="258" t="s">
        <v>77</v>
      </c>
      <c r="P1065" s="258" t="s">
        <v>73</v>
      </c>
      <c r="Q1065" s="258" t="s">
        <v>72</v>
      </c>
      <c r="R1065" s="258">
        <v>2</v>
      </c>
      <c r="S1065" s="410">
        <v>14</v>
      </c>
      <c r="T1065" s="261">
        <v>6</v>
      </c>
      <c r="U1065" s="261">
        <v>6</v>
      </c>
      <c r="V1065" s="258" t="s">
        <v>71</v>
      </c>
      <c r="W1065" s="261" t="str">
        <f t="shared" si="162"/>
        <v>Mclaren600LT600LT Coupe270000000</v>
      </c>
      <c r="X1065" s="411">
        <f t="shared" si="163"/>
        <v>4839</v>
      </c>
      <c r="Y1065" s="261">
        <v>6</v>
      </c>
      <c r="Z1065" s="261">
        <v>6</v>
      </c>
      <c r="AA1065" s="407" t="s">
        <v>1584</v>
      </c>
      <c r="AB1065" s="258" t="s">
        <v>73</v>
      </c>
      <c r="AC1065" s="258"/>
      <c r="AD1065" s="258">
        <v>6</v>
      </c>
      <c r="AE1065" s="258">
        <v>0</v>
      </c>
      <c r="AF1065" s="259"/>
      <c r="AG1065" s="260"/>
      <c r="AH1065" s="259"/>
      <c r="AI1065" s="259"/>
      <c r="AJ1065" s="260"/>
      <c r="AK1065" s="259" t="s">
        <v>1176</v>
      </c>
      <c r="AL1065" s="259"/>
      <c r="AM1065" s="259" t="s">
        <v>3672</v>
      </c>
      <c r="AN1065" s="449"/>
      <c r="AO1065" s="449"/>
      <c r="AP1065" s="449"/>
      <c r="AQ1065" s="392" t="str">
        <f>IFERROR(VLOOKUP(BG1065,#REF!,1,0),"")</f>
        <v/>
      </c>
      <c r="AS1065" s="259" t="s">
        <v>71</v>
      </c>
      <c r="BD1065" s="202" t="str">
        <f t="shared" si="155"/>
        <v>600LT600LT Coupe</v>
      </c>
      <c r="BE1065" s="261" t="str">
        <f t="shared" si="161"/>
        <v>0144</v>
      </c>
      <c r="BF1065" s="407" t="s">
        <v>1584</v>
      </c>
      <c r="BG1065" s="202" t="str">
        <f t="shared" si="156"/>
        <v>0144-1064</v>
      </c>
    </row>
    <row r="1066" spans="1:59">
      <c r="A1066" s="405">
        <v>4840</v>
      </c>
      <c r="B1066" s="406">
        <v>4840</v>
      </c>
      <c r="C1066" s="261" t="str">
        <f t="shared" si="157"/>
        <v>0027-0144</v>
      </c>
      <c r="D1066" s="261" t="str">
        <f t="shared" si="158"/>
        <v>0027-0144-0002</v>
      </c>
      <c r="E1066" s="407" t="s">
        <v>1585</v>
      </c>
      <c r="F1066" s="261" t="str">
        <f>TEXT(VLOOKUP(J1066,'[3]1'!$B$2:$D$37,2,0),"0000")</f>
        <v>0027</v>
      </c>
      <c r="G1066" s="261" t="str">
        <f t="shared" si="159"/>
        <v>0144</v>
      </c>
      <c r="H1066" s="408">
        <f t="shared" si="160"/>
        <v>2</v>
      </c>
      <c r="I1066" s="407" t="s">
        <v>1585</v>
      </c>
      <c r="J1066" s="258" t="s">
        <v>1207</v>
      </c>
      <c r="K1066" s="258" t="s">
        <v>1336</v>
      </c>
      <c r="L1066" s="258" t="s">
        <v>1338</v>
      </c>
      <c r="M1066" s="409">
        <v>300000000</v>
      </c>
      <c r="N1066" s="258">
        <v>3799</v>
      </c>
      <c r="O1066" s="258" t="s">
        <v>77</v>
      </c>
      <c r="P1066" s="258" t="s">
        <v>73</v>
      </c>
      <c r="Q1066" s="258" t="s">
        <v>72</v>
      </c>
      <c r="R1066" s="258">
        <v>2</v>
      </c>
      <c r="S1066" s="410">
        <v>14</v>
      </c>
      <c r="T1066" s="261">
        <v>6</v>
      </c>
      <c r="U1066" s="261">
        <v>6</v>
      </c>
      <c r="V1066" s="258" t="s">
        <v>71</v>
      </c>
      <c r="W1066" s="261" t="str">
        <f t="shared" si="162"/>
        <v>Mclaren600LT600LT Spider300000000</v>
      </c>
      <c r="X1066" s="411">
        <f t="shared" si="163"/>
        <v>4840</v>
      </c>
      <c r="Y1066" s="261">
        <v>6</v>
      </c>
      <c r="Z1066" s="261">
        <v>6</v>
      </c>
      <c r="AA1066" s="407" t="s">
        <v>1585</v>
      </c>
      <c r="AB1066" s="258" t="s">
        <v>73</v>
      </c>
      <c r="AC1066" s="258"/>
      <c r="AD1066" s="258">
        <v>6</v>
      </c>
      <c r="AE1066" s="258">
        <v>0</v>
      </c>
      <c r="AF1066" s="259"/>
      <c r="AG1066" s="260"/>
      <c r="AH1066" s="259"/>
      <c r="AI1066" s="259"/>
      <c r="AJ1066" s="260"/>
      <c r="AK1066" s="259" t="s">
        <v>1176</v>
      </c>
      <c r="AL1066" s="259"/>
      <c r="AM1066" s="259" t="s">
        <v>3672</v>
      </c>
      <c r="AN1066" s="449"/>
      <c r="AO1066" s="449"/>
      <c r="AP1066" s="449"/>
      <c r="AQ1066" s="392" t="str">
        <f>IFERROR(VLOOKUP(BG1066,#REF!,1,0),"")</f>
        <v/>
      </c>
      <c r="AS1066" s="259" t="s">
        <v>71</v>
      </c>
      <c r="BD1066" s="202" t="str">
        <f t="shared" si="155"/>
        <v>600LT600LT Spider</v>
      </c>
      <c r="BE1066" s="261" t="str">
        <f t="shared" si="161"/>
        <v>0144</v>
      </c>
      <c r="BF1066" s="407" t="s">
        <v>1585</v>
      </c>
      <c r="BG1066" s="202" t="str">
        <f t="shared" si="156"/>
        <v>0144-1065</v>
      </c>
    </row>
    <row r="1067" spans="1:59">
      <c r="A1067" s="405">
        <v>4841</v>
      </c>
      <c r="B1067" s="406">
        <v>4841</v>
      </c>
      <c r="C1067" s="261" t="str">
        <f t="shared" si="157"/>
        <v>0027-0145</v>
      </c>
      <c r="D1067" s="261" t="str">
        <f t="shared" si="158"/>
        <v>0027-0145-0001</v>
      </c>
      <c r="E1067" s="407" t="s">
        <v>1586</v>
      </c>
      <c r="F1067" s="261" t="str">
        <f>TEXT(VLOOKUP(J1067,'[3]1'!$B$2:$D$37,2,0),"0000")</f>
        <v>0027</v>
      </c>
      <c r="G1067" s="261" t="str">
        <f t="shared" si="159"/>
        <v>0145</v>
      </c>
      <c r="H1067" s="408">
        <f t="shared" si="160"/>
        <v>1</v>
      </c>
      <c r="I1067" s="407" t="s">
        <v>1586</v>
      </c>
      <c r="J1067" s="258" t="s">
        <v>1207</v>
      </c>
      <c r="K1067" s="258" t="s">
        <v>1240</v>
      </c>
      <c r="L1067" s="258" t="s">
        <v>1933</v>
      </c>
      <c r="M1067" s="409">
        <v>369000000</v>
      </c>
      <c r="N1067" s="258">
        <v>3994</v>
      </c>
      <c r="O1067" s="258" t="s">
        <v>77</v>
      </c>
      <c r="P1067" s="258" t="s">
        <v>73</v>
      </c>
      <c r="Q1067" s="258" t="s">
        <v>72</v>
      </c>
      <c r="R1067" s="258">
        <v>2</v>
      </c>
      <c r="S1067" s="410">
        <v>14</v>
      </c>
      <c r="T1067" s="261">
        <v>6</v>
      </c>
      <c r="U1067" s="261">
        <v>6</v>
      </c>
      <c r="V1067" s="258" t="s">
        <v>71</v>
      </c>
      <c r="W1067" s="261" t="str">
        <f t="shared" si="162"/>
        <v>Mclaren720S720S Copue Luxury  369000000</v>
      </c>
      <c r="X1067" s="411">
        <f t="shared" si="163"/>
        <v>4841</v>
      </c>
      <c r="Y1067" s="261">
        <v>6</v>
      </c>
      <c r="Z1067" s="261">
        <v>6</v>
      </c>
      <c r="AA1067" s="407" t="s">
        <v>1586</v>
      </c>
      <c r="AB1067" s="258" t="s">
        <v>73</v>
      </c>
      <c r="AC1067" s="258"/>
      <c r="AD1067" s="258">
        <v>6</v>
      </c>
      <c r="AE1067" s="258">
        <v>0</v>
      </c>
      <c r="AF1067" s="259"/>
      <c r="AG1067" s="260"/>
      <c r="AH1067" s="259"/>
      <c r="AI1067" s="259"/>
      <c r="AJ1067" s="260"/>
      <c r="AK1067" s="259">
        <v>21</v>
      </c>
      <c r="AL1067" s="259"/>
      <c r="AM1067" s="259" t="s">
        <v>3670</v>
      </c>
      <c r="AN1067" s="449"/>
      <c r="AO1067" s="449"/>
      <c r="AP1067" s="449"/>
      <c r="AQ1067" s="392" t="str">
        <f>IFERROR(VLOOKUP(BG1067,#REF!,1,0),"")</f>
        <v/>
      </c>
      <c r="AS1067" s="259" t="s">
        <v>71</v>
      </c>
      <c r="BD1067" s="202" t="str">
        <f t="shared" si="155"/>
        <v xml:space="preserve">720S720S Copue Luxury  </v>
      </c>
      <c r="BE1067" s="261" t="str">
        <f t="shared" si="161"/>
        <v>0145</v>
      </c>
      <c r="BF1067" s="407" t="s">
        <v>1586</v>
      </c>
      <c r="BG1067" s="202" t="str">
        <f t="shared" si="156"/>
        <v>0145-1066</v>
      </c>
    </row>
    <row r="1068" spans="1:59">
      <c r="A1068" s="405">
        <v>4842</v>
      </c>
      <c r="B1068" s="406">
        <v>4842</v>
      </c>
      <c r="C1068" s="261" t="str">
        <f t="shared" si="157"/>
        <v>0024-0146</v>
      </c>
      <c r="D1068" s="261" t="str">
        <f t="shared" si="158"/>
        <v>0024-0146-0001</v>
      </c>
      <c r="E1068" s="407" t="s">
        <v>1587</v>
      </c>
      <c r="F1068" s="261" t="str">
        <f>TEXT(VLOOKUP(J1068,'[3]1'!$B$2:$D$37,2,0),"0000")</f>
        <v>0024</v>
      </c>
      <c r="G1068" s="261" t="str">
        <f t="shared" si="159"/>
        <v>0146</v>
      </c>
      <c r="H1068" s="408">
        <f t="shared" si="160"/>
        <v>1</v>
      </c>
      <c r="I1068" s="407" t="s">
        <v>1587</v>
      </c>
      <c r="J1068" s="258" t="s">
        <v>141</v>
      </c>
      <c r="K1068" s="258" t="s">
        <v>3817</v>
      </c>
      <c r="L1068" s="258" t="s">
        <v>3818</v>
      </c>
      <c r="M1068" s="409">
        <v>121100000</v>
      </c>
      <c r="N1068" s="258">
        <v>2992</v>
      </c>
      <c r="O1068" s="258" t="s">
        <v>3800</v>
      </c>
      <c r="P1068" s="258" t="s">
        <v>73</v>
      </c>
      <c r="Q1068" s="258" t="s">
        <v>72</v>
      </c>
      <c r="R1068" s="258">
        <v>2</v>
      </c>
      <c r="S1068" s="410">
        <v>26</v>
      </c>
      <c r="T1068" s="261">
        <v>6</v>
      </c>
      <c r="U1068" s="261">
        <v>6</v>
      </c>
      <c r="V1068" s="258" t="s">
        <v>71</v>
      </c>
      <c r="W1068" s="261" t="str">
        <f t="shared" si="162"/>
        <v>MASERATIMC20V6121100000</v>
      </c>
      <c r="X1068" s="411">
        <f t="shared" si="163"/>
        <v>4842</v>
      </c>
      <c r="Y1068" s="261">
        <v>6</v>
      </c>
      <c r="Z1068" s="261">
        <v>6</v>
      </c>
      <c r="AA1068" s="407" t="s">
        <v>1587</v>
      </c>
      <c r="AB1068" s="258" t="s">
        <v>73</v>
      </c>
      <c r="AC1068" s="258"/>
      <c r="AD1068" s="258">
        <v>3</v>
      </c>
      <c r="AE1068" s="258">
        <v>1</v>
      </c>
      <c r="AF1068" s="259"/>
      <c r="AG1068" s="260"/>
      <c r="AH1068" s="259"/>
      <c r="AI1068" s="259"/>
      <c r="AJ1068" s="260"/>
      <c r="AK1068" s="259">
        <v>22</v>
      </c>
      <c r="AL1068" s="259"/>
      <c r="AM1068" s="259" t="s">
        <v>3732</v>
      </c>
      <c r="AN1068" s="449"/>
      <c r="AO1068" s="449"/>
      <c r="AP1068" s="449"/>
      <c r="AQ1068" s="392" t="str">
        <f>IFERROR(VLOOKUP(BG1068,#REF!,1,0),"")</f>
        <v/>
      </c>
      <c r="AS1068" s="259" t="s">
        <v>3228</v>
      </c>
      <c r="BD1068" s="202" t="str">
        <f t="shared" si="155"/>
        <v>MC20V6</v>
      </c>
      <c r="BE1068" s="261" t="str">
        <f t="shared" si="161"/>
        <v>0146</v>
      </c>
      <c r="BF1068" s="407" t="s">
        <v>1587</v>
      </c>
      <c r="BG1068" s="202" t="str">
        <f t="shared" si="156"/>
        <v>0146-1067</v>
      </c>
    </row>
    <row r="1069" spans="1:59">
      <c r="A1069" s="405">
        <v>4843</v>
      </c>
      <c r="B1069" s="406">
        <v>4843</v>
      </c>
      <c r="C1069" s="261" t="str">
        <f t="shared" si="157"/>
        <v>0024-0146</v>
      </c>
      <c r="D1069" s="261" t="str">
        <f t="shared" si="158"/>
        <v>0024-0146-0002</v>
      </c>
      <c r="E1069" s="407" t="s">
        <v>1588</v>
      </c>
      <c r="F1069" s="261" t="str">
        <f>TEXT(VLOOKUP(J1069,'[3]1'!$B$2:$D$37,2,0),"0000")</f>
        <v>0024</v>
      </c>
      <c r="G1069" s="261" t="str">
        <f t="shared" si="159"/>
        <v>0146</v>
      </c>
      <c r="H1069" s="408">
        <f t="shared" si="160"/>
        <v>2</v>
      </c>
      <c r="I1069" s="407" t="s">
        <v>1588</v>
      </c>
      <c r="J1069" s="258" t="s">
        <v>141</v>
      </c>
      <c r="K1069" s="258" t="s">
        <v>3817</v>
      </c>
      <c r="L1069" s="258" t="s">
        <v>3819</v>
      </c>
      <c r="M1069" s="409">
        <v>121100000</v>
      </c>
      <c r="N1069" s="258">
        <v>3000</v>
      </c>
      <c r="O1069" s="258" t="s">
        <v>3800</v>
      </c>
      <c r="P1069" s="258" t="s">
        <v>73</v>
      </c>
      <c r="Q1069" s="258" t="s">
        <v>72</v>
      </c>
      <c r="R1069" s="258">
        <v>2</v>
      </c>
      <c r="S1069" s="410">
        <v>26</v>
      </c>
      <c r="T1069" s="261">
        <v>6</v>
      </c>
      <c r="U1069" s="261">
        <v>6</v>
      </c>
      <c r="V1069" s="258" t="s">
        <v>71</v>
      </c>
      <c r="W1069" s="261" t="str">
        <f t="shared" si="162"/>
        <v>MASERATIMC20첼로 V6121100000</v>
      </c>
      <c r="X1069" s="411">
        <f t="shared" si="163"/>
        <v>4843</v>
      </c>
      <c r="Y1069" s="261">
        <v>6</v>
      </c>
      <c r="Z1069" s="261">
        <v>6</v>
      </c>
      <c r="AA1069" s="407" t="s">
        <v>1588</v>
      </c>
      <c r="AB1069" s="258" t="s">
        <v>73</v>
      </c>
      <c r="AC1069" s="258"/>
      <c r="AD1069" s="258">
        <v>3</v>
      </c>
      <c r="AE1069" s="258">
        <v>1</v>
      </c>
      <c r="AF1069" s="259"/>
      <c r="AG1069" s="260"/>
      <c r="AH1069" s="259"/>
      <c r="AI1069" s="259"/>
      <c r="AJ1069" s="260"/>
      <c r="AK1069" s="259">
        <v>22</v>
      </c>
      <c r="AL1069" s="259"/>
      <c r="AM1069" s="259" t="s">
        <v>3732</v>
      </c>
      <c r="AN1069" s="449"/>
      <c r="AO1069" s="449"/>
      <c r="AP1069" s="449"/>
      <c r="AQ1069" s="392" t="str">
        <f>IFERROR(VLOOKUP(BG1069,#REF!,1,0),"")</f>
        <v/>
      </c>
      <c r="AS1069" s="259" t="s">
        <v>3228</v>
      </c>
      <c r="BD1069" s="202" t="str">
        <f t="shared" si="155"/>
        <v>MC20첼로 V6</v>
      </c>
      <c r="BE1069" s="261" t="str">
        <f t="shared" si="161"/>
        <v>0146</v>
      </c>
      <c r="BF1069" s="407" t="s">
        <v>1588</v>
      </c>
      <c r="BG1069" s="202" t="str">
        <f t="shared" si="156"/>
        <v>0146-1068</v>
      </c>
    </row>
    <row r="1070" spans="1:59">
      <c r="A1070" s="405">
        <v>4844</v>
      </c>
      <c r="B1070" s="406">
        <v>4844</v>
      </c>
      <c r="C1070" s="261" t="str">
        <f t="shared" si="157"/>
        <v>0024-0147</v>
      </c>
      <c r="D1070" s="261" t="str">
        <f t="shared" si="158"/>
        <v>0024-0147-0001</v>
      </c>
      <c r="E1070" s="407" t="s">
        <v>1589</v>
      </c>
      <c r="F1070" s="261" t="str">
        <f>TEXT(VLOOKUP(J1070,'[3]1'!$B$2:$D$37,2,0),"0000")</f>
        <v>0024</v>
      </c>
      <c r="G1070" s="261" t="str">
        <f t="shared" si="159"/>
        <v>0147</v>
      </c>
      <c r="H1070" s="408">
        <f t="shared" si="160"/>
        <v>1</v>
      </c>
      <c r="I1070" s="407" t="s">
        <v>1589</v>
      </c>
      <c r="J1070" s="258" t="s">
        <v>141</v>
      </c>
      <c r="K1070" s="258" t="s">
        <v>143</v>
      </c>
      <c r="L1070" s="258" t="s">
        <v>3813</v>
      </c>
      <c r="M1070" s="409">
        <v>121100000</v>
      </c>
      <c r="N1070" s="258">
        <v>1995</v>
      </c>
      <c r="O1070" s="258" t="s">
        <v>3801</v>
      </c>
      <c r="P1070" s="258" t="s">
        <v>73</v>
      </c>
      <c r="Q1070" s="258" t="s">
        <v>72</v>
      </c>
      <c r="R1070" s="258">
        <v>5</v>
      </c>
      <c r="S1070" s="410">
        <v>26</v>
      </c>
      <c r="T1070" s="261">
        <v>6</v>
      </c>
      <c r="U1070" s="261">
        <v>6</v>
      </c>
      <c r="V1070" s="258" t="s">
        <v>71</v>
      </c>
      <c r="W1070" s="261" t="str">
        <f t="shared" si="162"/>
        <v>MASERATIGHIBLIGT 하이브리드121100000</v>
      </c>
      <c r="X1070" s="411">
        <f t="shared" si="163"/>
        <v>4844</v>
      </c>
      <c r="Y1070" s="261">
        <v>6</v>
      </c>
      <c r="Z1070" s="261">
        <v>6</v>
      </c>
      <c r="AA1070" s="407" t="s">
        <v>1589</v>
      </c>
      <c r="AB1070" s="258" t="s">
        <v>73</v>
      </c>
      <c r="AC1070" s="258"/>
      <c r="AD1070" s="258">
        <v>3</v>
      </c>
      <c r="AE1070" s="258">
        <v>1</v>
      </c>
      <c r="AF1070" s="259"/>
      <c r="AG1070" s="260"/>
      <c r="AH1070" s="259"/>
      <c r="AI1070" s="259"/>
      <c r="AJ1070" s="260"/>
      <c r="AK1070" s="259">
        <v>22</v>
      </c>
      <c r="AL1070" s="259"/>
      <c r="AM1070" s="259" t="s">
        <v>3732</v>
      </c>
      <c r="AN1070" s="449"/>
      <c r="AO1070" s="449"/>
      <c r="AP1070" s="449"/>
      <c r="AQ1070" s="392" t="str">
        <f>IFERROR(VLOOKUP(BG1070,#REF!,1,0),"")</f>
        <v/>
      </c>
      <c r="AS1070" s="259" t="s">
        <v>3228</v>
      </c>
      <c r="BD1070" s="202" t="str">
        <f t="shared" si="155"/>
        <v>GHIBLIGT 하이브리드</v>
      </c>
      <c r="BE1070" s="261" t="str">
        <f t="shared" si="161"/>
        <v>0147</v>
      </c>
      <c r="BF1070" s="407" t="s">
        <v>1589</v>
      </c>
      <c r="BG1070" s="202" t="str">
        <f t="shared" si="156"/>
        <v>0147-1069</v>
      </c>
    </row>
    <row r="1071" spans="1:59">
      <c r="A1071" s="405">
        <v>4845</v>
      </c>
      <c r="B1071" s="406">
        <v>4845</v>
      </c>
      <c r="C1071" s="261" t="str">
        <f t="shared" si="157"/>
        <v>0024-0147</v>
      </c>
      <c r="D1071" s="261" t="str">
        <f t="shared" si="158"/>
        <v>0024-0147-0002</v>
      </c>
      <c r="E1071" s="407" t="s">
        <v>1590</v>
      </c>
      <c r="F1071" s="261" t="str">
        <f>TEXT(VLOOKUP(J1071,'[3]1'!$B$2:$D$37,2,0),"0000")</f>
        <v>0024</v>
      </c>
      <c r="G1071" s="261" t="str">
        <f t="shared" si="159"/>
        <v>0147</v>
      </c>
      <c r="H1071" s="408">
        <f t="shared" si="160"/>
        <v>2</v>
      </c>
      <c r="I1071" s="407" t="s">
        <v>1590</v>
      </c>
      <c r="J1071" s="258" t="s">
        <v>141</v>
      </c>
      <c r="K1071" s="258" t="s">
        <v>143</v>
      </c>
      <c r="L1071" s="258" t="s">
        <v>3814</v>
      </c>
      <c r="M1071" s="409">
        <v>118800000</v>
      </c>
      <c r="N1071" s="258">
        <v>2979</v>
      </c>
      <c r="O1071" s="258" t="s">
        <v>3800</v>
      </c>
      <c r="P1071" s="258" t="s">
        <v>73</v>
      </c>
      <c r="Q1071" s="258" t="s">
        <v>72</v>
      </c>
      <c r="R1071" s="258">
        <v>5</v>
      </c>
      <c r="S1071" s="410">
        <v>26</v>
      </c>
      <c r="T1071" s="261">
        <v>6</v>
      </c>
      <c r="U1071" s="261">
        <v>6</v>
      </c>
      <c r="V1071" s="258" t="s">
        <v>71</v>
      </c>
      <c r="W1071" s="261" t="str">
        <f t="shared" si="162"/>
        <v>MASERATIGHIBLI모데나 S Q4118800000</v>
      </c>
      <c r="X1071" s="411">
        <f t="shared" si="163"/>
        <v>4845</v>
      </c>
      <c r="Y1071" s="261">
        <v>6</v>
      </c>
      <c r="Z1071" s="261">
        <v>6</v>
      </c>
      <c r="AA1071" s="407" t="s">
        <v>1590</v>
      </c>
      <c r="AB1071" s="258" t="s">
        <v>73</v>
      </c>
      <c r="AC1071" s="258"/>
      <c r="AD1071" s="258">
        <v>3</v>
      </c>
      <c r="AE1071" s="258">
        <v>1</v>
      </c>
      <c r="AF1071" s="259"/>
      <c r="AG1071" s="260"/>
      <c r="AH1071" s="259"/>
      <c r="AI1071" s="259"/>
      <c r="AJ1071" s="260"/>
      <c r="AK1071" s="259">
        <v>22</v>
      </c>
      <c r="AL1071" s="259"/>
      <c r="AM1071" s="259" t="s">
        <v>3732</v>
      </c>
      <c r="AN1071" s="449"/>
      <c r="AO1071" s="449"/>
      <c r="AP1071" s="449"/>
      <c r="AQ1071" s="392" t="str">
        <f>IFERROR(VLOOKUP(BG1071,#REF!,1,0),"")</f>
        <v/>
      </c>
      <c r="AS1071" s="259" t="s">
        <v>3228</v>
      </c>
      <c r="BD1071" s="202" t="str">
        <f t="shared" si="155"/>
        <v>GHIBLI모데나 S Q4</v>
      </c>
      <c r="BE1071" s="261" t="str">
        <f t="shared" si="161"/>
        <v>0147</v>
      </c>
      <c r="BF1071" s="407" t="s">
        <v>1590</v>
      </c>
      <c r="BG1071" s="202" t="str">
        <f t="shared" si="156"/>
        <v>0147-1070</v>
      </c>
    </row>
    <row r="1072" spans="1:59">
      <c r="A1072" s="405">
        <v>4846</v>
      </c>
      <c r="B1072" s="406">
        <v>4846</v>
      </c>
      <c r="C1072" s="261" t="str">
        <f t="shared" si="157"/>
        <v>0024-0147</v>
      </c>
      <c r="D1072" s="261" t="str">
        <f t="shared" si="158"/>
        <v>0024-0147-0003</v>
      </c>
      <c r="E1072" s="407" t="s">
        <v>1591</v>
      </c>
      <c r="F1072" s="261" t="str">
        <f>TEXT(VLOOKUP(J1072,'[3]1'!$B$2:$D$37,2,0),"0000")</f>
        <v>0024</v>
      </c>
      <c r="G1072" s="261" t="str">
        <f t="shared" si="159"/>
        <v>0147</v>
      </c>
      <c r="H1072" s="408">
        <f t="shared" si="160"/>
        <v>3</v>
      </c>
      <c r="I1072" s="407" t="s">
        <v>1591</v>
      </c>
      <c r="J1072" s="258" t="s">
        <v>141</v>
      </c>
      <c r="K1072" s="258" t="s">
        <v>143</v>
      </c>
      <c r="L1072" s="258" t="s">
        <v>3812</v>
      </c>
      <c r="M1072" s="409">
        <v>112400000</v>
      </c>
      <c r="N1072" s="258">
        <v>3799</v>
      </c>
      <c r="O1072" s="258" t="s">
        <v>3800</v>
      </c>
      <c r="P1072" s="258" t="s">
        <v>73</v>
      </c>
      <c r="Q1072" s="258" t="s">
        <v>72</v>
      </c>
      <c r="R1072" s="258">
        <v>5</v>
      </c>
      <c r="S1072" s="410">
        <v>26</v>
      </c>
      <c r="T1072" s="261">
        <v>6</v>
      </c>
      <c r="U1072" s="261">
        <v>6</v>
      </c>
      <c r="V1072" s="258" t="s">
        <v>71</v>
      </c>
      <c r="W1072" s="261" t="str">
        <f t="shared" si="162"/>
        <v>MASERATIGHIBLI트로페오112400000</v>
      </c>
      <c r="X1072" s="411">
        <f t="shared" si="163"/>
        <v>4846</v>
      </c>
      <c r="Y1072" s="261">
        <v>6</v>
      </c>
      <c r="Z1072" s="261">
        <v>6</v>
      </c>
      <c r="AA1072" s="407" t="s">
        <v>1591</v>
      </c>
      <c r="AB1072" s="258" t="s">
        <v>73</v>
      </c>
      <c r="AC1072" s="258"/>
      <c r="AD1072" s="258">
        <v>3</v>
      </c>
      <c r="AE1072" s="258">
        <v>1</v>
      </c>
      <c r="AF1072" s="259"/>
      <c r="AG1072" s="260"/>
      <c r="AH1072" s="259"/>
      <c r="AI1072" s="259"/>
      <c r="AJ1072" s="260"/>
      <c r="AK1072" s="259">
        <v>22</v>
      </c>
      <c r="AL1072" s="259"/>
      <c r="AM1072" s="259" t="s">
        <v>3732</v>
      </c>
      <c r="AN1072" s="449"/>
      <c r="AO1072" s="449"/>
      <c r="AP1072" s="449"/>
      <c r="AQ1072" s="392" t="str">
        <f>IFERROR(VLOOKUP(BG1072,#REF!,1,0),"")</f>
        <v/>
      </c>
      <c r="AS1072" s="259" t="s">
        <v>3228</v>
      </c>
      <c r="BD1072" s="202" t="str">
        <f t="shared" si="155"/>
        <v>GHIBLI트로페오</v>
      </c>
      <c r="BE1072" s="261" t="str">
        <f t="shared" si="161"/>
        <v>0147</v>
      </c>
      <c r="BF1072" s="407" t="s">
        <v>1591</v>
      </c>
      <c r="BG1072" s="202" t="str">
        <f t="shared" si="156"/>
        <v>0147-1071</v>
      </c>
    </row>
    <row r="1073" spans="1:59">
      <c r="A1073" s="405">
        <v>4847</v>
      </c>
      <c r="B1073" s="406">
        <v>4847</v>
      </c>
      <c r="C1073" s="261" t="str">
        <f t="shared" si="157"/>
        <v>0024-0148</v>
      </c>
      <c r="D1073" s="261" t="str">
        <f t="shared" si="158"/>
        <v>0024-0148-0001</v>
      </c>
      <c r="E1073" s="407" t="s">
        <v>1592</v>
      </c>
      <c r="F1073" s="261" t="str">
        <f>TEXT(VLOOKUP(J1073,'[3]1'!$B$2:$D$37,2,0),"0000")</f>
        <v>0024</v>
      </c>
      <c r="G1073" s="261" t="str">
        <f t="shared" si="159"/>
        <v>0148</v>
      </c>
      <c r="H1073" s="408">
        <f t="shared" si="160"/>
        <v>1</v>
      </c>
      <c r="I1073" s="407" t="s">
        <v>1592</v>
      </c>
      <c r="J1073" s="258" t="s">
        <v>141</v>
      </c>
      <c r="K1073" s="258" t="s">
        <v>142</v>
      </c>
      <c r="L1073" s="258" t="s">
        <v>137</v>
      </c>
      <c r="M1073" s="409">
        <v>157700000</v>
      </c>
      <c r="N1073" s="258">
        <v>1995</v>
      </c>
      <c r="O1073" s="258" t="s">
        <v>3801</v>
      </c>
      <c r="P1073" s="258" t="s">
        <v>3781</v>
      </c>
      <c r="Q1073" s="258" t="s">
        <v>72</v>
      </c>
      <c r="R1073" s="258">
        <v>5</v>
      </c>
      <c r="S1073" s="410">
        <v>26</v>
      </c>
      <c r="T1073" s="261">
        <v>6</v>
      </c>
      <c r="U1073" s="261">
        <v>6</v>
      </c>
      <c r="V1073" s="258" t="s">
        <v>71</v>
      </c>
      <c r="W1073" s="261" t="str">
        <f t="shared" si="162"/>
        <v>MASERATILevanteGT157700000</v>
      </c>
      <c r="X1073" s="411">
        <f t="shared" si="163"/>
        <v>4847</v>
      </c>
      <c r="Y1073" s="261">
        <v>6</v>
      </c>
      <c r="Z1073" s="261">
        <v>6</v>
      </c>
      <c r="AA1073" s="407" t="s">
        <v>1592</v>
      </c>
      <c r="AB1073" s="258" t="s">
        <v>70</v>
      </c>
      <c r="AC1073" s="258"/>
      <c r="AD1073" s="258">
        <v>5</v>
      </c>
      <c r="AE1073" s="258">
        <v>0</v>
      </c>
      <c r="AF1073" s="259"/>
      <c r="AG1073" s="260"/>
      <c r="AH1073" s="259"/>
      <c r="AI1073" s="259"/>
      <c r="AJ1073" s="260"/>
      <c r="AK1073" s="259">
        <v>22</v>
      </c>
      <c r="AL1073" s="259"/>
      <c r="AM1073" s="259" t="s">
        <v>3732</v>
      </c>
      <c r="AN1073" s="449"/>
      <c r="AO1073" s="449"/>
      <c r="AP1073" s="449"/>
      <c r="AQ1073" s="392" t="str">
        <f>IFERROR(VLOOKUP(BG1073,#REF!,1,0),"")</f>
        <v/>
      </c>
      <c r="AS1073" s="259" t="s">
        <v>3232</v>
      </c>
      <c r="BD1073" s="202" t="str">
        <f t="shared" si="155"/>
        <v>LevanteGT</v>
      </c>
      <c r="BE1073" s="261" t="str">
        <f t="shared" si="161"/>
        <v>0148</v>
      </c>
      <c r="BF1073" s="407" t="s">
        <v>1592</v>
      </c>
      <c r="BG1073" s="202" t="str">
        <f t="shared" si="156"/>
        <v>0148-1072</v>
      </c>
    </row>
    <row r="1074" spans="1:59">
      <c r="A1074" s="405">
        <v>4848</v>
      </c>
      <c r="B1074" s="406">
        <v>4848</v>
      </c>
      <c r="C1074" s="261" t="str">
        <f t="shared" si="157"/>
        <v>0024-0148</v>
      </c>
      <c r="D1074" s="261" t="str">
        <f t="shared" si="158"/>
        <v>0024-0148-0002</v>
      </c>
      <c r="E1074" s="407" t="s">
        <v>1593</v>
      </c>
      <c r="F1074" s="261" t="str">
        <f>TEXT(VLOOKUP(J1074,'[3]1'!$B$2:$D$37,2,0),"0000")</f>
        <v>0024</v>
      </c>
      <c r="G1074" s="261" t="str">
        <f t="shared" si="159"/>
        <v>0148</v>
      </c>
      <c r="H1074" s="408">
        <f t="shared" si="160"/>
        <v>2</v>
      </c>
      <c r="I1074" s="407" t="s">
        <v>1593</v>
      </c>
      <c r="J1074" s="258" t="s">
        <v>141</v>
      </c>
      <c r="K1074" s="258" t="s">
        <v>142</v>
      </c>
      <c r="L1074" s="258" t="s">
        <v>3815</v>
      </c>
      <c r="M1074" s="409">
        <v>155600000</v>
      </c>
      <c r="N1074" s="258">
        <v>2979</v>
      </c>
      <c r="O1074" s="258" t="s">
        <v>77</v>
      </c>
      <c r="P1074" s="258" t="s">
        <v>3781</v>
      </c>
      <c r="Q1074" s="258" t="s">
        <v>72</v>
      </c>
      <c r="R1074" s="258">
        <v>5</v>
      </c>
      <c r="S1074" s="410">
        <v>26</v>
      </c>
      <c r="T1074" s="261">
        <v>6</v>
      </c>
      <c r="U1074" s="261">
        <v>6</v>
      </c>
      <c r="V1074" s="258" t="s">
        <v>71</v>
      </c>
      <c r="W1074" s="261" t="str">
        <f t="shared" si="162"/>
        <v>MASERATILevante모데나 S155600000</v>
      </c>
      <c r="X1074" s="411">
        <f t="shared" si="163"/>
        <v>4848</v>
      </c>
      <c r="Y1074" s="261">
        <v>6</v>
      </c>
      <c r="Z1074" s="261">
        <v>6</v>
      </c>
      <c r="AA1074" s="407" t="s">
        <v>1593</v>
      </c>
      <c r="AB1074" s="258" t="s">
        <v>70</v>
      </c>
      <c r="AC1074" s="258"/>
      <c r="AD1074" s="258">
        <v>5</v>
      </c>
      <c r="AE1074" s="258">
        <v>0</v>
      </c>
      <c r="AF1074" s="259"/>
      <c r="AG1074" s="260"/>
      <c r="AH1074" s="259"/>
      <c r="AI1074" s="259"/>
      <c r="AJ1074" s="260"/>
      <c r="AK1074" s="259">
        <v>22</v>
      </c>
      <c r="AL1074" s="259"/>
      <c r="AM1074" s="259" t="s">
        <v>3732</v>
      </c>
      <c r="AN1074" s="449"/>
      <c r="AO1074" s="449"/>
      <c r="AP1074" s="449"/>
      <c r="AQ1074" s="392" t="str">
        <f>IFERROR(VLOOKUP(BG1074,#REF!,1,0),"")</f>
        <v/>
      </c>
      <c r="AS1074" s="259" t="s">
        <v>3232</v>
      </c>
      <c r="BD1074" s="202" t="str">
        <f t="shared" si="155"/>
        <v>Levante모데나 S</v>
      </c>
      <c r="BE1074" s="261" t="str">
        <f t="shared" si="161"/>
        <v>0148</v>
      </c>
      <c r="BF1074" s="407" t="s">
        <v>1593</v>
      </c>
      <c r="BG1074" s="202" t="str">
        <f t="shared" si="156"/>
        <v>0148-1073</v>
      </c>
    </row>
    <row r="1075" spans="1:59">
      <c r="A1075" s="405">
        <v>4849</v>
      </c>
      <c r="B1075" s="406">
        <v>4849</v>
      </c>
      <c r="C1075" s="261" t="str">
        <f t="shared" si="157"/>
        <v>0024-0148</v>
      </c>
      <c r="D1075" s="261" t="str">
        <f t="shared" si="158"/>
        <v>0024-0148-0003</v>
      </c>
      <c r="E1075" s="407" t="s">
        <v>1594</v>
      </c>
      <c r="F1075" s="261" t="str">
        <f>TEXT(VLOOKUP(J1075,'[3]1'!$B$2:$D$37,2,0),"0000")</f>
        <v>0024</v>
      </c>
      <c r="G1075" s="261" t="str">
        <f t="shared" si="159"/>
        <v>0148</v>
      </c>
      <c r="H1075" s="408">
        <f t="shared" si="160"/>
        <v>3</v>
      </c>
      <c r="I1075" s="407" t="s">
        <v>1594</v>
      </c>
      <c r="J1075" s="258" t="s">
        <v>141</v>
      </c>
      <c r="K1075" s="258" t="s">
        <v>142</v>
      </c>
      <c r="L1075" s="258" t="s">
        <v>3812</v>
      </c>
      <c r="M1075" s="409">
        <v>168300000</v>
      </c>
      <c r="N1075" s="258">
        <v>3799</v>
      </c>
      <c r="O1075" s="258" t="s">
        <v>77</v>
      </c>
      <c r="P1075" s="258" t="s">
        <v>3781</v>
      </c>
      <c r="Q1075" s="258" t="s">
        <v>72</v>
      </c>
      <c r="R1075" s="258">
        <v>5</v>
      </c>
      <c r="S1075" s="410">
        <v>26</v>
      </c>
      <c r="T1075" s="261">
        <v>6</v>
      </c>
      <c r="U1075" s="261">
        <v>6</v>
      </c>
      <c r="V1075" s="258" t="s">
        <v>71</v>
      </c>
      <c r="W1075" s="261" t="str">
        <f t="shared" si="162"/>
        <v>MASERATILevante트로페오168300000</v>
      </c>
      <c r="X1075" s="411">
        <f t="shared" si="163"/>
        <v>4849</v>
      </c>
      <c r="Y1075" s="261">
        <v>6</v>
      </c>
      <c r="Z1075" s="261">
        <v>6</v>
      </c>
      <c r="AA1075" s="407" t="s">
        <v>1594</v>
      </c>
      <c r="AB1075" s="258" t="s">
        <v>70</v>
      </c>
      <c r="AC1075" s="258"/>
      <c r="AD1075" s="258">
        <v>5</v>
      </c>
      <c r="AE1075" s="258">
        <v>0</v>
      </c>
      <c r="AF1075" s="259"/>
      <c r="AG1075" s="260"/>
      <c r="AH1075" s="259"/>
      <c r="AI1075" s="259"/>
      <c r="AJ1075" s="260"/>
      <c r="AK1075" s="259">
        <v>22</v>
      </c>
      <c r="AL1075" s="259"/>
      <c r="AM1075" s="259" t="s">
        <v>3732</v>
      </c>
      <c r="AN1075" s="449"/>
      <c r="AO1075" s="449"/>
      <c r="AP1075" s="449"/>
      <c r="AQ1075" s="392" t="str">
        <f>IFERROR(VLOOKUP(BG1075,#REF!,1,0),"")</f>
        <v/>
      </c>
      <c r="AS1075" s="259" t="s">
        <v>3232</v>
      </c>
      <c r="BD1075" s="202" t="str">
        <f t="shared" si="155"/>
        <v>Levante트로페오</v>
      </c>
      <c r="BE1075" s="261" t="str">
        <f t="shared" si="161"/>
        <v>0148</v>
      </c>
      <c r="BF1075" s="407" t="s">
        <v>1594</v>
      </c>
      <c r="BG1075" s="202" t="str">
        <f t="shared" si="156"/>
        <v>0148-1074</v>
      </c>
    </row>
    <row r="1076" spans="1:59">
      <c r="A1076" s="405">
        <v>4850</v>
      </c>
      <c r="B1076" s="406">
        <v>4850</v>
      </c>
      <c r="C1076" s="261" t="str">
        <f t="shared" si="157"/>
        <v>0024-0149</v>
      </c>
      <c r="D1076" s="261" t="str">
        <f t="shared" si="158"/>
        <v>0024-0149-0001</v>
      </c>
      <c r="E1076" s="407" t="s">
        <v>3930</v>
      </c>
      <c r="F1076" s="261" t="str">
        <f>TEXT(VLOOKUP(J1076,'[3]1'!$B$2:$D$37,2,0),"0000")</f>
        <v>0024</v>
      </c>
      <c r="G1076" s="261" t="str">
        <f t="shared" si="159"/>
        <v>0149</v>
      </c>
      <c r="H1076" s="408">
        <f t="shared" si="160"/>
        <v>1</v>
      </c>
      <c r="I1076" s="407" t="s">
        <v>3930</v>
      </c>
      <c r="J1076" s="258" t="s">
        <v>141</v>
      </c>
      <c r="K1076" s="258" t="s">
        <v>140</v>
      </c>
      <c r="L1076" s="258" t="s">
        <v>137</v>
      </c>
      <c r="M1076" s="409">
        <v>153800000</v>
      </c>
      <c r="N1076" s="258">
        <v>2979</v>
      </c>
      <c r="O1076" s="258" t="s">
        <v>3800</v>
      </c>
      <c r="P1076" s="258" t="s">
        <v>73</v>
      </c>
      <c r="Q1076" s="258" t="s">
        <v>72</v>
      </c>
      <c r="R1076" s="258">
        <v>5</v>
      </c>
      <c r="S1076" s="410">
        <v>26</v>
      </c>
      <c r="T1076" s="261">
        <v>6</v>
      </c>
      <c r="U1076" s="261">
        <v>6</v>
      </c>
      <c r="V1076" s="258" t="s">
        <v>71</v>
      </c>
      <c r="W1076" s="261" t="str">
        <f t="shared" si="162"/>
        <v>MASERATIQuattroporteGT153800000</v>
      </c>
      <c r="X1076" s="411">
        <f t="shared" si="163"/>
        <v>4850</v>
      </c>
      <c r="Y1076" s="261">
        <v>6</v>
      </c>
      <c r="Z1076" s="261">
        <v>6</v>
      </c>
      <c r="AA1076" s="407" t="s">
        <v>3930</v>
      </c>
      <c r="AB1076" s="258" t="s">
        <v>73</v>
      </c>
      <c r="AC1076" s="258"/>
      <c r="AD1076" s="258">
        <v>3</v>
      </c>
      <c r="AE1076" s="258">
        <v>0</v>
      </c>
      <c r="AF1076" s="259"/>
      <c r="AG1076" s="260"/>
      <c r="AH1076" s="259"/>
      <c r="AI1076" s="259"/>
      <c r="AJ1076" s="260"/>
      <c r="AK1076" s="259">
        <v>22</v>
      </c>
      <c r="AL1076" s="259"/>
      <c r="AM1076" s="259" t="s">
        <v>3732</v>
      </c>
      <c r="AN1076" s="449"/>
      <c r="AO1076" s="449"/>
      <c r="AP1076" s="449"/>
      <c r="AQ1076" s="392" t="str">
        <f>IFERROR(VLOOKUP(BG1076,#REF!,1,0),"")</f>
        <v/>
      </c>
      <c r="AS1076" s="259" t="s">
        <v>3230</v>
      </c>
      <c r="BD1076" s="202" t="str">
        <f t="shared" si="155"/>
        <v>QuattroporteGT</v>
      </c>
      <c r="BE1076" s="261" t="str">
        <f t="shared" si="161"/>
        <v>0149</v>
      </c>
      <c r="BF1076" s="407" t="s">
        <v>3930</v>
      </c>
      <c r="BG1076" s="202" t="str">
        <f t="shared" si="156"/>
        <v>0149-1075</v>
      </c>
    </row>
    <row r="1077" spans="1:59">
      <c r="A1077" s="405">
        <v>4851</v>
      </c>
      <c r="B1077" s="406">
        <v>4851</v>
      </c>
      <c r="C1077" s="261" t="str">
        <f t="shared" si="157"/>
        <v>0024-0149</v>
      </c>
      <c r="D1077" s="261" t="str">
        <f t="shared" si="158"/>
        <v>0024-0149-0002</v>
      </c>
      <c r="E1077" s="407" t="s">
        <v>1595</v>
      </c>
      <c r="F1077" s="261" t="str">
        <f>TEXT(VLOOKUP(J1077,'[3]1'!$B$2:$D$37,2,0),"0000")</f>
        <v>0024</v>
      </c>
      <c r="G1077" s="261" t="str">
        <f t="shared" si="159"/>
        <v>0149</v>
      </c>
      <c r="H1077" s="408">
        <f t="shared" si="160"/>
        <v>2</v>
      </c>
      <c r="I1077" s="407" t="s">
        <v>1595</v>
      </c>
      <c r="J1077" s="258" t="s">
        <v>141</v>
      </c>
      <c r="K1077" s="258" t="s">
        <v>140</v>
      </c>
      <c r="L1077" s="258" t="s">
        <v>3816</v>
      </c>
      <c r="M1077" s="409">
        <v>162100000</v>
      </c>
      <c r="N1077" s="258">
        <v>2979</v>
      </c>
      <c r="O1077" s="258" t="s">
        <v>3800</v>
      </c>
      <c r="P1077" s="258" t="s">
        <v>73</v>
      </c>
      <c r="Q1077" s="258" t="s">
        <v>72</v>
      </c>
      <c r="R1077" s="258">
        <v>5</v>
      </c>
      <c r="S1077" s="410">
        <v>26</v>
      </c>
      <c r="T1077" s="261">
        <v>6</v>
      </c>
      <c r="U1077" s="261">
        <v>6</v>
      </c>
      <c r="V1077" s="258" t="s">
        <v>71</v>
      </c>
      <c r="W1077" s="261" t="str">
        <f t="shared" si="162"/>
        <v>MASERATIQuattroporte모데나 Q4162100000</v>
      </c>
      <c r="X1077" s="411">
        <f t="shared" si="163"/>
        <v>4851</v>
      </c>
      <c r="Y1077" s="261">
        <v>6</v>
      </c>
      <c r="Z1077" s="261">
        <v>6</v>
      </c>
      <c r="AA1077" s="407" t="s">
        <v>1595</v>
      </c>
      <c r="AB1077" s="258" t="s">
        <v>73</v>
      </c>
      <c r="AC1077" s="258"/>
      <c r="AD1077" s="258">
        <v>4</v>
      </c>
      <c r="AE1077" s="258">
        <v>0</v>
      </c>
      <c r="AF1077" s="259"/>
      <c r="AG1077" s="260"/>
      <c r="AH1077" s="259"/>
      <c r="AI1077" s="259"/>
      <c r="AJ1077" s="260"/>
      <c r="AK1077" s="259">
        <v>22</v>
      </c>
      <c r="AL1077" s="259"/>
      <c r="AM1077" s="259" t="s">
        <v>3732</v>
      </c>
      <c r="AN1077" s="449"/>
      <c r="AO1077" s="449"/>
      <c r="AP1077" s="449"/>
      <c r="AQ1077" s="392" t="str">
        <f>IFERROR(VLOOKUP(BG1077,#REF!,1,0),"")</f>
        <v/>
      </c>
      <c r="AS1077" s="259" t="s">
        <v>3230</v>
      </c>
      <c r="BD1077" s="202" t="str">
        <f t="shared" si="155"/>
        <v>Quattroporte모데나 Q4</v>
      </c>
      <c r="BE1077" s="261" t="str">
        <f t="shared" si="161"/>
        <v>0149</v>
      </c>
      <c r="BF1077" s="407" t="s">
        <v>1595</v>
      </c>
      <c r="BG1077" s="202" t="str">
        <f t="shared" si="156"/>
        <v>0149-1076</v>
      </c>
    </row>
    <row r="1078" spans="1:59">
      <c r="A1078" s="405">
        <v>4852</v>
      </c>
      <c r="B1078" s="406">
        <v>4852</v>
      </c>
      <c r="C1078" s="261" t="str">
        <f t="shared" si="157"/>
        <v>0024-0149</v>
      </c>
      <c r="D1078" s="261" t="str">
        <f t="shared" si="158"/>
        <v>0024-0149-0003</v>
      </c>
      <c r="E1078" s="407" t="s">
        <v>1596</v>
      </c>
      <c r="F1078" s="261" t="str">
        <f>TEXT(VLOOKUP(J1078,'[3]1'!$B$2:$D$37,2,0),"0000")</f>
        <v>0024</v>
      </c>
      <c r="G1078" s="261" t="str">
        <f t="shared" si="159"/>
        <v>0149</v>
      </c>
      <c r="H1078" s="408">
        <f t="shared" si="160"/>
        <v>3</v>
      </c>
      <c r="I1078" s="407" t="s">
        <v>1596</v>
      </c>
      <c r="J1078" s="258" t="s">
        <v>141</v>
      </c>
      <c r="K1078" s="258" t="s">
        <v>140</v>
      </c>
      <c r="L1078" s="258" t="s">
        <v>3812</v>
      </c>
      <c r="M1078" s="409">
        <v>163900000</v>
      </c>
      <c r="N1078" s="258">
        <v>3799</v>
      </c>
      <c r="O1078" s="258" t="s">
        <v>3800</v>
      </c>
      <c r="P1078" s="258" t="s">
        <v>73</v>
      </c>
      <c r="Q1078" s="258" t="s">
        <v>72</v>
      </c>
      <c r="R1078" s="258">
        <v>5</v>
      </c>
      <c r="S1078" s="410">
        <v>26</v>
      </c>
      <c r="T1078" s="261">
        <v>6</v>
      </c>
      <c r="U1078" s="261">
        <v>6</v>
      </c>
      <c r="V1078" s="258" t="s">
        <v>71</v>
      </c>
      <c r="W1078" s="261" t="str">
        <f t="shared" si="162"/>
        <v>MASERATIQuattroporte트로페오163900000</v>
      </c>
      <c r="X1078" s="411">
        <f t="shared" si="163"/>
        <v>4852</v>
      </c>
      <c r="Y1078" s="261">
        <v>6</v>
      </c>
      <c r="Z1078" s="261">
        <v>6</v>
      </c>
      <c r="AA1078" s="407" t="s">
        <v>1596</v>
      </c>
      <c r="AB1078" s="258" t="s">
        <v>73</v>
      </c>
      <c r="AC1078" s="258"/>
      <c r="AD1078" s="258">
        <v>5</v>
      </c>
      <c r="AE1078" s="258">
        <v>2</v>
      </c>
      <c r="AF1078" s="259"/>
      <c r="AG1078" s="260"/>
      <c r="AH1078" s="259"/>
      <c r="AI1078" s="259"/>
      <c r="AJ1078" s="260"/>
      <c r="AK1078" s="259">
        <v>22</v>
      </c>
      <c r="AL1078" s="259"/>
      <c r="AM1078" s="259" t="s">
        <v>3732</v>
      </c>
      <c r="AN1078" s="449"/>
      <c r="AO1078" s="449"/>
      <c r="AP1078" s="449"/>
      <c r="AQ1078" s="392" t="str">
        <f>IFERROR(VLOOKUP(BG1078,#REF!,1,0),"")</f>
        <v/>
      </c>
      <c r="AS1078" s="259" t="s">
        <v>3230</v>
      </c>
      <c r="BD1078" s="202" t="str">
        <f t="shared" si="155"/>
        <v>Quattroporte트로페오</v>
      </c>
      <c r="BE1078" s="261" t="str">
        <f t="shared" si="161"/>
        <v>0149</v>
      </c>
      <c r="BF1078" s="407" t="s">
        <v>1596</v>
      </c>
      <c r="BG1078" s="202" t="str">
        <f t="shared" si="156"/>
        <v>0149-1077</v>
      </c>
    </row>
    <row r="1079" spans="1:59">
      <c r="A1079" s="405">
        <v>4853</v>
      </c>
      <c r="B1079" s="406">
        <v>4853</v>
      </c>
      <c r="C1079" s="261" t="str">
        <f t="shared" si="157"/>
        <v>0024-0150</v>
      </c>
      <c r="D1079" s="261" t="str">
        <f t="shared" si="158"/>
        <v>0024-0150-0001</v>
      </c>
      <c r="E1079" s="407" t="s">
        <v>1597</v>
      </c>
      <c r="F1079" s="261" t="str">
        <f>TEXT(VLOOKUP(J1079,'[3]1'!$B$2:$D$37,2,0),"0000")</f>
        <v>0024</v>
      </c>
      <c r="G1079" s="261" t="str">
        <f t="shared" si="159"/>
        <v>0150</v>
      </c>
      <c r="H1079" s="408">
        <f t="shared" si="160"/>
        <v>1</v>
      </c>
      <c r="I1079" s="407" t="s">
        <v>1597</v>
      </c>
      <c r="J1079" s="258" t="s">
        <v>141</v>
      </c>
      <c r="K1079" s="258" t="s">
        <v>3306</v>
      </c>
      <c r="L1079" s="258" t="s">
        <v>137</v>
      </c>
      <c r="M1079" s="409">
        <v>133000000</v>
      </c>
      <c r="N1079" s="258">
        <v>1995</v>
      </c>
      <c r="O1079" s="258" t="s">
        <v>77</v>
      </c>
      <c r="P1079" s="258" t="s">
        <v>3781</v>
      </c>
      <c r="Q1079" s="258" t="s">
        <v>72</v>
      </c>
      <c r="R1079" s="258">
        <v>5</v>
      </c>
      <c r="S1079" s="410">
        <v>26</v>
      </c>
      <c r="T1079" s="261">
        <v>6</v>
      </c>
      <c r="U1079" s="261">
        <v>6</v>
      </c>
      <c r="V1079" s="258" t="s">
        <v>71</v>
      </c>
      <c r="W1079" s="261" t="str">
        <f t="shared" si="162"/>
        <v>MASERATIGrecaleGT133000000</v>
      </c>
      <c r="X1079" s="411">
        <f t="shared" si="163"/>
        <v>4853</v>
      </c>
      <c r="Y1079" s="261">
        <v>6</v>
      </c>
      <c r="Z1079" s="261">
        <v>6</v>
      </c>
      <c r="AA1079" s="407" t="s">
        <v>1597</v>
      </c>
      <c r="AB1079" s="258" t="s">
        <v>3781</v>
      </c>
      <c r="AC1079" s="258"/>
      <c r="AD1079" s="258">
        <v>7</v>
      </c>
      <c r="AE1079" s="258">
        <v>0</v>
      </c>
      <c r="AF1079" s="259"/>
      <c r="AG1079" s="260"/>
      <c r="AH1079" s="259"/>
      <c r="AI1079" s="259"/>
      <c r="AJ1079" s="260"/>
      <c r="AK1079" s="259">
        <v>22</v>
      </c>
      <c r="AL1079" s="259"/>
      <c r="AM1079" s="259" t="s">
        <v>3732</v>
      </c>
      <c r="AN1079" s="449"/>
      <c r="AO1079" s="449"/>
      <c r="AP1079" s="449"/>
      <c r="AQ1079" s="392" t="str">
        <f>IFERROR(VLOOKUP(BG1079,#REF!,1,0),"")</f>
        <v/>
      </c>
      <c r="AS1079" s="259" t="s">
        <v>3303</v>
      </c>
      <c r="BD1079" s="202" t="str">
        <f t="shared" si="155"/>
        <v>GrecaleGT</v>
      </c>
      <c r="BE1079" s="261" t="str">
        <f t="shared" si="161"/>
        <v>0150</v>
      </c>
      <c r="BF1079" s="407" t="s">
        <v>1597</v>
      </c>
      <c r="BG1079" s="202" t="str">
        <f t="shared" si="156"/>
        <v>0150-1078</v>
      </c>
    </row>
    <row r="1080" spans="1:59">
      <c r="A1080" s="405">
        <v>4854</v>
      </c>
      <c r="B1080" s="406">
        <v>4854</v>
      </c>
      <c r="C1080" s="261" t="str">
        <f t="shared" si="157"/>
        <v>0024-0150</v>
      </c>
      <c r="D1080" s="261" t="str">
        <f t="shared" si="158"/>
        <v>0024-0150-0002</v>
      </c>
      <c r="E1080" s="407" t="s">
        <v>1598</v>
      </c>
      <c r="F1080" s="261" t="str">
        <f>TEXT(VLOOKUP(J1080,'[3]1'!$B$2:$D$37,2,0),"0000")</f>
        <v>0024</v>
      </c>
      <c r="G1080" s="261" t="str">
        <f t="shared" si="159"/>
        <v>0150</v>
      </c>
      <c r="H1080" s="408">
        <f t="shared" si="160"/>
        <v>2</v>
      </c>
      <c r="I1080" s="407" t="s">
        <v>1598</v>
      </c>
      <c r="J1080" s="258" t="s">
        <v>141</v>
      </c>
      <c r="K1080" s="258" t="s">
        <v>3306</v>
      </c>
      <c r="L1080" s="258" t="s">
        <v>3811</v>
      </c>
      <c r="M1080" s="409">
        <v>133000000</v>
      </c>
      <c r="N1080" s="258">
        <v>1995</v>
      </c>
      <c r="O1080" s="258" t="s">
        <v>77</v>
      </c>
      <c r="P1080" s="258" t="s">
        <v>3781</v>
      </c>
      <c r="Q1080" s="258" t="s">
        <v>72</v>
      </c>
      <c r="R1080" s="258">
        <v>5</v>
      </c>
      <c r="S1080" s="410">
        <v>26</v>
      </c>
      <c r="T1080" s="261">
        <v>6</v>
      </c>
      <c r="U1080" s="261">
        <v>6</v>
      </c>
      <c r="V1080" s="258" t="s">
        <v>71</v>
      </c>
      <c r="W1080" s="261" t="str">
        <f t="shared" si="162"/>
        <v>MASERATIGrecale모데나133000000</v>
      </c>
      <c r="X1080" s="411">
        <f t="shared" si="163"/>
        <v>4854</v>
      </c>
      <c r="Y1080" s="261">
        <v>6</v>
      </c>
      <c r="Z1080" s="261">
        <v>6</v>
      </c>
      <c r="AA1080" s="407" t="s">
        <v>1598</v>
      </c>
      <c r="AB1080" s="258" t="s">
        <v>3781</v>
      </c>
      <c r="AC1080" s="258"/>
      <c r="AD1080" s="258">
        <v>7</v>
      </c>
      <c r="AE1080" s="258">
        <v>0</v>
      </c>
      <c r="AF1080" s="259"/>
      <c r="AG1080" s="260"/>
      <c r="AH1080" s="259"/>
      <c r="AI1080" s="259"/>
      <c r="AJ1080" s="260"/>
      <c r="AK1080" s="259">
        <v>22</v>
      </c>
      <c r="AL1080" s="259"/>
      <c r="AM1080" s="259" t="s">
        <v>3732</v>
      </c>
      <c r="AN1080" s="449"/>
      <c r="AO1080" s="449"/>
      <c r="AP1080" s="449"/>
      <c r="AQ1080" s="392" t="str">
        <f>IFERROR(VLOOKUP(BG1080,#REF!,1,0),"")</f>
        <v/>
      </c>
      <c r="AS1080" s="259" t="s">
        <v>1989</v>
      </c>
      <c r="BD1080" s="202" t="str">
        <f t="shared" si="155"/>
        <v>Grecale모데나</v>
      </c>
      <c r="BE1080" s="261" t="str">
        <f t="shared" si="161"/>
        <v>0150</v>
      </c>
      <c r="BF1080" s="407" t="s">
        <v>1598</v>
      </c>
      <c r="BG1080" s="202" t="str">
        <f t="shared" si="156"/>
        <v>0150-1079</v>
      </c>
    </row>
    <row r="1081" spans="1:59">
      <c r="A1081" s="405">
        <v>4855</v>
      </c>
      <c r="B1081" s="406">
        <v>4855</v>
      </c>
      <c r="C1081" s="261" t="str">
        <f t="shared" si="157"/>
        <v>0024-0150</v>
      </c>
      <c r="D1081" s="261" t="str">
        <f t="shared" si="158"/>
        <v>0024-0150-0003</v>
      </c>
      <c r="E1081" s="407" t="s">
        <v>1599</v>
      </c>
      <c r="F1081" s="261" t="str">
        <f>TEXT(VLOOKUP(J1081,'[3]1'!$B$2:$D$37,2,0),"0000")</f>
        <v>0024</v>
      </c>
      <c r="G1081" s="261" t="str">
        <f t="shared" si="159"/>
        <v>0150</v>
      </c>
      <c r="H1081" s="408">
        <f t="shared" si="160"/>
        <v>3</v>
      </c>
      <c r="I1081" s="407" t="s">
        <v>1599</v>
      </c>
      <c r="J1081" s="258" t="s">
        <v>141</v>
      </c>
      <c r="K1081" s="258" t="s">
        <v>3306</v>
      </c>
      <c r="L1081" s="258" t="s">
        <v>3812</v>
      </c>
      <c r="M1081" s="409">
        <v>133000000</v>
      </c>
      <c r="N1081" s="258">
        <v>2992</v>
      </c>
      <c r="O1081" s="258" t="s">
        <v>77</v>
      </c>
      <c r="P1081" s="258" t="s">
        <v>3781</v>
      </c>
      <c r="Q1081" s="258" t="s">
        <v>72</v>
      </c>
      <c r="R1081" s="258">
        <v>5</v>
      </c>
      <c r="S1081" s="410">
        <v>26</v>
      </c>
      <c r="T1081" s="261">
        <v>6</v>
      </c>
      <c r="U1081" s="261">
        <v>6</v>
      </c>
      <c r="V1081" s="258" t="s">
        <v>71</v>
      </c>
      <c r="W1081" s="261" t="str">
        <f t="shared" si="162"/>
        <v>MASERATIGrecale트로페오133000000</v>
      </c>
      <c r="X1081" s="411">
        <f t="shared" si="163"/>
        <v>4855</v>
      </c>
      <c r="Y1081" s="261">
        <v>6</v>
      </c>
      <c r="Z1081" s="261">
        <v>6</v>
      </c>
      <c r="AA1081" s="407" t="s">
        <v>1599</v>
      </c>
      <c r="AB1081" s="258" t="s">
        <v>3781</v>
      </c>
      <c r="AC1081" s="258"/>
      <c r="AD1081" s="258">
        <v>7</v>
      </c>
      <c r="AE1081" s="258">
        <v>0</v>
      </c>
      <c r="AF1081" s="259"/>
      <c r="AG1081" s="260"/>
      <c r="AH1081" s="259"/>
      <c r="AI1081" s="259"/>
      <c r="AJ1081" s="260"/>
      <c r="AK1081" s="259">
        <v>22</v>
      </c>
      <c r="AL1081" s="259"/>
      <c r="AM1081" s="259" t="s">
        <v>3732</v>
      </c>
      <c r="AN1081" s="449"/>
      <c r="AO1081" s="449"/>
      <c r="AP1081" s="449"/>
      <c r="AQ1081" s="392" t="str">
        <f>IFERROR(VLOOKUP(BG1081,#REF!,1,0),"")</f>
        <v/>
      </c>
      <c r="AS1081" s="259" t="s">
        <v>3303</v>
      </c>
      <c r="BD1081" s="202" t="str">
        <f t="shared" si="155"/>
        <v>Grecale트로페오</v>
      </c>
      <c r="BE1081" s="261" t="str">
        <f t="shared" si="161"/>
        <v>0150</v>
      </c>
      <c r="BF1081" s="407" t="s">
        <v>1599</v>
      </c>
      <c r="BG1081" s="202" t="str">
        <f t="shared" si="156"/>
        <v>0150-1080</v>
      </c>
    </row>
    <row r="1082" spans="1:59">
      <c r="A1082" s="405">
        <v>4856</v>
      </c>
      <c r="B1082" s="406">
        <v>4856</v>
      </c>
      <c r="C1082" s="261" t="str">
        <f t="shared" si="157"/>
        <v>0023-0151</v>
      </c>
      <c r="D1082" s="261" t="str">
        <f t="shared" si="158"/>
        <v>0023-0151-0001</v>
      </c>
      <c r="E1082" s="407" t="s">
        <v>1600</v>
      </c>
      <c r="F1082" s="261" t="str">
        <f>TEXT(VLOOKUP(J1082,'[3]1'!$B$2:$D$37,2,0),"0000")</f>
        <v>0023</v>
      </c>
      <c r="G1082" s="261" t="str">
        <f t="shared" si="159"/>
        <v>0151</v>
      </c>
      <c r="H1082" s="408">
        <f t="shared" si="160"/>
        <v>1</v>
      </c>
      <c r="I1082" s="407" t="s">
        <v>1600</v>
      </c>
      <c r="J1082" s="413" t="s">
        <v>144</v>
      </c>
      <c r="K1082" s="413" t="s">
        <v>2777</v>
      </c>
      <c r="L1082" s="413" t="s">
        <v>3791</v>
      </c>
      <c r="M1082" s="415">
        <v>93600000</v>
      </c>
      <c r="N1082" s="416">
        <v>2956</v>
      </c>
      <c r="O1082" s="258" t="s">
        <v>77</v>
      </c>
      <c r="P1082" s="413" t="s">
        <v>3781</v>
      </c>
      <c r="Q1082" s="413" t="s">
        <v>72</v>
      </c>
      <c r="R1082" s="416">
        <v>6</v>
      </c>
      <c r="S1082" s="410">
        <v>16</v>
      </c>
      <c r="T1082" s="261">
        <v>6</v>
      </c>
      <c r="U1082" s="261">
        <v>6</v>
      </c>
      <c r="V1082" s="258" t="s">
        <v>71</v>
      </c>
      <c r="W1082" s="261" t="str">
        <f t="shared" si="162"/>
        <v>LINCOLNAviator블랙라벨93600000</v>
      </c>
      <c r="X1082" s="411">
        <f t="shared" si="163"/>
        <v>4856</v>
      </c>
      <c r="Y1082" s="261">
        <v>6</v>
      </c>
      <c r="Z1082" s="261">
        <v>6</v>
      </c>
      <c r="AA1082" s="407" t="s">
        <v>1600</v>
      </c>
      <c r="AB1082" s="258" t="s">
        <v>70</v>
      </c>
      <c r="AC1082" s="258"/>
      <c r="AD1082" s="258">
        <v>5</v>
      </c>
      <c r="AE1082" s="258">
        <v>0</v>
      </c>
      <c r="AF1082" s="259"/>
      <c r="AG1082" s="260"/>
      <c r="AH1082" s="259"/>
      <c r="AI1082" s="259"/>
      <c r="AJ1082" s="260"/>
      <c r="AK1082" s="259">
        <v>16</v>
      </c>
      <c r="AL1082" s="259"/>
      <c r="AM1082" s="259" t="s">
        <v>3690</v>
      </c>
      <c r="AN1082" s="449"/>
      <c r="AO1082" s="449"/>
      <c r="AP1082" s="449"/>
      <c r="AQ1082" s="392" t="str">
        <f>IFERROR(VLOOKUP(BG1082,#REF!,1,0),"")</f>
        <v/>
      </c>
      <c r="AS1082" s="259" t="s">
        <v>3230</v>
      </c>
      <c r="BD1082" s="202" t="str">
        <f t="shared" si="155"/>
        <v>Aviator블랙라벨</v>
      </c>
      <c r="BE1082" s="261" t="str">
        <f t="shared" si="161"/>
        <v>0151</v>
      </c>
      <c r="BF1082" s="407" t="s">
        <v>1600</v>
      </c>
      <c r="BG1082" s="202" t="str">
        <f t="shared" si="156"/>
        <v>0151-1081</v>
      </c>
    </row>
    <row r="1083" spans="1:59">
      <c r="A1083" s="405">
        <v>4857</v>
      </c>
      <c r="B1083" s="406">
        <v>4857</v>
      </c>
      <c r="C1083" s="261" t="str">
        <f t="shared" si="157"/>
        <v>0023-0151</v>
      </c>
      <c r="D1083" s="261" t="str">
        <f t="shared" si="158"/>
        <v>0023-0151-0002</v>
      </c>
      <c r="E1083" s="407" t="s">
        <v>1601</v>
      </c>
      <c r="F1083" s="261" t="str">
        <f>TEXT(VLOOKUP(J1083,'[3]1'!$B$2:$D$37,2,0),"0000")</f>
        <v>0023</v>
      </c>
      <c r="G1083" s="261" t="str">
        <f t="shared" si="159"/>
        <v>0151</v>
      </c>
      <c r="H1083" s="408">
        <f t="shared" si="160"/>
        <v>2</v>
      </c>
      <c r="I1083" s="407" t="s">
        <v>1601</v>
      </c>
      <c r="J1083" s="413" t="s">
        <v>144</v>
      </c>
      <c r="K1083" s="413" t="s">
        <v>2777</v>
      </c>
      <c r="L1083" s="413" t="s">
        <v>3790</v>
      </c>
      <c r="M1083" s="415">
        <v>83700000</v>
      </c>
      <c r="N1083" s="416">
        <v>2956</v>
      </c>
      <c r="O1083" s="258" t="s">
        <v>77</v>
      </c>
      <c r="P1083" s="413" t="s">
        <v>3781</v>
      </c>
      <c r="Q1083" s="413" t="s">
        <v>72</v>
      </c>
      <c r="R1083" s="416">
        <v>7</v>
      </c>
      <c r="S1083" s="410">
        <v>16</v>
      </c>
      <c r="T1083" s="261">
        <v>6</v>
      </c>
      <c r="U1083" s="261">
        <v>6</v>
      </c>
      <c r="V1083" s="258" t="s">
        <v>71</v>
      </c>
      <c r="W1083" s="261" t="str">
        <f t="shared" si="162"/>
        <v>LINCOLNAviator리저브83700000</v>
      </c>
      <c r="X1083" s="411">
        <f t="shared" si="163"/>
        <v>4857</v>
      </c>
      <c r="Y1083" s="261">
        <v>6</v>
      </c>
      <c r="Z1083" s="261">
        <v>6</v>
      </c>
      <c r="AA1083" s="407" t="s">
        <v>1601</v>
      </c>
      <c r="AB1083" s="258" t="s">
        <v>70</v>
      </c>
      <c r="AC1083" s="258"/>
      <c r="AD1083" s="258">
        <v>5</v>
      </c>
      <c r="AE1083" s="258">
        <v>0</v>
      </c>
      <c r="AF1083" s="259"/>
      <c r="AG1083" s="260"/>
      <c r="AH1083" s="259"/>
      <c r="AI1083" s="259"/>
      <c r="AJ1083" s="260"/>
      <c r="AK1083" s="259">
        <v>16</v>
      </c>
      <c r="AL1083" s="259"/>
      <c r="AM1083" s="259" t="s">
        <v>3690</v>
      </c>
      <c r="AN1083" s="449"/>
      <c r="AO1083" s="449"/>
      <c r="AP1083" s="449"/>
      <c r="AQ1083" s="392" t="str">
        <f>IFERROR(VLOOKUP(BG1083,#REF!,1,0),"")</f>
        <v/>
      </c>
      <c r="AS1083" s="259" t="s">
        <v>3230</v>
      </c>
      <c r="BD1083" s="202" t="str">
        <f t="shared" si="155"/>
        <v>Aviator리저브</v>
      </c>
      <c r="BE1083" s="261" t="str">
        <f t="shared" si="161"/>
        <v>0151</v>
      </c>
      <c r="BF1083" s="407" t="s">
        <v>1601</v>
      </c>
      <c r="BG1083" s="202" t="str">
        <f t="shared" si="156"/>
        <v>0151-1082</v>
      </c>
    </row>
    <row r="1084" spans="1:59">
      <c r="A1084" s="405">
        <v>4858</v>
      </c>
      <c r="B1084" s="406">
        <v>4858</v>
      </c>
      <c r="C1084" s="261" t="str">
        <f t="shared" si="157"/>
        <v>0023-0151</v>
      </c>
      <c r="D1084" s="261" t="str">
        <f t="shared" si="158"/>
        <v>0023-0151-0003</v>
      </c>
      <c r="E1084" s="407" t="s">
        <v>1602</v>
      </c>
      <c r="F1084" s="261" t="str">
        <f>TEXT(VLOOKUP(J1084,'[3]1'!$B$2:$D$37,2,0),"0000")</f>
        <v>0023</v>
      </c>
      <c r="G1084" s="261" t="str">
        <f t="shared" si="159"/>
        <v>0151</v>
      </c>
      <c r="H1084" s="408">
        <f t="shared" si="160"/>
        <v>3</v>
      </c>
      <c r="I1084" s="407" t="s">
        <v>1602</v>
      </c>
      <c r="J1084" s="413" t="s">
        <v>144</v>
      </c>
      <c r="K1084" s="413" t="s">
        <v>2777</v>
      </c>
      <c r="L1084" s="413" t="s">
        <v>3792</v>
      </c>
      <c r="M1084" s="415">
        <v>83700000</v>
      </c>
      <c r="N1084" s="416">
        <v>2956</v>
      </c>
      <c r="O1084" s="258" t="s">
        <v>77</v>
      </c>
      <c r="P1084" s="413" t="s">
        <v>3781</v>
      </c>
      <c r="Q1084" s="413" t="s">
        <v>72</v>
      </c>
      <c r="R1084" s="416">
        <v>7</v>
      </c>
      <c r="S1084" s="410">
        <v>16</v>
      </c>
      <c r="T1084" s="261">
        <v>6</v>
      </c>
      <c r="U1084" s="261">
        <v>6</v>
      </c>
      <c r="V1084" s="258" t="s">
        <v>71</v>
      </c>
      <c r="W1084" s="261" t="str">
        <f t="shared" si="162"/>
        <v>LINCOLNAviator제트 패키지83700000</v>
      </c>
      <c r="X1084" s="411">
        <f t="shared" si="163"/>
        <v>4858</v>
      </c>
      <c r="Y1084" s="261">
        <v>6</v>
      </c>
      <c r="Z1084" s="261">
        <v>6</v>
      </c>
      <c r="AA1084" s="407" t="s">
        <v>1602</v>
      </c>
      <c r="AB1084" s="258" t="s">
        <v>70</v>
      </c>
      <c r="AC1084" s="258"/>
      <c r="AD1084" s="258">
        <v>5</v>
      </c>
      <c r="AE1084" s="258">
        <v>0</v>
      </c>
      <c r="AF1084" s="259"/>
      <c r="AG1084" s="260"/>
      <c r="AH1084" s="259"/>
      <c r="AI1084" s="259"/>
      <c r="AJ1084" s="260"/>
      <c r="AK1084" s="259">
        <v>16</v>
      </c>
      <c r="AL1084" s="259"/>
      <c r="AM1084" s="259" t="s">
        <v>3690</v>
      </c>
      <c r="AN1084" s="449"/>
      <c r="AO1084" s="449"/>
      <c r="AP1084" s="449"/>
      <c r="AQ1084" s="392" t="str">
        <f>IFERROR(VLOOKUP(BG1084,#REF!,1,0),"")</f>
        <v/>
      </c>
      <c r="AS1084" s="259" t="s">
        <v>3230</v>
      </c>
      <c r="BD1084" s="202" t="str">
        <f t="shared" si="155"/>
        <v>Aviator제트 패키지</v>
      </c>
      <c r="BE1084" s="261" t="str">
        <f t="shared" si="161"/>
        <v>0151</v>
      </c>
      <c r="BF1084" s="407" t="s">
        <v>1602</v>
      </c>
      <c r="BG1084" s="202" t="str">
        <f t="shared" si="156"/>
        <v>0151-1083</v>
      </c>
    </row>
    <row r="1085" spans="1:59">
      <c r="A1085" s="405">
        <v>4859</v>
      </c>
      <c r="B1085" s="406">
        <v>4859</v>
      </c>
      <c r="C1085" s="261" t="str">
        <f t="shared" si="157"/>
        <v>0023-0152</v>
      </c>
      <c r="D1085" s="261" t="str">
        <f t="shared" si="158"/>
        <v>0023-0152-0001</v>
      </c>
      <c r="E1085" s="407" t="s">
        <v>1603</v>
      </c>
      <c r="F1085" s="261" t="str">
        <f>TEXT(VLOOKUP(J1085,'[3]1'!$B$2:$D$37,2,0),"0000")</f>
        <v>0023</v>
      </c>
      <c r="G1085" s="261" t="str">
        <f t="shared" si="159"/>
        <v>0152</v>
      </c>
      <c r="H1085" s="408">
        <f t="shared" si="160"/>
        <v>1</v>
      </c>
      <c r="I1085" s="407" t="s">
        <v>1603</v>
      </c>
      <c r="J1085" s="258" t="s">
        <v>144</v>
      </c>
      <c r="K1085" s="413" t="s">
        <v>2032</v>
      </c>
      <c r="L1085" s="413" t="s">
        <v>2033</v>
      </c>
      <c r="M1085" s="428">
        <v>57200000</v>
      </c>
      <c r="N1085" s="416">
        <v>1999</v>
      </c>
      <c r="O1085" s="258" t="s">
        <v>77</v>
      </c>
      <c r="P1085" s="413" t="s">
        <v>3781</v>
      </c>
      <c r="Q1085" s="413" t="s">
        <v>72</v>
      </c>
      <c r="R1085" s="416">
        <v>5</v>
      </c>
      <c r="S1085" s="410">
        <v>16</v>
      </c>
      <c r="T1085" s="261">
        <v>6</v>
      </c>
      <c r="U1085" s="261">
        <v>6</v>
      </c>
      <c r="V1085" s="258" t="s">
        <v>1969</v>
      </c>
      <c r="W1085" s="261" t="str">
        <f t="shared" si="162"/>
        <v>LINCOLNCorsair리저브 2.057200000</v>
      </c>
      <c r="X1085" s="411">
        <f t="shared" si="163"/>
        <v>4859</v>
      </c>
      <c r="Y1085" s="261">
        <v>6</v>
      </c>
      <c r="Z1085" s="261">
        <v>6</v>
      </c>
      <c r="AA1085" s="407" t="s">
        <v>1603</v>
      </c>
      <c r="AB1085" s="258" t="s">
        <v>70</v>
      </c>
      <c r="AC1085" s="258"/>
      <c r="AD1085" s="258">
        <v>5</v>
      </c>
      <c r="AE1085" s="258">
        <v>0</v>
      </c>
      <c r="AF1085" s="259"/>
      <c r="AG1085" s="260"/>
      <c r="AH1085" s="259"/>
      <c r="AI1085" s="259"/>
      <c r="AJ1085" s="260"/>
      <c r="AK1085" s="259">
        <v>18</v>
      </c>
      <c r="AL1085" s="259"/>
      <c r="AM1085" s="259" t="s">
        <v>3770</v>
      </c>
      <c r="AN1085" s="449"/>
      <c r="AO1085" s="449"/>
      <c r="AP1085" s="449"/>
      <c r="AQ1085" s="392" t="str">
        <f>IFERROR(VLOOKUP(BG1085,#REF!,1,0),"")</f>
        <v/>
      </c>
      <c r="AS1085" s="259" t="s">
        <v>3230</v>
      </c>
      <c r="BD1085" s="202" t="str">
        <f t="shared" si="155"/>
        <v>Corsair리저브 2.0</v>
      </c>
      <c r="BE1085" s="261" t="str">
        <f t="shared" si="161"/>
        <v>0152</v>
      </c>
      <c r="BF1085" s="407" t="s">
        <v>1603</v>
      </c>
      <c r="BG1085" s="202" t="str">
        <f t="shared" si="156"/>
        <v>0152-1084</v>
      </c>
    </row>
    <row r="1086" spans="1:59">
      <c r="A1086" s="405">
        <v>4860</v>
      </c>
      <c r="B1086" s="406">
        <v>4860</v>
      </c>
      <c r="C1086" s="261" t="str">
        <f t="shared" si="157"/>
        <v>0023-0153</v>
      </c>
      <c r="D1086" s="261" t="str">
        <f t="shared" si="158"/>
        <v>0023-0153-0001</v>
      </c>
      <c r="E1086" s="407" t="s">
        <v>1604</v>
      </c>
      <c r="F1086" s="261" t="str">
        <f>TEXT(VLOOKUP(J1086,'[3]1'!$B$2:$D$37,2,0),"0000")</f>
        <v>0023</v>
      </c>
      <c r="G1086" s="261" t="str">
        <f t="shared" si="159"/>
        <v>0153</v>
      </c>
      <c r="H1086" s="408">
        <f t="shared" si="160"/>
        <v>1</v>
      </c>
      <c r="I1086" s="407" t="s">
        <v>1604</v>
      </c>
      <c r="J1086" s="258" t="s">
        <v>144</v>
      </c>
      <c r="K1086" s="258" t="s">
        <v>1389</v>
      </c>
      <c r="L1086" s="258" t="s">
        <v>3790</v>
      </c>
      <c r="M1086" s="409">
        <v>67000000</v>
      </c>
      <c r="N1086" s="258">
        <v>1995</v>
      </c>
      <c r="O1086" s="258" t="s">
        <v>77</v>
      </c>
      <c r="P1086" s="413" t="s">
        <v>3781</v>
      </c>
      <c r="Q1086" s="258" t="s">
        <v>72</v>
      </c>
      <c r="R1086" s="258">
        <v>5</v>
      </c>
      <c r="S1086" s="410">
        <v>16</v>
      </c>
      <c r="T1086" s="261">
        <v>6</v>
      </c>
      <c r="U1086" s="261">
        <v>6</v>
      </c>
      <c r="V1086" s="258" t="s">
        <v>71</v>
      </c>
      <c r="W1086" s="261" t="str">
        <f t="shared" si="162"/>
        <v>LINCOLNNAUTILUS리저브67000000</v>
      </c>
      <c r="X1086" s="411">
        <f t="shared" si="163"/>
        <v>4860</v>
      </c>
      <c r="Y1086" s="261">
        <v>6</v>
      </c>
      <c r="Z1086" s="261">
        <v>6</v>
      </c>
      <c r="AA1086" s="407" t="s">
        <v>1604</v>
      </c>
      <c r="AB1086" s="258" t="s">
        <v>70</v>
      </c>
      <c r="AC1086" s="258"/>
      <c r="AD1086" s="258">
        <v>5</v>
      </c>
      <c r="AE1086" s="258">
        <v>0</v>
      </c>
      <c r="AF1086" s="259"/>
      <c r="AG1086" s="260"/>
      <c r="AH1086" s="259"/>
      <c r="AI1086" s="259"/>
      <c r="AJ1086" s="260"/>
      <c r="AK1086" s="259">
        <v>18</v>
      </c>
      <c r="AL1086" s="259"/>
      <c r="AM1086" s="259" t="s">
        <v>3770</v>
      </c>
      <c r="AN1086" s="449"/>
      <c r="AO1086" s="449"/>
      <c r="AP1086" s="449"/>
      <c r="AQ1086" s="392" t="str">
        <f>IFERROR(VLOOKUP(BG1086,#REF!,1,0),"")</f>
        <v/>
      </c>
      <c r="AS1086" s="259" t="s">
        <v>3230</v>
      </c>
      <c r="BD1086" s="202" t="str">
        <f t="shared" si="155"/>
        <v>NAUTILUS리저브</v>
      </c>
      <c r="BE1086" s="261" t="str">
        <f t="shared" si="161"/>
        <v>0153</v>
      </c>
      <c r="BF1086" s="407" t="s">
        <v>1604</v>
      </c>
      <c r="BG1086" s="202" t="str">
        <f t="shared" si="156"/>
        <v>0153-1085</v>
      </c>
    </row>
    <row r="1087" spans="1:59">
      <c r="A1087" s="405">
        <v>4861</v>
      </c>
      <c r="B1087" s="406">
        <v>4861</v>
      </c>
      <c r="C1087" s="261" t="str">
        <f t="shared" si="157"/>
        <v>0023-0154</v>
      </c>
      <c r="D1087" s="261" t="str">
        <f t="shared" si="158"/>
        <v>0023-0154-0001</v>
      </c>
      <c r="E1087" s="407" t="s">
        <v>1605</v>
      </c>
      <c r="F1087" s="261" t="str">
        <f>TEXT(VLOOKUP(J1087,'[3]1'!$B$2:$D$37,2,0),"0000")</f>
        <v>0023</v>
      </c>
      <c r="G1087" s="261" t="str">
        <f t="shared" si="159"/>
        <v>0154</v>
      </c>
      <c r="H1087" s="408">
        <f t="shared" si="160"/>
        <v>1</v>
      </c>
      <c r="I1087" s="407" t="s">
        <v>1605</v>
      </c>
      <c r="J1087" s="413" t="s">
        <v>144</v>
      </c>
      <c r="K1087" s="413" t="s">
        <v>3045</v>
      </c>
      <c r="L1087" s="413" t="s">
        <v>3789</v>
      </c>
      <c r="M1087" s="428">
        <v>118400000</v>
      </c>
      <c r="N1087" s="416">
        <v>3496</v>
      </c>
      <c r="O1087" s="258" t="s">
        <v>77</v>
      </c>
      <c r="P1087" s="413" t="s">
        <v>3781</v>
      </c>
      <c r="Q1087" s="413" t="s">
        <v>72</v>
      </c>
      <c r="R1087" s="416">
        <v>7</v>
      </c>
      <c r="S1087" s="410">
        <v>20</v>
      </c>
      <c r="T1087" s="261">
        <v>6</v>
      </c>
      <c r="U1087" s="261">
        <v>6</v>
      </c>
      <c r="V1087" s="258" t="s">
        <v>71</v>
      </c>
      <c r="W1087" s="261" t="str">
        <f t="shared" si="162"/>
        <v>LINCOLNnavigator블랙라벨118400000</v>
      </c>
      <c r="X1087" s="411">
        <f t="shared" si="163"/>
        <v>4861</v>
      </c>
      <c r="Y1087" s="261">
        <v>6</v>
      </c>
      <c r="Z1087" s="261">
        <v>6</v>
      </c>
      <c r="AA1087" s="407" t="s">
        <v>1605</v>
      </c>
      <c r="AB1087" s="258" t="s">
        <v>70</v>
      </c>
      <c r="AC1087" s="258"/>
      <c r="AD1087" s="258">
        <v>6</v>
      </c>
      <c r="AE1087" s="258" t="s">
        <v>2129</v>
      </c>
      <c r="AF1087" s="259"/>
      <c r="AG1087" s="260"/>
      <c r="AH1087" s="259"/>
      <c r="AI1087" s="259"/>
      <c r="AJ1087" s="260"/>
      <c r="AK1087" s="259">
        <v>22</v>
      </c>
      <c r="AL1087" s="259"/>
      <c r="AM1087" s="259" t="s">
        <v>3732</v>
      </c>
      <c r="AN1087" s="449"/>
      <c r="AO1087" s="449"/>
      <c r="AP1087" s="449"/>
      <c r="AQ1087" s="392" t="str">
        <f>IFERROR(VLOOKUP(BG1087,#REF!,1,0),"")</f>
        <v/>
      </c>
      <c r="AS1087" s="259" t="s">
        <v>3234</v>
      </c>
      <c r="AW1087" s="392" t="s">
        <v>3036</v>
      </c>
      <c r="BD1087" s="202" t="str">
        <f t="shared" si="155"/>
        <v>navigator블랙라벨</v>
      </c>
      <c r="BE1087" s="261" t="str">
        <f t="shared" si="161"/>
        <v>0154</v>
      </c>
      <c r="BF1087" s="407" t="s">
        <v>1605</v>
      </c>
      <c r="BG1087" s="202" t="str">
        <f t="shared" si="156"/>
        <v>0154-1086</v>
      </c>
    </row>
    <row r="1088" spans="1:59">
      <c r="A1088" s="405">
        <v>4862</v>
      </c>
      <c r="B1088" s="406">
        <v>4862</v>
      </c>
      <c r="C1088" s="261" t="str">
        <f t="shared" si="157"/>
        <v>0022-0155</v>
      </c>
      <c r="D1088" s="261" t="str">
        <f t="shared" si="158"/>
        <v>0022-0155-0001</v>
      </c>
      <c r="E1088" s="407" t="s">
        <v>1606</v>
      </c>
      <c r="F1088" s="261" t="str">
        <f>TEXT(VLOOKUP(J1088,'[3]1'!$B$2:$D$37,2,0),"0000")</f>
        <v>0022</v>
      </c>
      <c r="G1088" s="261" t="str">
        <f t="shared" si="159"/>
        <v>0155</v>
      </c>
      <c r="H1088" s="408">
        <f t="shared" si="160"/>
        <v>1</v>
      </c>
      <c r="I1088" s="407" t="s">
        <v>1606</v>
      </c>
      <c r="J1088" s="258" t="s">
        <v>146</v>
      </c>
      <c r="K1088" s="258" t="s">
        <v>151</v>
      </c>
      <c r="L1088" s="258" t="s">
        <v>3894</v>
      </c>
      <c r="M1088" s="409">
        <v>67700000</v>
      </c>
      <c r="N1088" s="258">
        <v>2487</v>
      </c>
      <c r="O1088" s="258" t="s">
        <v>74</v>
      </c>
      <c r="P1088" s="258" t="s">
        <v>73</v>
      </c>
      <c r="Q1088" s="258" t="s">
        <v>72</v>
      </c>
      <c r="R1088" s="258">
        <v>5</v>
      </c>
      <c r="S1088" s="410">
        <v>9</v>
      </c>
      <c r="T1088" s="261">
        <v>6</v>
      </c>
      <c r="U1088" s="261">
        <v>6</v>
      </c>
      <c r="V1088" s="258" t="s">
        <v>1914</v>
      </c>
      <c r="W1088" s="261" t="str">
        <f t="shared" si="162"/>
        <v>LEXUSES 하이브리드300h F 스포츠67700000</v>
      </c>
      <c r="X1088" s="411">
        <f t="shared" si="163"/>
        <v>4862</v>
      </c>
      <c r="Y1088" s="261">
        <v>6</v>
      </c>
      <c r="Z1088" s="261">
        <v>6</v>
      </c>
      <c r="AA1088" s="407" t="s">
        <v>1606</v>
      </c>
      <c r="AB1088" s="258" t="s">
        <v>73</v>
      </c>
      <c r="AC1088" s="258"/>
      <c r="AD1088" s="258">
        <v>3</v>
      </c>
      <c r="AE1088" s="258">
        <v>1</v>
      </c>
      <c r="AF1088" s="259"/>
      <c r="AG1088" s="260"/>
      <c r="AH1088" s="259"/>
      <c r="AI1088" s="259"/>
      <c r="AJ1088" s="260"/>
      <c r="AK1088" s="259">
        <v>8</v>
      </c>
      <c r="AL1088" s="259"/>
      <c r="AM1088" s="259" t="s">
        <v>3657</v>
      </c>
      <c r="AN1088" s="449"/>
      <c r="AO1088" s="449"/>
      <c r="AP1088" s="449"/>
      <c r="AQ1088" s="392" t="str">
        <f>IFERROR(VLOOKUP(BG1088,#REF!,1,0),"")</f>
        <v/>
      </c>
      <c r="AS1088" s="259" t="s">
        <v>3222</v>
      </c>
      <c r="BD1088" s="202" t="str">
        <f t="shared" si="155"/>
        <v>ES 하이브리드300h F 스포츠</v>
      </c>
      <c r="BE1088" s="261" t="str">
        <f t="shared" si="161"/>
        <v>0155</v>
      </c>
      <c r="BF1088" s="407" t="s">
        <v>1606</v>
      </c>
      <c r="BG1088" s="202" t="str">
        <f t="shared" si="156"/>
        <v>0155-1087</v>
      </c>
    </row>
    <row r="1089" spans="1:59">
      <c r="A1089" s="405">
        <v>4863</v>
      </c>
      <c r="B1089" s="406">
        <v>4863</v>
      </c>
      <c r="C1089" s="261" t="str">
        <f t="shared" si="157"/>
        <v>0022-0155</v>
      </c>
      <c r="D1089" s="261" t="str">
        <f t="shared" si="158"/>
        <v>0022-0155-0002</v>
      </c>
      <c r="E1089" s="407" t="s">
        <v>1607</v>
      </c>
      <c r="F1089" s="261" t="str">
        <f>TEXT(VLOOKUP(J1089,'[3]1'!$B$2:$D$37,2,0),"0000")</f>
        <v>0022</v>
      </c>
      <c r="G1089" s="261" t="str">
        <f t="shared" si="159"/>
        <v>0155</v>
      </c>
      <c r="H1089" s="408">
        <f t="shared" si="160"/>
        <v>2</v>
      </c>
      <c r="I1089" s="407" t="s">
        <v>1607</v>
      </c>
      <c r="J1089" s="258" t="s">
        <v>146</v>
      </c>
      <c r="K1089" s="258" t="s">
        <v>151</v>
      </c>
      <c r="L1089" s="258" t="s">
        <v>3895</v>
      </c>
      <c r="M1089" s="409">
        <v>61700000</v>
      </c>
      <c r="N1089" s="258">
        <v>2487</v>
      </c>
      <c r="O1089" s="258" t="s">
        <v>74</v>
      </c>
      <c r="P1089" s="258" t="s">
        <v>73</v>
      </c>
      <c r="Q1089" s="258" t="s">
        <v>72</v>
      </c>
      <c r="R1089" s="258">
        <v>5</v>
      </c>
      <c r="S1089" s="410">
        <v>9</v>
      </c>
      <c r="T1089" s="261">
        <v>6</v>
      </c>
      <c r="U1089" s="261">
        <v>6</v>
      </c>
      <c r="V1089" s="258" t="s">
        <v>1914</v>
      </c>
      <c r="W1089" s="261" t="str">
        <f t="shared" si="162"/>
        <v>LEXUSES 하이브리드300h F 스포츠 디자인 패키지61700000</v>
      </c>
      <c r="X1089" s="411">
        <f t="shared" si="163"/>
        <v>4863</v>
      </c>
      <c r="Y1089" s="261">
        <v>6</v>
      </c>
      <c r="Z1089" s="261">
        <v>6</v>
      </c>
      <c r="AA1089" s="407" t="s">
        <v>1607</v>
      </c>
      <c r="AB1089" s="258" t="s">
        <v>73</v>
      </c>
      <c r="AC1089" s="258"/>
      <c r="AD1089" s="258">
        <v>2</v>
      </c>
      <c r="AE1089" s="258">
        <v>0</v>
      </c>
      <c r="AF1089" s="259"/>
      <c r="AG1089" s="260"/>
      <c r="AH1089" s="259"/>
      <c r="AI1089" s="259"/>
      <c r="AJ1089" s="260"/>
      <c r="AK1089" s="259">
        <v>8</v>
      </c>
      <c r="AL1089" s="259"/>
      <c r="AM1089" s="259" t="s">
        <v>3657</v>
      </c>
      <c r="AN1089" s="449"/>
      <c r="AO1089" s="449"/>
      <c r="AP1089" s="449"/>
      <c r="AQ1089" s="392" t="str">
        <f>IFERROR(VLOOKUP(BG1089,#REF!,1,0),"")</f>
        <v/>
      </c>
      <c r="AS1089" s="259" t="s">
        <v>3222</v>
      </c>
      <c r="BD1089" s="202" t="str">
        <f t="shared" si="155"/>
        <v>ES 하이브리드300h F 스포츠 디자인 패키지</v>
      </c>
      <c r="BE1089" s="261" t="str">
        <f t="shared" si="161"/>
        <v>0155</v>
      </c>
      <c r="BF1089" s="407" t="s">
        <v>1607</v>
      </c>
      <c r="BG1089" s="202" t="str">
        <f t="shared" si="156"/>
        <v>0155-1088</v>
      </c>
    </row>
    <row r="1090" spans="1:59">
      <c r="A1090" s="405">
        <v>4864</v>
      </c>
      <c r="B1090" s="406">
        <v>4864</v>
      </c>
      <c r="C1090" s="261" t="str">
        <f t="shared" si="157"/>
        <v>0022-0155</v>
      </c>
      <c r="D1090" s="261" t="str">
        <f t="shared" si="158"/>
        <v>0022-0155-0003</v>
      </c>
      <c r="E1090" s="407" t="s">
        <v>1608</v>
      </c>
      <c r="F1090" s="261" t="str">
        <f>TEXT(VLOOKUP(J1090,'[3]1'!$B$2:$D$37,2,0),"0000")</f>
        <v>0022</v>
      </c>
      <c r="G1090" s="261" t="str">
        <f t="shared" si="159"/>
        <v>0155</v>
      </c>
      <c r="H1090" s="408">
        <f t="shared" si="160"/>
        <v>3</v>
      </c>
      <c r="I1090" s="407" t="s">
        <v>1608</v>
      </c>
      <c r="J1090" s="258" t="s">
        <v>146</v>
      </c>
      <c r="K1090" s="258" t="s">
        <v>151</v>
      </c>
      <c r="L1090" s="258" t="s">
        <v>3896</v>
      </c>
      <c r="M1090" s="409">
        <v>63800000</v>
      </c>
      <c r="N1090" s="258">
        <v>2487</v>
      </c>
      <c r="O1090" s="258" t="s">
        <v>74</v>
      </c>
      <c r="P1090" s="258" t="s">
        <v>73</v>
      </c>
      <c r="Q1090" s="258" t="s">
        <v>72</v>
      </c>
      <c r="R1090" s="258">
        <v>5</v>
      </c>
      <c r="S1090" s="410">
        <v>9</v>
      </c>
      <c r="T1090" s="261">
        <v>6</v>
      </c>
      <c r="U1090" s="261">
        <v>6</v>
      </c>
      <c r="V1090" s="258" t="s">
        <v>1914</v>
      </c>
      <c r="W1090" s="261" t="str">
        <f t="shared" si="162"/>
        <v>LEXUSES 하이브리드300h 럭셔리 플러스63800000</v>
      </c>
      <c r="X1090" s="411">
        <f t="shared" si="163"/>
        <v>4864</v>
      </c>
      <c r="Y1090" s="261">
        <v>6</v>
      </c>
      <c r="Z1090" s="261">
        <v>6</v>
      </c>
      <c r="AA1090" s="407" t="s">
        <v>1608</v>
      </c>
      <c r="AB1090" s="258" t="s">
        <v>73</v>
      </c>
      <c r="AC1090" s="258"/>
      <c r="AD1090" s="258">
        <v>2</v>
      </c>
      <c r="AE1090" s="258">
        <v>0</v>
      </c>
      <c r="AF1090" s="259"/>
      <c r="AG1090" s="260"/>
      <c r="AH1090" s="259"/>
      <c r="AI1090" s="259"/>
      <c r="AJ1090" s="260"/>
      <c r="AK1090" s="259">
        <v>8</v>
      </c>
      <c r="AL1090" s="259"/>
      <c r="AM1090" s="259" t="s">
        <v>3657</v>
      </c>
      <c r="AN1090" s="449"/>
      <c r="AO1090" s="449"/>
      <c r="AP1090" s="449"/>
      <c r="AQ1090" s="392" t="str">
        <f>IFERROR(VLOOKUP(BG1090,#REF!,1,0),"")</f>
        <v/>
      </c>
      <c r="AS1090" s="259" t="s">
        <v>3222</v>
      </c>
      <c r="BD1090" s="202" t="str">
        <f t="shared" si="155"/>
        <v>ES 하이브리드300h 럭셔리 플러스</v>
      </c>
      <c r="BE1090" s="261" t="str">
        <f t="shared" si="161"/>
        <v>0155</v>
      </c>
      <c r="BF1090" s="407" t="s">
        <v>1608</v>
      </c>
      <c r="BG1090" s="202" t="str">
        <f t="shared" si="156"/>
        <v>0155-1089</v>
      </c>
    </row>
    <row r="1091" spans="1:59">
      <c r="A1091" s="405">
        <v>4865</v>
      </c>
      <c r="B1091" s="406">
        <v>4865</v>
      </c>
      <c r="C1091" s="261" t="str">
        <f t="shared" si="157"/>
        <v>0022-0155</v>
      </c>
      <c r="D1091" s="261" t="str">
        <f t="shared" si="158"/>
        <v>0022-0155-0004</v>
      </c>
      <c r="E1091" s="407" t="s">
        <v>1609</v>
      </c>
      <c r="F1091" s="261" t="str">
        <f>TEXT(VLOOKUP(J1091,'[3]1'!$B$2:$D$37,2,0),"0000")</f>
        <v>0022</v>
      </c>
      <c r="G1091" s="261" t="str">
        <f t="shared" si="159"/>
        <v>0155</v>
      </c>
      <c r="H1091" s="408">
        <f t="shared" si="160"/>
        <v>4</v>
      </c>
      <c r="I1091" s="407" t="s">
        <v>1609</v>
      </c>
      <c r="J1091" s="258" t="s">
        <v>146</v>
      </c>
      <c r="K1091" s="258" t="s">
        <v>151</v>
      </c>
      <c r="L1091" s="258" t="s">
        <v>3897</v>
      </c>
      <c r="M1091" s="409">
        <v>58300000</v>
      </c>
      <c r="N1091" s="258">
        <v>2487</v>
      </c>
      <c r="O1091" s="258" t="s">
        <v>74</v>
      </c>
      <c r="P1091" s="258" t="s">
        <v>73</v>
      </c>
      <c r="Q1091" s="258" t="s">
        <v>72</v>
      </c>
      <c r="R1091" s="258">
        <v>5</v>
      </c>
      <c r="S1091" s="410">
        <v>9</v>
      </c>
      <c r="T1091" s="261">
        <v>6</v>
      </c>
      <c r="U1091" s="261">
        <v>6</v>
      </c>
      <c r="V1091" s="258" t="s">
        <v>1914</v>
      </c>
      <c r="W1091" s="261" t="str">
        <f t="shared" si="162"/>
        <v>LEXUSES 하이브리드300h 이그제큐티브58300000</v>
      </c>
      <c r="X1091" s="411">
        <f t="shared" si="163"/>
        <v>4865</v>
      </c>
      <c r="Y1091" s="261">
        <v>6</v>
      </c>
      <c r="Z1091" s="261">
        <v>6</v>
      </c>
      <c r="AA1091" s="407" t="s">
        <v>1609</v>
      </c>
      <c r="AB1091" s="258" t="s">
        <v>73</v>
      </c>
      <c r="AC1091" s="258"/>
      <c r="AD1091" s="258">
        <v>2</v>
      </c>
      <c r="AE1091" s="258">
        <v>0</v>
      </c>
      <c r="AF1091" s="259"/>
      <c r="AG1091" s="260"/>
      <c r="AH1091" s="259"/>
      <c r="AI1091" s="259"/>
      <c r="AJ1091" s="260"/>
      <c r="AK1091" s="259">
        <v>8</v>
      </c>
      <c r="AL1091" s="259"/>
      <c r="AM1091" s="259" t="s">
        <v>3657</v>
      </c>
      <c r="AN1091" s="449"/>
      <c r="AO1091" s="449"/>
      <c r="AP1091" s="449"/>
      <c r="AQ1091" s="392" t="str">
        <f>IFERROR(VLOOKUP(BG1091,#REF!,1,0),"")</f>
        <v/>
      </c>
      <c r="AS1091" s="259" t="s">
        <v>3222</v>
      </c>
      <c r="BD1091" s="202" t="str">
        <f t="shared" si="155"/>
        <v>ES 하이브리드300h 이그제큐티브</v>
      </c>
      <c r="BE1091" s="261" t="str">
        <f t="shared" si="161"/>
        <v>0155</v>
      </c>
      <c r="BF1091" s="407" t="s">
        <v>1609</v>
      </c>
      <c r="BG1091" s="202" t="str">
        <f t="shared" si="156"/>
        <v>0155-1090</v>
      </c>
    </row>
    <row r="1092" spans="1:59">
      <c r="A1092" s="405">
        <v>4866</v>
      </c>
      <c r="B1092" s="406">
        <v>4866</v>
      </c>
      <c r="C1092" s="261" t="str">
        <f t="shared" si="157"/>
        <v>0022-0156</v>
      </c>
      <c r="D1092" s="261" t="str">
        <f t="shared" si="158"/>
        <v>0022-0156-0001</v>
      </c>
      <c r="E1092" s="407" t="s">
        <v>1610</v>
      </c>
      <c r="F1092" s="261" t="str">
        <f>TEXT(VLOOKUP(J1092,'[3]1'!$B$2:$D$37,2,0),"0000")</f>
        <v>0022</v>
      </c>
      <c r="G1092" s="261" t="str">
        <f t="shared" si="159"/>
        <v>0156</v>
      </c>
      <c r="H1092" s="408">
        <f t="shared" si="160"/>
        <v>1</v>
      </c>
      <c r="I1092" s="407" t="s">
        <v>1610</v>
      </c>
      <c r="J1092" s="258" t="s">
        <v>146</v>
      </c>
      <c r="K1092" s="258" t="s">
        <v>1216</v>
      </c>
      <c r="L1092" s="258">
        <v>500</v>
      </c>
      <c r="M1092" s="409">
        <v>170000000</v>
      </c>
      <c r="N1092" s="258">
        <v>4969</v>
      </c>
      <c r="O1092" s="258" t="s">
        <v>77</v>
      </c>
      <c r="P1092" s="258" t="s">
        <v>73</v>
      </c>
      <c r="Q1092" s="258" t="s">
        <v>72</v>
      </c>
      <c r="R1092" s="258">
        <v>4</v>
      </c>
      <c r="S1092" s="410">
        <v>21</v>
      </c>
      <c r="T1092" s="261">
        <v>6</v>
      </c>
      <c r="U1092" s="261">
        <v>6</v>
      </c>
      <c r="V1092" s="258" t="s">
        <v>71</v>
      </c>
      <c r="W1092" s="261" t="str">
        <f t="shared" si="162"/>
        <v>LEXUSLC500170000000</v>
      </c>
      <c r="X1092" s="411">
        <f t="shared" si="163"/>
        <v>4866</v>
      </c>
      <c r="Y1092" s="261">
        <v>6</v>
      </c>
      <c r="Z1092" s="261">
        <v>6</v>
      </c>
      <c r="AA1092" s="407" t="s">
        <v>1610</v>
      </c>
      <c r="AB1092" s="258" t="s">
        <v>73</v>
      </c>
      <c r="AC1092" s="258"/>
      <c r="AD1092" s="258">
        <v>6</v>
      </c>
      <c r="AE1092" s="258">
        <v>0</v>
      </c>
      <c r="AF1092" s="259"/>
      <c r="AG1092" s="260"/>
      <c r="AH1092" s="259"/>
      <c r="AI1092" s="259"/>
      <c r="AJ1092" s="260"/>
      <c r="AK1092" s="259">
        <v>22</v>
      </c>
      <c r="AL1092" s="259"/>
      <c r="AM1092" s="259" t="s">
        <v>3732</v>
      </c>
      <c r="AN1092" s="449"/>
      <c r="AO1092" s="449"/>
      <c r="AP1092" s="449"/>
      <c r="AQ1092" s="392" t="str">
        <f>IFERROR(VLOOKUP(BG1092,#REF!,1,0),"")</f>
        <v/>
      </c>
      <c r="AS1092" s="259" t="s">
        <v>3225</v>
      </c>
      <c r="BD1092" s="202" t="str">
        <f t="shared" si="155"/>
        <v>LC500</v>
      </c>
      <c r="BE1092" s="261" t="str">
        <f t="shared" si="161"/>
        <v>0156</v>
      </c>
      <c r="BF1092" s="407" t="s">
        <v>1610</v>
      </c>
      <c r="BG1092" s="202" t="str">
        <f t="shared" si="156"/>
        <v>0156-1091</v>
      </c>
    </row>
    <row r="1093" spans="1:59">
      <c r="A1093" s="405">
        <v>4867</v>
      </c>
      <c r="B1093" s="406">
        <v>4867</v>
      </c>
      <c r="C1093" s="261" t="str">
        <f t="shared" si="157"/>
        <v>0022-0156</v>
      </c>
      <c r="D1093" s="261" t="str">
        <f t="shared" si="158"/>
        <v>0022-0156-0002</v>
      </c>
      <c r="E1093" s="407" t="s">
        <v>1611</v>
      </c>
      <c r="F1093" s="261" t="str">
        <f>TEXT(VLOOKUP(J1093,'[3]1'!$B$2:$D$37,2,0),"0000")</f>
        <v>0022</v>
      </c>
      <c r="G1093" s="261" t="str">
        <f t="shared" si="159"/>
        <v>0156</v>
      </c>
      <c r="H1093" s="408">
        <f t="shared" si="160"/>
        <v>2</v>
      </c>
      <c r="I1093" s="407" t="s">
        <v>1611</v>
      </c>
      <c r="J1093" s="258" t="s">
        <v>146</v>
      </c>
      <c r="K1093" s="258" t="s">
        <v>1216</v>
      </c>
      <c r="L1093" s="258" t="s">
        <v>3893</v>
      </c>
      <c r="M1093" s="409">
        <v>170000000</v>
      </c>
      <c r="N1093" s="258">
        <v>4969</v>
      </c>
      <c r="O1093" s="258" t="s">
        <v>77</v>
      </c>
      <c r="P1093" s="258" t="s">
        <v>73</v>
      </c>
      <c r="Q1093" s="258" t="s">
        <v>72</v>
      </c>
      <c r="R1093" s="258">
        <v>4</v>
      </c>
      <c r="S1093" s="410">
        <v>21</v>
      </c>
      <c r="T1093" s="261">
        <v>6</v>
      </c>
      <c r="U1093" s="261">
        <v>6</v>
      </c>
      <c r="V1093" s="258" t="s">
        <v>71</v>
      </c>
      <c r="W1093" s="261" t="str">
        <f t="shared" si="162"/>
        <v>LEXUSLC500 컨버터블170000000</v>
      </c>
      <c r="X1093" s="411">
        <f t="shared" si="163"/>
        <v>4867</v>
      </c>
      <c r="Y1093" s="261">
        <v>6</v>
      </c>
      <c r="Z1093" s="261">
        <v>6</v>
      </c>
      <c r="AA1093" s="407" t="s">
        <v>1611</v>
      </c>
      <c r="AB1093" s="258" t="s">
        <v>73</v>
      </c>
      <c r="AC1093" s="258"/>
      <c r="AD1093" s="258">
        <v>6</v>
      </c>
      <c r="AE1093" s="258">
        <v>0</v>
      </c>
      <c r="AF1093" s="259"/>
      <c r="AG1093" s="260"/>
      <c r="AH1093" s="259"/>
      <c r="AI1093" s="259"/>
      <c r="AJ1093" s="260"/>
      <c r="AK1093" s="259">
        <v>22</v>
      </c>
      <c r="AL1093" s="259"/>
      <c r="AM1093" s="259" t="s">
        <v>3732</v>
      </c>
      <c r="AN1093" s="449"/>
      <c r="AO1093" s="449"/>
      <c r="AP1093" s="449"/>
      <c r="AQ1093" s="392" t="str">
        <f>IFERROR(VLOOKUP(BG1093,#REF!,1,0),"")</f>
        <v/>
      </c>
      <c r="AS1093" s="259" t="s">
        <v>3225</v>
      </c>
      <c r="BD1093" s="202" t="str">
        <f t="shared" ref="BD1093:BD1156" si="164">K1093&amp;L1093</f>
        <v>LC500 컨버터블</v>
      </c>
      <c r="BE1093" s="261" t="str">
        <f t="shared" si="161"/>
        <v>0156</v>
      </c>
      <c r="BF1093" s="407" t="s">
        <v>1611</v>
      </c>
      <c r="BG1093" s="202" t="str">
        <f t="shared" ref="BG1093:BG1156" si="165">BE1093&amp;"-"&amp;BF1093</f>
        <v>0156-1092</v>
      </c>
    </row>
    <row r="1094" spans="1:59">
      <c r="A1094" s="405">
        <v>4868</v>
      </c>
      <c r="B1094" s="406">
        <v>4868</v>
      </c>
      <c r="C1094" s="261" t="str">
        <f t="shared" ref="C1094:C1157" si="166">TEXT(F1094,"0000")&amp;"-"&amp;TEXT(G1094,"0000")</f>
        <v>0022-0156</v>
      </c>
      <c r="D1094" s="261" t="str">
        <f t="shared" ref="D1094:D1157" si="167">TEXT(F1094,"0000")&amp;"-"&amp;TEXT(G1094,"0000")&amp;"-"&amp;TEXT(H1094,"0000")</f>
        <v>0022-0156-0003</v>
      </c>
      <c r="E1094" s="407" t="s">
        <v>1612</v>
      </c>
      <c r="F1094" s="261" t="str">
        <f>TEXT(VLOOKUP(J1094,'[3]1'!$B$2:$D$37,2,0),"0000")</f>
        <v>0022</v>
      </c>
      <c r="G1094" s="261" t="str">
        <f t="shared" ref="G1094:G1157" si="168">IF(K1094=K1093,TEXT(G1093,"0000"),TEXT(G1093+1,"0000"))</f>
        <v>0156</v>
      </c>
      <c r="H1094" s="408">
        <f t="shared" ref="H1094:H1157" si="169">IF(F1094&amp;G1094=F1093&amp;G1093,H1093+1,1)</f>
        <v>3</v>
      </c>
      <c r="I1094" s="407" t="s">
        <v>1612</v>
      </c>
      <c r="J1094" s="258" t="s">
        <v>146</v>
      </c>
      <c r="K1094" s="258" t="s">
        <v>1216</v>
      </c>
      <c r="L1094" s="258" t="s">
        <v>1217</v>
      </c>
      <c r="M1094" s="409">
        <v>180000000</v>
      </c>
      <c r="N1094" s="258">
        <v>3456</v>
      </c>
      <c r="O1094" s="258" t="s">
        <v>3676</v>
      </c>
      <c r="P1094" s="258" t="s">
        <v>73</v>
      </c>
      <c r="Q1094" s="258" t="s">
        <v>72</v>
      </c>
      <c r="R1094" s="258">
        <v>4</v>
      </c>
      <c r="S1094" s="410">
        <v>21</v>
      </c>
      <c r="T1094" s="261">
        <v>6</v>
      </c>
      <c r="U1094" s="261">
        <v>6</v>
      </c>
      <c r="V1094" s="258" t="s">
        <v>71</v>
      </c>
      <c r="W1094" s="261" t="str">
        <f t="shared" si="162"/>
        <v>LEXUSLC500h180000000</v>
      </c>
      <c r="X1094" s="411">
        <f t="shared" si="163"/>
        <v>4868</v>
      </c>
      <c r="Y1094" s="261">
        <v>6</v>
      </c>
      <c r="Z1094" s="261">
        <v>6</v>
      </c>
      <c r="AA1094" s="407" t="s">
        <v>1612</v>
      </c>
      <c r="AB1094" s="258" t="s">
        <v>73</v>
      </c>
      <c r="AC1094" s="258"/>
      <c r="AD1094" s="258">
        <v>6</v>
      </c>
      <c r="AE1094" s="258">
        <v>0</v>
      </c>
      <c r="AF1094" s="259"/>
      <c r="AG1094" s="260"/>
      <c r="AH1094" s="259"/>
      <c r="AI1094" s="259"/>
      <c r="AJ1094" s="260"/>
      <c r="AK1094" s="259">
        <v>22</v>
      </c>
      <c r="AL1094" s="259"/>
      <c r="AM1094" s="259" t="s">
        <v>3732</v>
      </c>
      <c r="AN1094" s="449"/>
      <c r="AO1094" s="449"/>
      <c r="AP1094" s="449"/>
      <c r="AQ1094" s="392" t="str">
        <f>IFERROR(VLOOKUP(BG1094,#REF!,1,0),"")</f>
        <v/>
      </c>
      <c r="AS1094" s="259" t="s">
        <v>3225</v>
      </c>
      <c r="BD1094" s="202" t="str">
        <f t="shared" si="164"/>
        <v>LC500h</v>
      </c>
      <c r="BE1094" s="261" t="str">
        <f t="shared" ref="BE1094:BE1157" si="170">IF(K1093=K1094,TEXT(G1093,"0000"),TEXT(G1093+1,"0000"))</f>
        <v>0156</v>
      </c>
      <c r="BF1094" s="407" t="s">
        <v>1612</v>
      </c>
      <c r="BG1094" s="202" t="str">
        <f t="shared" si="165"/>
        <v>0156-1093</v>
      </c>
    </row>
    <row r="1095" spans="1:59">
      <c r="A1095" s="405">
        <v>4869</v>
      </c>
      <c r="B1095" s="406">
        <v>4869</v>
      </c>
      <c r="C1095" s="261" t="str">
        <f t="shared" si="166"/>
        <v>0022-0157</v>
      </c>
      <c r="D1095" s="261" t="str">
        <f t="shared" si="167"/>
        <v>0022-0157-0001</v>
      </c>
      <c r="E1095" s="407" t="s">
        <v>1613</v>
      </c>
      <c r="F1095" s="261" t="str">
        <f>TEXT(VLOOKUP(J1095,'[3]1'!$B$2:$D$37,2,0),"0000")</f>
        <v>0022</v>
      </c>
      <c r="G1095" s="261" t="str">
        <f t="shared" si="168"/>
        <v>0157</v>
      </c>
      <c r="H1095" s="408">
        <f t="shared" si="169"/>
        <v>1</v>
      </c>
      <c r="I1095" s="407" t="s">
        <v>1613</v>
      </c>
      <c r="J1095" s="258" t="s">
        <v>146</v>
      </c>
      <c r="K1095" s="258" t="s">
        <v>149</v>
      </c>
      <c r="L1095" s="258" t="s">
        <v>1269</v>
      </c>
      <c r="M1095" s="409">
        <v>146700000</v>
      </c>
      <c r="N1095" s="258">
        <v>3445</v>
      </c>
      <c r="O1095" s="258" t="s">
        <v>77</v>
      </c>
      <c r="P1095" s="258" t="s">
        <v>73</v>
      </c>
      <c r="Q1095" s="258" t="s">
        <v>72</v>
      </c>
      <c r="R1095" s="258">
        <v>5</v>
      </c>
      <c r="S1095" s="410">
        <v>21</v>
      </c>
      <c r="T1095" s="261">
        <v>6</v>
      </c>
      <c r="U1095" s="261">
        <v>6</v>
      </c>
      <c r="V1095" s="258" t="s">
        <v>71</v>
      </c>
      <c r="W1095" s="261" t="str">
        <f t="shared" ref="W1095:W1158" si="171">J1095&amp;K1095&amp;L1095&amp;M1095</f>
        <v>LEXUSLS500 Luxury AWD146700000</v>
      </c>
      <c r="X1095" s="411">
        <f t="shared" ref="X1095:X1158" si="172">B1095</f>
        <v>4869</v>
      </c>
      <c r="Y1095" s="261">
        <v>6</v>
      </c>
      <c r="Z1095" s="261">
        <v>6</v>
      </c>
      <c r="AA1095" s="407" t="s">
        <v>1613</v>
      </c>
      <c r="AB1095" s="258" t="s">
        <v>73</v>
      </c>
      <c r="AC1095" s="258"/>
      <c r="AD1095" s="258">
        <v>6</v>
      </c>
      <c r="AE1095" s="258">
        <v>0</v>
      </c>
      <c r="AF1095" s="259"/>
      <c r="AG1095" s="260"/>
      <c r="AH1095" s="259"/>
      <c r="AI1095" s="259"/>
      <c r="AJ1095" s="260"/>
      <c r="AK1095" s="259">
        <v>22</v>
      </c>
      <c r="AL1095" s="259"/>
      <c r="AM1095" s="259" t="s">
        <v>3671</v>
      </c>
      <c r="AN1095" s="449"/>
      <c r="AO1095" s="449"/>
      <c r="AP1095" s="449"/>
      <c r="AQ1095" s="392" t="str">
        <f>IFERROR(VLOOKUP(BG1095,#REF!,1,0),"")</f>
        <v/>
      </c>
      <c r="AS1095" s="259" t="s">
        <v>3225</v>
      </c>
      <c r="BD1095" s="202" t="str">
        <f t="shared" si="164"/>
        <v>LS500 Luxury AWD</v>
      </c>
      <c r="BE1095" s="261" t="str">
        <f t="shared" si="170"/>
        <v>0157</v>
      </c>
      <c r="BF1095" s="407" t="s">
        <v>1613</v>
      </c>
      <c r="BG1095" s="202" t="str">
        <f t="shared" si="165"/>
        <v>0157-1094</v>
      </c>
    </row>
    <row r="1096" spans="1:59">
      <c r="A1096" s="405">
        <v>4870</v>
      </c>
      <c r="B1096" s="406">
        <v>4870</v>
      </c>
      <c r="C1096" s="261" t="str">
        <f t="shared" si="166"/>
        <v>0022-0157</v>
      </c>
      <c r="D1096" s="261" t="str">
        <f t="shared" si="167"/>
        <v>0022-0157-0002</v>
      </c>
      <c r="E1096" s="407" t="s">
        <v>1614</v>
      </c>
      <c r="F1096" s="261" t="str">
        <f>TEXT(VLOOKUP(J1096,'[3]1'!$B$2:$D$37,2,0),"0000")</f>
        <v>0022</v>
      </c>
      <c r="G1096" s="261" t="str">
        <f t="shared" si="168"/>
        <v>0157</v>
      </c>
      <c r="H1096" s="408">
        <f t="shared" si="169"/>
        <v>2</v>
      </c>
      <c r="I1096" s="407" t="s">
        <v>1614</v>
      </c>
      <c r="J1096" s="258" t="s">
        <v>146</v>
      </c>
      <c r="K1096" s="258" t="s">
        <v>149</v>
      </c>
      <c r="L1096" s="258" t="s">
        <v>1270</v>
      </c>
      <c r="M1096" s="409">
        <v>162100000</v>
      </c>
      <c r="N1096" s="258">
        <v>3445</v>
      </c>
      <c r="O1096" s="258" t="s">
        <v>77</v>
      </c>
      <c r="P1096" s="258" t="s">
        <v>73</v>
      </c>
      <c r="Q1096" s="258" t="s">
        <v>72</v>
      </c>
      <c r="R1096" s="258">
        <v>5</v>
      </c>
      <c r="S1096" s="410">
        <v>21</v>
      </c>
      <c r="T1096" s="261">
        <v>6</v>
      </c>
      <c r="U1096" s="261">
        <v>6</v>
      </c>
      <c r="V1096" s="258" t="s">
        <v>71</v>
      </c>
      <c r="W1096" s="261" t="str">
        <f t="shared" si="171"/>
        <v>LEXUSLS500 Platinum AWD162100000</v>
      </c>
      <c r="X1096" s="411">
        <f t="shared" si="172"/>
        <v>4870</v>
      </c>
      <c r="Y1096" s="261">
        <v>6</v>
      </c>
      <c r="Z1096" s="261">
        <v>6</v>
      </c>
      <c r="AA1096" s="407" t="s">
        <v>1614</v>
      </c>
      <c r="AB1096" s="258" t="s">
        <v>73</v>
      </c>
      <c r="AC1096" s="258"/>
      <c r="AD1096" s="258">
        <v>6</v>
      </c>
      <c r="AE1096" s="258">
        <v>0</v>
      </c>
      <c r="AF1096" s="259"/>
      <c r="AG1096" s="260"/>
      <c r="AH1096" s="259"/>
      <c r="AI1096" s="259"/>
      <c r="AJ1096" s="260"/>
      <c r="AK1096" s="259">
        <v>22</v>
      </c>
      <c r="AL1096" s="259"/>
      <c r="AM1096" s="259" t="s">
        <v>3671</v>
      </c>
      <c r="AN1096" s="449"/>
      <c r="AO1096" s="449"/>
      <c r="AP1096" s="449"/>
      <c r="AQ1096" s="392" t="str">
        <f>IFERROR(VLOOKUP(BG1096,#REF!,1,0),"")</f>
        <v/>
      </c>
      <c r="AS1096" s="259" t="s">
        <v>3225</v>
      </c>
      <c r="BD1096" s="202" t="str">
        <f t="shared" si="164"/>
        <v>LS500 Platinum AWD</v>
      </c>
      <c r="BE1096" s="261" t="str">
        <f t="shared" si="170"/>
        <v>0157</v>
      </c>
      <c r="BF1096" s="407" t="s">
        <v>1614</v>
      </c>
      <c r="BG1096" s="202" t="str">
        <f t="shared" si="165"/>
        <v>0157-1095</v>
      </c>
    </row>
    <row r="1097" spans="1:59">
      <c r="A1097" s="405">
        <v>4871</v>
      </c>
      <c r="B1097" s="406">
        <v>4871</v>
      </c>
      <c r="C1097" s="261" t="str">
        <f t="shared" si="166"/>
        <v>0022-0157</v>
      </c>
      <c r="D1097" s="261" t="str">
        <f t="shared" si="167"/>
        <v>0022-0157-0003</v>
      </c>
      <c r="E1097" s="407" t="s">
        <v>1615</v>
      </c>
      <c r="F1097" s="261" t="str">
        <f>TEXT(VLOOKUP(J1097,'[3]1'!$B$2:$D$37,2,0),"0000")</f>
        <v>0022</v>
      </c>
      <c r="G1097" s="261" t="str">
        <f t="shared" si="168"/>
        <v>0157</v>
      </c>
      <c r="H1097" s="408">
        <f t="shared" si="169"/>
        <v>3</v>
      </c>
      <c r="I1097" s="407" t="s">
        <v>1615</v>
      </c>
      <c r="J1097" s="258" t="s">
        <v>146</v>
      </c>
      <c r="K1097" s="258" t="s">
        <v>149</v>
      </c>
      <c r="L1097" s="258" t="s">
        <v>3899</v>
      </c>
      <c r="M1097" s="409">
        <v>137500000</v>
      </c>
      <c r="N1097" s="258">
        <v>3445</v>
      </c>
      <c r="O1097" s="258" t="s">
        <v>77</v>
      </c>
      <c r="P1097" s="258" t="s">
        <v>73</v>
      </c>
      <c r="Q1097" s="258" t="s">
        <v>72</v>
      </c>
      <c r="R1097" s="258">
        <v>5</v>
      </c>
      <c r="S1097" s="410">
        <v>21</v>
      </c>
      <c r="T1097" s="261">
        <v>6</v>
      </c>
      <c r="U1097" s="261">
        <v>6</v>
      </c>
      <c r="V1097" s="258" t="s">
        <v>71</v>
      </c>
      <c r="W1097" s="261" t="str">
        <f t="shared" si="171"/>
        <v>LEXUSLS500 Supreme AWD137500000</v>
      </c>
      <c r="X1097" s="411">
        <f t="shared" si="172"/>
        <v>4871</v>
      </c>
      <c r="Y1097" s="261">
        <v>6</v>
      </c>
      <c r="Z1097" s="261">
        <v>6</v>
      </c>
      <c r="AA1097" s="407" t="s">
        <v>1615</v>
      </c>
      <c r="AB1097" s="258" t="s">
        <v>73</v>
      </c>
      <c r="AC1097" s="258"/>
      <c r="AD1097" s="258">
        <v>6</v>
      </c>
      <c r="AE1097" s="258">
        <v>0</v>
      </c>
      <c r="AF1097" s="259"/>
      <c r="AG1097" s="260"/>
      <c r="AH1097" s="259"/>
      <c r="AI1097" s="259"/>
      <c r="AJ1097" s="260"/>
      <c r="AK1097" s="259">
        <v>22</v>
      </c>
      <c r="AL1097" s="259"/>
      <c r="AM1097" s="259" t="s">
        <v>3671</v>
      </c>
      <c r="AN1097" s="449"/>
      <c r="AO1097" s="449"/>
      <c r="AP1097" s="449"/>
      <c r="AQ1097" s="392" t="str">
        <f>IFERROR(VLOOKUP(BG1097,#REF!,1,0),"")</f>
        <v/>
      </c>
      <c r="AS1097" s="259" t="s">
        <v>3225</v>
      </c>
      <c r="BD1097" s="202" t="str">
        <f t="shared" si="164"/>
        <v>LS500 Supreme AWD</v>
      </c>
      <c r="BE1097" s="261" t="str">
        <f t="shared" si="170"/>
        <v>0157</v>
      </c>
      <c r="BF1097" s="407" t="s">
        <v>1615</v>
      </c>
      <c r="BG1097" s="202" t="str">
        <f t="shared" si="165"/>
        <v>0157-1096</v>
      </c>
    </row>
    <row r="1098" spans="1:59">
      <c r="A1098" s="405">
        <v>4872</v>
      </c>
      <c r="B1098" s="406">
        <v>4872</v>
      </c>
      <c r="C1098" s="261" t="str">
        <f t="shared" si="166"/>
        <v>0022-0158</v>
      </c>
      <c r="D1098" s="261" t="str">
        <f t="shared" si="167"/>
        <v>0022-0158-0001</v>
      </c>
      <c r="E1098" s="407" t="s">
        <v>1616</v>
      </c>
      <c r="F1098" s="261" t="str">
        <f>TEXT(VLOOKUP(J1098,'[3]1'!$B$2:$D$37,2,0),"0000")</f>
        <v>0022</v>
      </c>
      <c r="G1098" s="261" t="str">
        <f t="shared" si="168"/>
        <v>0158</v>
      </c>
      <c r="H1098" s="408">
        <f t="shared" si="169"/>
        <v>1</v>
      </c>
      <c r="I1098" s="407" t="s">
        <v>1616</v>
      </c>
      <c r="J1098" s="258" t="s">
        <v>146</v>
      </c>
      <c r="K1098" s="258" t="s">
        <v>148</v>
      </c>
      <c r="L1098" s="258" t="s">
        <v>1256</v>
      </c>
      <c r="M1098" s="409">
        <v>157400000</v>
      </c>
      <c r="N1098" s="258">
        <v>3456</v>
      </c>
      <c r="O1098" s="258" t="s">
        <v>74</v>
      </c>
      <c r="P1098" s="258" t="s">
        <v>73</v>
      </c>
      <c r="Q1098" s="258" t="s">
        <v>72</v>
      </c>
      <c r="R1098" s="258">
        <v>5</v>
      </c>
      <c r="S1098" s="410">
        <v>21</v>
      </c>
      <c r="T1098" s="261">
        <v>6</v>
      </c>
      <c r="U1098" s="261">
        <v>6</v>
      </c>
      <c r="V1098" s="258" t="s">
        <v>1969</v>
      </c>
      <c r="W1098" s="261" t="str">
        <f t="shared" si="171"/>
        <v>LEXUSLS 하이브리드LS 500h Luxury AWD157400000</v>
      </c>
      <c r="X1098" s="411">
        <f t="shared" si="172"/>
        <v>4872</v>
      </c>
      <c r="Y1098" s="261">
        <v>6</v>
      </c>
      <c r="Z1098" s="261">
        <v>6</v>
      </c>
      <c r="AA1098" s="407" t="s">
        <v>1616</v>
      </c>
      <c r="AB1098" s="258" t="s">
        <v>73</v>
      </c>
      <c r="AC1098" s="258"/>
      <c r="AD1098" s="258">
        <v>6</v>
      </c>
      <c r="AE1098" s="258">
        <v>0</v>
      </c>
      <c r="AF1098" s="259"/>
      <c r="AG1098" s="260"/>
      <c r="AH1098" s="259"/>
      <c r="AI1098" s="259"/>
      <c r="AJ1098" s="260"/>
      <c r="AK1098" s="259">
        <v>22</v>
      </c>
      <c r="AL1098" s="259"/>
      <c r="AM1098" s="259" t="s">
        <v>3671</v>
      </c>
      <c r="AN1098" s="449"/>
      <c r="AO1098" s="449"/>
      <c r="AP1098" s="449"/>
      <c r="AQ1098" s="392" t="str">
        <f>IFERROR(VLOOKUP(BG1098,#REF!,1,0),"")</f>
        <v/>
      </c>
      <c r="AS1098" s="259" t="s">
        <v>3225</v>
      </c>
      <c r="BD1098" s="202" t="str">
        <f t="shared" si="164"/>
        <v>LS 하이브리드LS 500h Luxury AWD</v>
      </c>
      <c r="BE1098" s="261" t="str">
        <f t="shared" si="170"/>
        <v>0158</v>
      </c>
      <c r="BF1098" s="407" t="s">
        <v>1616</v>
      </c>
      <c r="BG1098" s="202" t="str">
        <f t="shared" si="165"/>
        <v>0158-1097</v>
      </c>
    </row>
    <row r="1099" spans="1:59">
      <c r="A1099" s="405">
        <v>4873</v>
      </c>
      <c r="B1099" s="406">
        <v>4873</v>
      </c>
      <c r="C1099" s="261" t="str">
        <f t="shared" si="166"/>
        <v>0022-0158</v>
      </c>
      <c r="D1099" s="261" t="str">
        <f t="shared" si="167"/>
        <v>0022-0158-0002</v>
      </c>
      <c r="E1099" s="407" t="s">
        <v>1617</v>
      </c>
      <c r="F1099" s="261" t="str">
        <f>TEXT(VLOOKUP(J1099,'[3]1'!$B$2:$D$37,2,0),"0000")</f>
        <v>0022</v>
      </c>
      <c r="G1099" s="261" t="str">
        <f t="shared" si="168"/>
        <v>0158</v>
      </c>
      <c r="H1099" s="408">
        <f t="shared" si="169"/>
        <v>2</v>
      </c>
      <c r="I1099" s="407" t="s">
        <v>1617</v>
      </c>
      <c r="J1099" s="258" t="s">
        <v>146</v>
      </c>
      <c r="K1099" s="258" t="s">
        <v>148</v>
      </c>
      <c r="L1099" s="258" t="s">
        <v>3898</v>
      </c>
      <c r="M1099" s="409">
        <v>178300000</v>
      </c>
      <c r="N1099" s="258">
        <v>3456</v>
      </c>
      <c r="O1099" s="258" t="s">
        <v>74</v>
      </c>
      <c r="P1099" s="258" t="s">
        <v>73</v>
      </c>
      <c r="Q1099" s="258" t="s">
        <v>72</v>
      </c>
      <c r="R1099" s="258">
        <v>5</v>
      </c>
      <c r="S1099" s="410">
        <v>21</v>
      </c>
      <c r="T1099" s="261">
        <v>6</v>
      </c>
      <c r="U1099" s="261">
        <v>6</v>
      </c>
      <c r="V1099" s="258" t="s">
        <v>1969</v>
      </c>
      <c r="W1099" s="261" t="str">
        <f t="shared" si="171"/>
        <v>LEXUSLS 하이브리드LS 500h Supreme AWD178300000</v>
      </c>
      <c r="X1099" s="411">
        <f t="shared" si="172"/>
        <v>4873</v>
      </c>
      <c r="Y1099" s="261">
        <v>6</v>
      </c>
      <c r="Z1099" s="261">
        <v>6</v>
      </c>
      <c r="AA1099" s="407" t="s">
        <v>1617</v>
      </c>
      <c r="AB1099" s="258" t="s">
        <v>73</v>
      </c>
      <c r="AC1099" s="258"/>
      <c r="AD1099" s="258">
        <v>6</v>
      </c>
      <c r="AE1099" s="258">
        <v>0</v>
      </c>
      <c r="AF1099" s="259"/>
      <c r="AG1099" s="260"/>
      <c r="AH1099" s="259"/>
      <c r="AI1099" s="259"/>
      <c r="AJ1099" s="260"/>
      <c r="AK1099" s="259">
        <v>22</v>
      </c>
      <c r="AL1099" s="259"/>
      <c r="AM1099" s="259" t="s">
        <v>3671</v>
      </c>
      <c r="AN1099" s="449"/>
      <c r="AO1099" s="449"/>
      <c r="AP1099" s="449"/>
      <c r="AQ1099" s="392" t="str">
        <f>IFERROR(VLOOKUP(BG1099,#REF!,1,0),"")</f>
        <v/>
      </c>
      <c r="AS1099" s="259" t="s">
        <v>3225</v>
      </c>
      <c r="BD1099" s="202" t="str">
        <f t="shared" si="164"/>
        <v>LS 하이브리드LS 500h Supreme AWD</v>
      </c>
      <c r="BE1099" s="261" t="str">
        <f t="shared" si="170"/>
        <v>0158</v>
      </c>
      <c r="BF1099" s="407" t="s">
        <v>1617</v>
      </c>
      <c r="BG1099" s="202" t="str">
        <f t="shared" si="165"/>
        <v>0158-1098</v>
      </c>
    </row>
    <row r="1100" spans="1:59">
      <c r="A1100" s="405">
        <v>4874</v>
      </c>
      <c r="B1100" s="406">
        <v>4874</v>
      </c>
      <c r="C1100" s="261" t="str">
        <f t="shared" si="166"/>
        <v>0022-0158</v>
      </c>
      <c r="D1100" s="261" t="str">
        <f t="shared" si="167"/>
        <v>0022-0158-0003</v>
      </c>
      <c r="E1100" s="407" t="s">
        <v>1618</v>
      </c>
      <c r="F1100" s="261" t="str">
        <f>TEXT(VLOOKUP(J1100,'[3]1'!$B$2:$D$37,2,0),"0000")</f>
        <v>0022</v>
      </c>
      <c r="G1100" s="261" t="str">
        <f t="shared" si="168"/>
        <v>0158</v>
      </c>
      <c r="H1100" s="408">
        <f t="shared" si="169"/>
        <v>3</v>
      </c>
      <c r="I1100" s="407" t="s">
        <v>1618</v>
      </c>
      <c r="J1100" s="258" t="s">
        <v>146</v>
      </c>
      <c r="K1100" s="258" t="s">
        <v>148</v>
      </c>
      <c r="L1100" s="258" t="s">
        <v>1257</v>
      </c>
      <c r="M1100" s="409">
        <v>178300000</v>
      </c>
      <c r="N1100" s="258">
        <v>3456</v>
      </c>
      <c r="O1100" s="258" t="s">
        <v>74</v>
      </c>
      <c r="P1100" s="258" t="s">
        <v>73</v>
      </c>
      <c r="Q1100" s="258" t="s">
        <v>72</v>
      </c>
      <c r="R1100" s="258">
        <v>5</v>
      </c>
      <c r="S1100" s="410">
        <v>21</v>
      </c>
      <c r="T1100" s="261">
        <v>6</v>
      </c>
      <c r="U1100" s="261">
        <v>6</v>
      </c>
      <c r="V1100" s="258" t="s">
        <v>1969</v>
      </c>
      <c r="W1100" s="261" t="str">
        <f t="shared" si="171"/>
        <v>LEXUSLS 하이브리드LS 500h Platinum AWD178300000</v>
      </c>
      <c r="X1100" s="411">
        <f t="shared" si="172"/>
        <v>4874</v>
      </c>
      <c r="Y1100" s="261">
        <v>6</v>
      </c>
      <c r="Z1100" s="261">
        <v>6</v>
      </c>
      <c r="AA1100" s="407" t="s">
        <v>1618</v>
      </c>
      <c r="AB1100" s="258" t="s">
        <v>73</v>
      </c>
      <c r="AC1100" s="258"/>
      <c r="AD1100" s="258">
        <v>6</v>
      </c>
      <c r="AE1100" s="258">
        <v>0</v>
      </c>
      <c r="AF1100" s="259"/>
      <c r="AG1100" s="260"/>
      <c r="AH1100" s="259"/>
      <c r="AI1100" s="259"/>
      <c r="AJ1100" s="260"/>
      <c r="AK1100" s="259">
        <v>22</v>
      </c>
      <c r="AL1100" s="259"/>
      <c r="AM1100" s="259" t="s">
        <v>3671</v>
      </c>
      <c r="AN1100" s="449"/>
      <c r="AO1100" s="449"/>
      <c r="AP1100" s="449"/>
      <c r="AQ1100" s="392" t="str">
        <f>IFERROR(VLOOKUP(BG1100,#REF!,1,0),"")</f>
        <v/>
      </c>
      <c r="AS1100" s="259" t="s">
        <v>3225</v>
      </c>
      <c r="BD1100" s="202" t="str">
        <f t="shared" si="164"/>
        <v>LS 하이브리드LS 500h Platinum AWD</v>
      </c>
      <c r="BE1100" s="261" t="str">
        <f t="shared" si="170"/>
        <v>0158</v>
      </c>
      <c r="BF1100" s="407" t="s">
        <v>1618</v>
      </c>
      <c r="BG1100" s="202" t="str">
        <f t="shared" si="165"/>
        <v>0158-1099</v>
      </c>
    </row>
    <row r="1101" spans="1:59">
      <c r="A1101" s="405">
        <v>4875</v>
      </c>
      <c r="B1101" s="406">
        <v>4875</v>
      </c>
      <c r="C1101" s="261" t="str">
        <f t="shared" si="166"/>
        <v>0022-0159</v>
      </c>
      <c r="D1101" s="261" t="str">
        <f t="shared" si="167"/>
        <v>0022-0159-0001</v>
      </c>
      <c r="E1101" s="407" t="s">
        <v>1619</v>
      </c>
      <c r="F1101" s="261" t="str">
        <f>TEXT(VLOOKUP(J1101,'[3]1'!$B$2:$D$37,2,0),"0000")</f>
        <v>0022</v>
      </c>
      <c r="G1101" s="261" t="str">
        <f t="shared" si="168"/>
        <v>0159</v>
      </c>
      <c r="H1101" s="408">
        <f t="shared" si="169"/>
        <v>1</v>
      </c>
      <c r="I1101" s="407" t="s">
        <v>1619</v>
      </c>
      <c r="J1101" s="258" t="s">
        <v>146</v>
      </c>
      <c r="K1101" s="258" t="s">
        <v>147</v>
      </c>
      <c r="L1101" s="258" t="s">
        <v>3209</v>
      </c>
      <c r="M1101" s="409">
        <v>76700000</v>
      </c>
      <c r="N1101" s="258">
        <v>2487</v>
      </c>
      <c r="O1101" s="258" t="s">
        <v>74</v>
      </c>
      <c r="P1101" s="258" t="s">
        <v>73</v>
      </c>
      <c r="Q1101" s="258" t="s">
        <v>72</v>
      </c>
      <c r="R1101" s="258">
        <v>5</v>
      </c>
      <c r="S1101" s="410">
        <v>11</v>
      </c>
      <c r="T1101" s="261">
        <v>6</v>
      </c>
      <c r="U1101" s="261">
        <v>6</v>
      </c>
      <c r="V1101" s="258" t="s">
        <v>1914</v>
      </c>
      <c r="W1101" s="261" t="str">
        <f t="shared" si="171"/>
        <v>LEXUSNX350h Luxury76700000</v>
      </c>
      <c r="X1101" s="411">
        <f t="shared" si="172"/>
        <v>4875</v>
      </c>
      <c r="Y1101" s="261">
        <v>6</v>
      </c>
      <c r="Z1101" s="261">
        <v>6</v>
      </c>
      <c r="AA1101" s="407" t="s">
        <v>1619</v>
      </c>
      <c r="AB1101" s="258" t="s">
        <v>70</v>
      </c>
      <c r="AC1101" s="258"/>
      <c r="AD1101" s="258">
        <v>3</v>
      </c>
      <c r="AE1101" s="258">
        <v>1</v>
      </c>
      <c r="AF1101" s="259"/>
      <c r="AG1101" s="260"/>
      <c r="AH1101" s="259"/>
      <c r="AI1101" s="259"/>
      <c r="AJ1101" s="260"/>
      <c r="AK1101" s="259">
        <v>11</v>
      </c>
      <c r="AL1101" s="259"/>
      <c r="AM1101" s="259" t="s">
        <v>3889</v>
      </c>
      <c r="AN1101" s="449"/>
      <c r="AO1101" s="449"/>
      <c r="AP1101" s="449"/>
      <c r="AQ1101" s="392" t="str">
        <f>IFERROR(VLOOKUP(BG1101,#REF!,1,0),"")</f>
        <v/>
      </c>
      <c r="AS1101" s="259" t="s">
        <v>3232</v>
      </c>
      <c r="AT1101" s="392" t="s">
        <v>3213</v>
      </c>
      <c r="BD1101" s="202" t="str">
        <f t="shared" si="164"/>
        <v>NX350h Luxury</v>
      </c>
      <c r="BE1101" s="261" t="str">
        <f t="shared" si="170"/>
        <v>0159</v>
      </c>
      <c r="BF1101" s="407" t="s">
        <v>1619</v>
      </c>
      <c r="BG1101" s="202" t="str">
        <f t="shared" si="165"/>
        <v>0159-1100</v>
      </c>
    </row>
    <row r="1102" spans="1:59">
      <c r="A1102" s="405">
        <v>4876</v>
      </c>
      <c r="B1102" s="406">
        <v>4876</v>
      </c>
      <c r="C1102" s="261" t="str">
        <f t="shared" si="166"/>
        <v>0022-0159</v>
      </c>
      <c r="D1102" s="261" t="str">
        <f t="shared" si="167"/>
        <v>0022-0159-0002</v>
      </c>
      <c r="E1102" s="407" t="s">
        <v>1620</v>
      </c>
      <c r="F1102" s="261" t="str">
        <f>TEXT(VLOOKUP(J1102,'[3]1'!$B$2:$D$37,2,0),"0000")</f>
        <v>0022</v>
      </c>
      <c r="G1102" s="261" t="str">
        <f t="shared" si="168"/>
        <v>0159</v>
      </c>
      <c r="H1102" s="408">
        <f t="shared" si="169"/>
        <v>2</v>
      </c>
      <c r="I1102" s="407" t="s">
        <v>1620</v>
      </c>
      <c r="J1102" s="258" t="s">
        <v>146</v>
      </c>
      <c r="K1102" s="258" t="s">
        <v>147</v>
      </c>
      <c r="L1102" s="258" t="s">
        <v>3210</v>
      </c>
      <c r="M1102" s="409">
        <v>67400000</v>
      </c>
      <c r="N1102" s="258">
        <v>2487</v>
      </c>
      <c r="O1102" s="258" t="s">
        <v>74</v>
      </c>
      <c r="P1102" s="258" t="s">
        <v>73</v>
      </c>
      <c r="Q1102" s="258" t="s">
        <v>72</v>
      </c>
      <c r="R1102" s="258">
        <v>5</v>
      </c>
      <c r="S1102" s="410">
        <v>11</v>
      </c>
      <c r="T1102" s="261">
        <v>6</v>
      </c>
      <c r="U1102" s="261">
        <v>6</v>
      </c>
      <c r="V1102" s="258" t="s">
        <v>1914</v>
      </c>
      <c r="W1102" s="261" t="str">
        <f t="shared" si="171"/>
        <v>LEXUSNX350h Premium67400000</v>
      </c>
      <c r="X1102" s="411">
        <f t="shared" si="172"/>
        <v>4876</v>
      </c>
      <c r="Y1102" s="261">
        <v>6</v>
      </c>
      <c r="Z1102" s="261">
        <v>6</v>
      </c>
      <c r="AA1102" s="407" t="s">
        <v>1620</v>
      </c>
      <c r="AB1102" s="258" t="s">
        <v>70</v>
      </c>
      <c r="AC1102" s="258"/>
      <c r="AD1102" s="258">
        <v>3</v>
      </c>
      <c r="AE1102" s="258">
        <v>1</v>
      </c>
      <c r="AF1102" s="259"/>
      <c r="AG1102" s="260"/>
      <c r="AH1102" s="259"/>
      <c r="AI1102" s="259"/>
      <c r="AJ1102" s="260"/>
      <c r="AK1102" s="259">
        <v>11</v>
      </c>
      <c r="AL1102" s="259"/>
      <c r="AM1102" s="259" t="s">
        <v>3889</v>
      </c>
      <c r="AN1102" s="449"/>
      <c r="AO1102" s="449"/>
      <c r="AP1102" s="449"/>
      <c r="AQ1102" s="392" t="str">
        <f>IFERROR(VLOOKUP(BG1102,#REF!,1,0),"")</f>
        <v/>
      </c>
      <c r="AS1102" s="259" t="s">
        <v>3232</v>
      </c>
      <c r="AT1102" s="392" t="s">
        <v>3213</v>
      </c>
      <c r="BD1102" s="202" t="str">
        <f t="shared" si="164"/>
        <v>NX350h Premium</v>
      </c>
      <c r="BE1102" s="261" t="str">
        <f t="shared" si="170"/>
        <v>0159</v>
      </c>
      <c r="BF1102" s="407" t="s">
        <v>1620</v>
      </c>
      <c r="BG1102" s="202" t="str">
        <f t="shared" si="165"/>
        <v>0159-1101</v>
      </c>
    </row>
    <row r="1103" spans="1:59">
      <c r="A1103" s="405">
        <v>4877</v>
      </c>
      <c r="B1103" s="406">
        <v>4877</v>
      </c>
      <c r="C1103" s="261" t="str">
        <f t="shared" si="166"/>
        <v>0022-0159</v>
      </c>
      <c r="D1103" s="261" t="str">
        <f t="shared" si="167"/>
        <v>0022-0159-0003</v>
      </c>
      <c r="E1103" s="407" t="s">
        <v>1621</v>
      </c>
      <c r="F1103" s="261" t="str">
        <f>TEXT(VLOOKUP(J1103,'[3]1'!$B$2:$D$37,2,0),"0000")</f>
        <v>0022</v>
      </c>
      <c r="G1103" s="261" t="str">
        <f t="shared" si="168"/>
        <v>0159</v>
      </c>
      <c r="H1103" s="408">
        <f t="shared" si="169"/>
        <v>3</v>
      </c>
      <c r="I1103" s="407" t="s">
        <v>1621</v>
      </c>
      <c r="J1103" s="258" t="s">
        <v>146</v>
      </c>
      <c r="K1103" s="258" t="s">
        <v>147</v>
      </c>
      <c r="L1103" s="258" t="s">
        <v>3211</v>
      </c>
      <c r="M1103" s="409">
        <v>75300000</v>
      </c>
      <c r="N1103" s="258">
        <v>2487</v>
      </c>
      <c r="O1103" s="258" t="s">
        <v>74</v>
      </c>
      <c r="P1103" s="258" t="s">
        <v>73</v>
      </c>
      <c r="Q1103" s="258" t="s">
        <v>72</v>
      </c>
      <c r="R1103" s="258">
        <v>5</v>
      </c>
      <c r="S1103" s="410">
        <v>11</v>
      </c>
      <c r="T1103" s="261">
        <v>6</v>
      </c>
      <c r="U1103" s="261">
        <v>6</v>
      </c>
      <c r="V1103" s="258" t="s">
        <v>1969</v>
      </c>
      <c r="W1103" s="261" t="str">
        <f t="shared" si="171"/>
        <v>LEXUSNX450h+ Premium75300000</v>
      </c>
      <c r="X1103" s="411">
        <f t="shared" si="172"/>
        <v>4877</v>
      </c>
      <c r="Y1103" s="261">
        <v>6</v>
      </c>
      <c r="Z1103" s="261">
        <v>6</v>
      </c>
      <c r="AA1103" s="407" t="s">
        <v>1621</v>
      </c>
      <c r="AB1103" s="258" t="s">
        <v>70</v>
      </c>
      <c r="AC1103" s="258"/>
      <c r="AD1103" s="258">
        <v>3</v>
      </c>
      <c r="AE1103" s="258">
        <v>1</v>
      </c>
      <c r="AF1103" s="259"/>
      <c r="AG1103" s="260"/>
      <c r="AH1103" s="259"/>
      <c r="AI1103" s="259"/>
      <c r="AJ1103" s="260"/>
      <c r="AK1103" s="259">
        <v>11</v>
      </c>
      <c r="AL1103" s="259"/>
      <c r="AM1103" s="259" t="s">
        <v>3733</v>
      </c>
      <c r="AN1103" s="449"/>
      <c r="AO1103" s="449"/>
      <c r="AP1103" s="449"/>
      <c r="AQ1103" s="392" t="str">
        <f>IFERROR(VLOOKUP(BG1103,#REF!,1,0),"")</f>
        <v/>
      </c>
      <c r="AS1103" s="259" t="s">
        <v>3232</v>
      </c>
      <c r="AT1103" s="392" t="s">
        <v>3213</v>
      </c>
      <c r="BD1103" s="202" t="str">
        <f t="shared" si="164"/>
        <v>NX450h+ Premium</v>
      </c>
      <c r="BE1103" s="261" t="str">
        <f t="shared" si="170"/>
        <v>0159</v>
      </c>
      <c r="BF1103" s="407" t="s">
        <v>1621</v>
      </c>
      <c r="BG1103" s="202" t="str">
        <f t="shared" si="165"/>
        <v>0159-1102</v>
      </c>
    </row>
    <row r="1104" spans="1:59">
      <c r="A1104" s="405">
        <v>4878</v>
      </c>
      <c r="B1104" s="406">
        <v>4878</v>
      </c>
      <c r="C1104" s="261" t="str">
        <f t="shared" si="166"/>
        <v>0022-0159</v>
      </c>
      <c r="D1104" s="261" t="str">
        <f t="shared" si="167"/>
        <v>0022-0159-0004</v>
      </c>
      <c r="E1104" s="407" t="s">
        <v>1622</v>
      </c>
      <c r="F1104" s="261" t="str">
        <f>TEXT(VLOOKUP(J1104,'[3]1'!$B$2:$D$37,2,0),"0000")</f>
        <v>0022</v>
      </c>
      <c r="G1104" s="261" t="str">
        <f t="shared" si="168"/>
        <v>0159</v>
      </c>
      <c r="H1104" s="408">
        <f t="shared" si="169"/>
        <v>4</v>
      </c>
      <c r="I1104" s="407" t="s">
        <v>1622</v>
      </c>
      <c r="J1104" s="258" t="s">
        <v>146</v>
      </c>
      <c r="K1104" s="258" t="s">
        <v>147</v>
      </c>
      <c r="L1104" s="258" t="s">
        <v>3212</v>
      </c>
      <c r="M1104" s="409">
        <v>83000000</v>
      </c>
      <c r="N1104" s="258">
        <v>2487</v>
      </c>
      <c r="O1104" s="258" t="s">
        <v>74</v>
      </c>
      <c r="P1104" s="258" t="s">
        <v>73</v>
      </c>
      <c r="Q1104" s="258" t="s">
        <v>72</v>
      </c>
      <c r="R1104" s="258">
        <v>5</v>
      </c>
      <c r="S1104" s="410">
        <v>11</v>
      </c>
      <c r="T1104" s="261">
        <v>6</v>
      </c>
      <c r="U1104" s="261">
        <v>6</v>
      </c>
      <c r="V1104" s="258" t="s">
        <v>1969</v>
      </c>
      <c r="W1104" s="261" t="str">
        <f t="shared" si="171"/>
        <v>LEXUSNX450h+ F SPORT83000000</v>
      </c>
      <c r="X1104" s="411">
        <f t="shared" si="172"/>
        <v>4878</v>
      </c>
      <c r="Y1104" s="261">
        <v>6</v>
      </c>
      <c r="Z1104" s="261">
        <v>6</v>
      </c>
      <c r="AA1104" s="407" t="s">
        <v>1622</v>
      </c>
      <c r="AB1104" s="258" t="s">
        <v>70</v>
      </c>
      <c r="AC1104" s="258"/>
      <c r="AD1104" s="258">
        <v>3</v>
      </c>
      <c r="AE1104" s="258">
        <v>1</v>
      </c>
      <c r="AF1104" s="259"/>
      <c r="AG1104" s="260"/>
      <c r="AH1104" s="259"/>
      <c r="AI1104" s="259"/>
      <c r="AJ1104" s="260"/>
      <c r="AK1104" s="259">
        <v>11</v>
      </c>
      <c r="AL1104" s="259"/>
      <c r="AM1104" s="259" t="s">
        <v>3733</v>
      </c>
      <c r="AN1104" s="449"/>
      <c r="AO1104" s="449"/>
      <c r="AP1104" s="449"/>
      <c r="AQ1104" s="392" t="str">
        <f>IFERROR(VLOOKUP(BG1104,#REF!,1,0),"")</f>
        <v/>
      </c>
      <c r="AS1104" s="259" t="s">
        <v>3232</v>
      </c>
      <c r="AT1104" s="392" t="s">
        <v>3213</v>
      </c>
      <c r="BD1104" s="202" t="str">
        <f t="shared" si="164"/>
        <v>NX450h+ F SPORT</v>
      </c>
      <c r="BE1104" s="261" t="str">
        <f t="shared" si="170"/>
        <v>0159</v>
      </c>
      <c r="BF1104" s="407" t="s">
        <v>1622</v>
      </c>
      <c r="BG1104" s="202" t="str">
        <f t="shared" si="165"/>
        <v>0159-1103</v>
      </c>
    </row>
    <row r="1105" spans="1:59">
      <c r="A1105" s="405">
        <v>4879</v>
      </c>
      <c r="B1105" s="406">
        <v>4879</v>
      </c>
      <c r="C1105" s="261" t="str">
        <f t="shared" si="166"/>
        <v>0022-0160</v>
      </c>
      <c r="D1105" s="261" t="str">
        <f t="shared" si="167"/>
        <v>0022-0160-0001</v>
      </c>
      <c r="E1105" s="407" t="s">
        <v>1623</v>
      </c>
      <c r="F1105" s="261" t="str">
        <f>TEXT(VLOOKUP(J1105,'[3]1'!$B$2:$D$37,2,0),"0000")</f>
        <v>0022</v>
      </c>
      <c r="G1105" s="261" t="str">
        <f t="shared" si="168"/>
        <v>0160</v>
      </c>
      <c r="H1105" s="408">
        <f t="shared" si="169"/>
        <v>1</v>
      </c>
      <c r="I1105" s="407" t="s">
        <v>1623</v>
      </c>
      <c r="J1105" s="258" t="s">
        <v>146</v>
      </c>
      <c r="K1105" s="258" t="s">
        <v>145</v>
      </c>
      <c r="L1105" s="258" t="s">
        <v>3566</v>
      </c>
      <c r="M1105" s="409">
        <v>87400000</v>
      </c>
      <c r="N1105" s="258">
        <v>2487</v>
      </c>
      <c r="O1105" s="258" t="s">
        <v>74</v>
      </c>
      <c r="P1105" s="258" t="s">
        <v>73</v>
      </c>
      <c r="Q1105" s="258" t="s">
        <v>72</v>
      </c>
      <c r="R1105" s="258">
        <v>5</v>
      </c>
      <c r="S1105" s="410">
        <v>20</v>
      </c>
      <c r="T1105" s="261">
        <v>6</v>
      </c>
      <c r="U1105" s="261">
        <v>6</v>
      </c>
      <c r="V1105" s="258" t="s">
        <v>1969</v>
      </c>
      <c r="W1105" s="261" t="str">
        <f t="shared" si="171"/>
        <v>LEXUSRX 하이브리드350h87400000</v>
      </c>
      <c r="X1105" s="411">
        <f t="shared" si="172"/>
        <v>4879</v>
      </c>
      <c r="Y1105" s="261">
        <v>6</v>
      </c>
      <c r="Z1105" s="261">
        <v>6</v>
      </c>
      <c r="AA1105" s="407" t="s">
        <v>1623</v>
      </c>
      <c r="AB1105" s="258" t="s">
        <v>70</v>
      </c>
      <c r="AC1105" s="258"/>
      <c r="AD1105" s="258">
        <v>5</v>
      </c>
      <c r="AE1105" s="258">
        <v>2</v>
      </c>
      <c r="AF1105" s="259"/>
      <c r="AG1105" s="260"/>
      <c r="AH1105" s="259"/>
      <c r="AI1105" s="259"/>
      <c r="AJ1105" s="260"/>
      <c r="AK1105" s="259">
        <v>10</v>
      </c>
      <c r="AL1105" s="259"/>
      <c r="AM1105" s="259" t="s">
        <v>3659</v>
      </c>
      <c r="AN1105" s="449"/>
      <c r="AO1105" s="449"/>
      <c r="AP1105" s="449"/>
      <c r="AQ1105" s="392" t="str">
        <f>IFERROR(VLOOKUP(BG1105,#REF!,1,0),"")</f>
        <v/>
      </c>
      <c r="AS1105" s="259" t="s">
        <v>3234</v>
      </c>
      <c r="BD1105" s="202" t="str">
        <f t="shared" si="164"/>
        <v>RX 하이브리드350h</v>
      </c>
      <c r="BE1105" s="261" t="str">
        <f t="shared" si="170"/>
        <v>0160</v>
      </c>
      <c r="BF1105" s="407" t="s">
        <v>1623</v>
      </c>
      <c r="BG1105" s="202" t="str">
        <f t="shared" si="165"/>
        <v>0160-1104</v>
      </c>
    </row>
    <row r="1106" spans="1:59">
      <c r="A1106" s="405">
        <v>4880</v>
      </c>
      <c r="B1106" s="406">
        <v>4880</v>
      </c>
      <c r="C1106" s="261" t="str">
        <f t="shared" si="166"/>
        <v>0022-0160</v>
      </c>
      <c r="D1106" s="261" t="str">
        <f t="shared" si="167"/>
        <v>0022-0160-0002</v>
      </c>
      <c r="E1106" s="407" t="s">
        <v>1624</v>
      </c>
      <c r="F1106" s="261" t="str">
        <f>TEXT(VLOOKUP(J1106,'[3]1'!$B$2:$D$37,2,0),"0000")</f>
        <v>0022</v>
      </c>
      <c r="G1106" s="261" t="str">
        <f t="shared" si="168"/>
        <v>0160</v>
      </c>
      <c r="H1106" s="408">
        <f t="shared" si="169"/>
        <v>2</v>
      </c>
      <c r="I1106" s="407" t="s">
        <v>1624</v>
      </c>
      <c r="J1106" s="258" t="s">
        <v>146</v>
      </c>
      <c r="K1106" s="258" t="s">
        <v>145</v>
      </c>
      <c r="L1106" s="258" t="s">
        <v>3567</v>
      </c>
      <c r="M1106" s="409">
        <v>87400000</v>
      </c>
      <c r="N1106" s="258">
        <v>2487</v>
      </c>
      <c r="O1106" s="258" t="s">
        <v>74</v>
      </c>
      <c r="P1106" s="258" t="s">
        <v>73</v>
      </c>
      <c r="Q1106" s="258" t="s">
        <v>72</v>
      </c>
      <c r="R1106" s="258">
        <v>5</v>
      </c>
      <c r="S1106" s="410">
        <v>20</v>
      </c>
      <c r="T1106" s="261">
        <v>6</v>
      </c>
      <c r="U1106" s="261">
        <v>6</v>
      </c>
      <c r="V1106" s="258" t="s">
        <v>1969</v>
      </c>
      <c r="W1106" s="261" t="str">
        <f t="shared" si="171"/>
        <v>LEXUSRX 하이브리드450h87400000</v>
      </c>
      <c r="X1106" s="411">
        <f t="shared" si="172"/>
        <v>4880</v>
      </c>
      <c r="Y1106" s="261">
        <v>6</v>
      </c>
      <c r="Z1106" s="261">
        <v>6</v>
      </c>
      <c r="AA1106" s="407" t="s">
        <v>1624</v>
      </c>
      <c r="AB1106" s="258" t="s">
        <v>70</v>
      </c>
      <c r="AC1106" s="258"/>
      <c r="AD1106" s="258">
        <v>5</v>
      </c>
      <c r="AE1106" s="258">
        <v>2</v>
      </c>
      <c r="AF1106" s="259"/>
      <c r="AG1106" s="260"/>
      <c r="AH1106" s="259"/>
      <c r="AI1106" s="259"/>
      <c r="AJ1106" s="260"/>
      <c r="AK1106" s="259">
        <v>10</v>
      </c>
      <c r="AL1106" s="259"/>
      <c r="AM1106" s="259" t="s">
        <v>3659</v>
      </c>
      <c r="AN1106" s="449"/>
      <c r="AO1106" s="449"/>
      <c r="AP1106" s="449"/>
      <c r="AQ1106" s="392" t="str">
        <f>IFERROR(VLOOKUP(BG1106,#REF!,1,0),"")</f>
        <v/>
      </c>
      <c r="AS1106" s="259" t="s">
        <v>3234</v>
      </c>
      <c r="BD1106" s="202" t="str">
        <f t="shared" si="164"/>
        <v>RX 하이브리드450h</v>
      </c>
      <c r="BE1106" s="261" t="str">
        <f t="shared" si="170"/>
        <v>0160</v>
      </c>
      <c r="BF1106" s="407" t="s">
        <v>1624</v>
      </c>
      <c r="BG1106" s="202" t="str">
        <f t="shared" si="165"/>
        <v>0160-1105</v>
      </c>
    </row>
    <row r="1107" spans="1:59">
      <c r="A1107" s="405">
        <v>4881</v>
      </c>
      <c r="B1107" s="406">
        <v>4881</v>
      </c>
      <c r="C1107" s="261" t="str">
        <f t="shared" si="166"/>
        <v>0022-0160</v>
      </c>
      <c r="D1107" s="261" t="str">
        <f t="shared" si="167"/>
        <v>0022-0160-0003</v>
      </c>
      <c r="E1107" s="407" t="s">
        <v>1625</v>
      </c>
      <c r="F1107" s="261" t="str">
        <f>TEXT(VLOOKUP(J1107,'[3]1'!$B$2:$D$37,2,0),"0000")</f>
        <v>0022</v>
      </c>
      <c r="G1107" s="261" t="str">
        <f t="shared" si="168"/>
        <v>0160</v>
      </c>
      <c r="H1107" s="408">
        <f t="shared" si="169"/>
        <v>3</v>
      </c>
      <c r="I1107" s="407" t="s">
        <v>1625</v>
      </c>
      <c r="J1107" s="258" t="s">
        <v>146</v>
      </c>
      <c r="K1107" s="258" t="s">
        <v>145</v>
      </c>
      <c r="L1107" s="258" t="s">
        <v>3568</v>
      </c>
      <c r="M1107" s="409">
        <v>87400000</v>
      </c>
      <c r="N1107" s="258">
        <v>2393</v>
      </c>
      <c r="O1107" s="258" t="s">
        <v>74</v>
      </c>
      <c r="P1107" s="258" t="s">
        <v>73</v>
      </c>
      <c r="Q1107" s="258" t="s">
        <v>72</v>
      </c>
      <c r="R1107" s="258">
        <v>5</v>
      </c>
      <c r="S1107" s="410">
        <v>20</v>
      </c>
      <c r="T1107" s="261">
        <v>6</v>
      </c>
      <c r="U1107" s="261">
        <v>6</v>
      </c>
      <c r="V1107" s="258" t="s">
        <v>1969</v>
      </c>
      <c r="W1107" s="261" t="str">
        <f t="shared" si="171"/>
        <v>LEXUSRX 하이브리드500h87400000</v>
      </c>
      <c r="X1107" s="411">
        <f t="shared" si="172"/>
        <v>4881</v>
      </c>
      <c r="Y1107" s="261">
        <v>6</v>
      </c>
      <c r="Z1107" s="261">
        <v>6</v>
      </c>
      <c r="AA1107" s="407" t="s">
        <v>1625</v>
      </c>
      <c r="AB1107" s="258" t="s">
        <v>70</v>
      </c>
      <c r="AC1107" s="258"/>
      <c r="AD1107" s="258">
        <v>5</v>
      </c>
      <c r="AE1107" s="258">
        <v>2</v>
      </c>
      <c r="AF1107" s="259"/>
      <c r="AG1107" s="260"/>
      <c r="AH1107" s="259"/>
      <c r="AI1107" s="259"/>
      <c r="AJ1107" s="260"/>
      <c r="AK1107" s="259">
        <v>10</v>
      </c>
      <c r="AL1107" s="259"/>
      <c r="AM1107" s="259" t="s">
        <v>3659</v>
      </c>
      <c r="AN1107" s="449"/>
      <c r="AO1107" s="449"/>
      <c r="AP1107" s="449"/>
      <c r="AQ1107" s="392" t="str">
        <f>IFERROR(VLOOKUP(BG1107,#REF!,1,0),"")</f>
        <v/>
      </c>
      <c r="AS1107" s="259" t="s">
        <v>3234</v>
      </c>
      <c r="BD1107" s="202" t="str">
        <f t="shared" si="164"/>
        <v>RX 하이브리드500h</v>
      </c>
      <c r="BE1107" s="261" t="str">
        <f t="shared" si="170"/>
        <v>0160</v>
      </c>
      <c r="BF1107" s="407" t="s">
        <v>1625</v>
      </c>
      <c r="BG1107" s="202" t="str">
        <f t="shared" si="165"/>
        <v>0160-1106</v>
      </c>
    </row>
    <row r="1108" spans="1:59">
      <c r="A1108" s="405">
        <v>4882</v>
      </c>
      <c r="B1108" s="406">
        <v>4882</v>
      </c>
      <c r="C1108" s="261" t="str">
        <f t="shared" si="166"/>
        <v>0022-0161</v>
      </c>
      <c r="D1108" s="261" t="str">
        <f t="shared" si="167"/>
        <v>0022-0161-0001</v>
      </c>
      <c r="E1108" s="407" t="s">
        <v>1626</v>
      </c>
      <c r="F1108" s="261" t="str">
        <f>TEXT(VLOOKUP(J1108,'[3]1'!$B$2:$D$37,2,0),"0000")</f>
        <v>0022</v>
      </c>
      <c r="G1108" s="261" t="str">
        <f t="shared" si="168"/>
        <v>0161</v>
      </c>
      <c r="H1108" s="408">
        <f t="shared" si="169"/>
        <v>1</v>
      </c>
      <c r="I1108" s="407" t="s">
        <v>1626</v>
      </c>
      <c r="J1108" s="258" t="s">
        <v>146</v>
      </c>
      <c r="K1108" s="258" t="s">
        <v>3890</v>
      </c>
      <c r="L1108" s="258" t="s">
        <v>3891</v>
      </c>
      <c r="M1108" s="409">
        <v>84800000</v>
      </c>
      <c r="N1108" s="258">
        <v>0</v>
      </c>
      <c r="O1108" s="258" t="s">
        <v>3826</v>
      </c>
      <c r="P1108" s="258" t="s">
        <v>73</v>
      </c>
      <c r="Q1108" s="258" t="s">
        <v>72</v>
      </c>
      <c r="R1108" s="258">
        <v>5</v>
      </c>
      <c r="S1108" s="410">
        <v>20</v>
      </c>
      <c r="T1108" s="261">
        <v>6</v>
      </c>
      <c r="U1108" s="261">
        <v>6</v>
      </c>
      <c r="V1108" s="258" t="s">
        <v>1969</v>
      </c>
      <c r="W1108" s="261" t="str">
        <f t="shared" si="171"/>
        <v>LEXUSRZ450e 수프림84800000</v>
      </c>
      <c r="X1108" s="411">
        <f t="shared" si="172"/>
        <v>4882</v>
      </c>
      <c r="Y1108" s="261">
        <v>6</v>
      </c>
      <c r="Z1108" s="261">
        <v>6</v>
      </c>
      <c r="AA1108" s="407" t="s">
        <v>1626</v>
      </c>
      <c r="AB1108" s="258" t="s">
        <v>70</v>
      </c>
      <c r="AC1108" s="258"/>
      <c r="AD1108" s="258">
        <v>5</v>
      </c>
      <c r="AE1108" s="258">
        <v>2</v>
      </c>
      <c r="AF1108" s="259"/>
      <c r="AG1108" s="260"/>
      <c r="AH1108" s="259"/>
      <c r="AI1108" s="259"/>
      <c r="AJ1108" s="260"/>
      <c r="AK1108" s="259">
        <v>10</v>
      </c>
      <c r="AL1108" s="259"/>
      <c r="AM1108" s="259" t="s">
        <v>3659</v>
      </c>
      <c r="AN1108" s="449"/>
      <c r="AO1108" s="449"/>
      <c r="AP1108" s="449"/>
      <c r="AQ1108" s="392" t="str">
        <f>IFERROR(VLOOKUP(BG1108,#REF!,1,0),"")</f>
        <v/>
      </c>
      <c r="AS1108" s="259" t="s">
        <v>3234</v>
      </c>
      <c r="BD1108" s="202" t="str">
        <f t="shared" si="164"/>
        <v>RZ450e 수프림</v>
      </c>
      <c r="BE1108" s="261" t="str">
        <f t="shared" si="170"/>
        <v>0161</v>
      </c>
      <c r="BF1108" s="407" t="s">
        <v>1626</v>
      </c>
      <c r="BG1108" s="202" t="str">
        <f t="shared" si="165"/>
        <v>0161-1107</v>
      </c>
    </row>
    <row r="1109" spans="1:59">
      <c r="A1109" s="405">
        <v>4883</v>
      </c>
      <c r="B1109" s="406">
        <v>4883</v>
      </c>
      <c r="C1109" s="261" t="str">
        <f t="shared" si="166"/>
        <v>0022-0161</v>
      </c>
      <c r="D1109" s="261" t="str">
        <f t="shared" si="167"/>
        <v>0022-0161-0002</v>
      </c>
      <c r="E1109" s="407" t="s">
        <v>1627</v>
      </c>
      <c r="F1109" s="261" t="str">
        <f>TEXT(VLOOKUP(J1109,'[3]1'!$B$2:$D$37,2,0),"0000")</f>
        <v>0022</v>
      </c>
      <c r="G1109" s="261" t="str">
        <f t="shared" si="168"/>
        <v>0161</v>
      </c>
      <c r="H1109" s="408">
        <f t="shared" si="169"/>
        <v>2</v>
      </c>
      <c r="I1109" s="407" t="s">
        <v>1627</v>
      </c>
      <c r="J1109" s="258" t="s">
        <v>146</v>
      </c>
      <c r="K1109" s="258" t="s">
        <v>3890</v>
      </c>
      <c r="L1109" s="258" t="s">
        <v>3892</v>
      </c>
      <c r="M1109" s="409">
        <v>93000000</v>
      </c>
      <c r="N1109" s="258">
        <v>0</v>
      </c>
      <c r="O1109" s="258" t="s">
        <v>3826</v>
      </c>
      <c r="P1109" s="258" t="s">
        <v>73</v>
      </c>
      <c r="Q1109" s="258" t="s">
        <v>72</v>
      </c>
      <c r="R1109" s="258">
        <v>5</v>
      </c>
      <c r="S1109" s="410">
        <v>20</v>
      </c>
      <c r="T1109" s="261">
        <v>6</v>
      </c>
      <c r="U1109" s="261">
        <v>6</v>
      </c>
      <c r="V1109" s="258" t="s">
        <v>1969</v>
      </c>
      <c r="W1109" s="261" t="str">
        <f t="shared" si="171"/>
        <v>LEXUSRZ450e 럭셔리93000000</v>
      </c>
      <c r="X1109" s="411">
        <f t="shared" si="172"/>
        <v>4883</v>
      </c>
      <c r="Y1109" s="261">
        <v>6</v>
      </c>
      <c r="Z1109" s="261">
        <v>6</v>
      </c>
      <c r="AA1109" s="407" t="s">
        <v>1627</v>
      </c>
      <c r="AB1109" s="258" t="s">
        <v>70</v>
      </c>
      <c r="AC1109" s="258"/>
      <c r="AD1109" s="258">
        <v>5</v>
      </c>
      <c r="AE1109" s="258">
        <v>2</v>
      </c>
      <c r="AF1109" s="259"/>
      <c r="AG1109" s="260"/>
      <c r="AH1109" s="259"/>
      <c r="AI1109" s="259"/>
      <c r="AJ1109" s="260"/>
      <c r="AK1109" s="259">
        <v>10</v>
      </c>
      <c r="AL1109" s="259"/>
      <c r="AM1109" s="259" t="s">
        <v>3659</v>
      </c>
      <c r="AN1109" s="449"/>
      <c r="AO1109" s="449"/>
      <c r="AP1109" s="449"/>
      <c r="AQ1109" s="392" t="str">
        <f>IFERROR(VLOOKUP(BG1109,#REF!,1,0),"")</f>
        <v/>
      </c>
      <c r="AS1109" s="259" t="s">
        <v>3234</v>
      </c>
      <c r="BD1109" s="202" t="str">
        <f t="shared" si="164"/>
        <v>RZ450e 럭셔리</v>
      </c>
      <c r="BE1109" s="261" t="str">
        <f t="shared" si="170"/>
        <v>0161</v>
      </c>
      <c r="BF1109" s="407" t="s">
        <v>1627</v>
      </c>
      <c r="BG1109" s="202" t="str">
        <f t="shared" si="165"/>
        <v>0161-1108</v>
      </c>
    </row>
    <row r="1110" spans="1:59">
      <c r="A1110" s="405">
        <v>4884</v>
      </c>
      <c r="B1110" s="406">
        <v>4884</v>
      </c>
      <c r="C1110" s="261" t="str">
        <f t="shared" si="166"/>
        <v>0022-0162</v>
      </c>
      <c r="D1110" s="261" t="str">
        <f t="shared" si="167"/>
        <v>0022-0162-0001</v>
      </c>
      <c r="E1110" s="407" t="s">
        <v>1628</v>
      </c>
      <c r="F1110" s="261" t="str">
        <f>TEXT(VLOOKUP(J1110,'[3]1'!$B$2:$D$37,2,0),"0000")</f>
        <v>0022</v>
      </c>
      <c r="G1110" s="261" t="str">
        <f t="shared" si="168"/>
        <v>0162</v>
      </c>
      <c r="H1110" s="408">
        <f t="shared" si="169"/>
        <v>1</v>
      </c>
      <c r="I1110" s="407" t="s">
        <v>1628</v>
      </c>
      <c r="J1110" s="258" t="s">
        <v>146</v>
      </c>
      <c r="K1110" s="258" t="s">
        <v>1335</v>
      </c>
      <c r="L1110" s="258" t="s">
        <v>3900</v>
      </c>
      <c r="M1110" s="409">
        <v>46100000</v>
      </c>
      <c r="N1110" s="258">
        <v>1987</v>
      </c>
      <c r="O1110" s="258" t="s">
        <v>74</v>
      </c>
      <c r="P1110" s="258" t="s">
        <v>73</v>
      </c>
      <c r="Q1110" s="258" t="s">
        <v>72</v>
      </c>
      <c r="R1110" s="258">
        <v>5</v>
      </c>
      <c r="S1110" s="410">
        <v>10</v>
      </c>
      <c r="T1110" s="261">
        <v>6</v>
      </c>
      <c r="U1110" s="261">
        <v>6</v>
      </c>
      <c r="V1110" s="258" t="s">
        <v>1914</v>
      </c>
      <c r="W1110" s="261" t="str">
        <f t="shared" si="171"/>
        <v>LEXUSUX 하이브리드250h46100000</v>
      </c>
      <c r="X1110" s="411">
        <f t="shared" si="172"/>
        <v>4884</v>
      </c>
      <c r="Y1110" s="261">
        <v>6</v>
      </c>
      <c r="Z1110" s="261">
        <v>6</v>
      </c>
      <c r="AA1110" s="407" t="s">
        <v>1628</v>
      </c>
      <c r="AB1110" s="258" t="s">
        <v>70</v>
      </c>
      <c r="AC1110" s="258"/>
      <c r="AD1110" s="258">
        <v>3</v>
      </c>
      <c r="AE1110" s="258">
        <v>0</v>
      </c>
      <c r="AF1110" s="259"/>
      <c r="AG1110" s="260"/>
      <c r="AH1110" s="259"/>
      <c r="AI1110" s="259"/>
      <c r="AJ1110" s="260"/>
      <c r="AK1110" s="259">
        <v>10</v>
      </c>
      <c r="AL1110" s="259"/>
      <c r="AM1110" s="259" t="s">
        <v>3659</v>
      </c>
      <c r="AN1110" s="449"/>
      <c r="AO1110" s="449"/>
      <c r="AP1110" s="449"/>
      <c r="AQ1110" s="392" t="str">
        <f>IFERROR(VLOOKUP(BG1110,#REF!,1,0),"")</f>
        <v/>
      </c>
      <c r="AS1110" s="259" t="s">
        <v>3224</v>
      </c>
      <c r="BD1110" s="202" t="str">
        <f t="shared" si="164"/>
        <v>UX 하이브리드250h</v>
      </c>
      <c r="BE1110" s="261" t="str">
        <f t="shared" si="170"/>
        <v>0162</v>
      </c>
      <c r="BF1110" s="407" t="s">
        <v>1628</v>
      </c>
      <c r="BG1110" s="202" t="str">
        <f t="shared" si="165"/>
        <v>0162-1109</v>
      </c>
    </row>
    <row r="1111" spans="1:59">
      <c r="A1111" s="405">
        <v>4885</v>
      </c>
      <c r="B1111" s="406">
        <v>4885</v>
      </c>
      <c r="C1111" s="261" t="str">
        <f t="shared" si="166"/>
        <v>0022-0162</v>
      </c>
      <c r="D1111" s="261" t="str">
        <f t="shared" si="167"/>
        <v>0022-0162-0002</v>
      </c>
      <c r="E1111" s="407" t="s">
        <v>1629</v>
      </c>
      <c r="F1111" s="261" t="str">
        <f>TEXT(VLOOKUP(J1111,'[3]1'!$B$2:$D$37,2,0),"0000")</f>
        <v>0022</v>
      </c>
      <c r="G1111" s="261" t="str">
        <f t="shared" si="168"/>
        <v>0162</v>
      </c>
      <c r="H1111" s="408">
        <f t="shared" si="169"/>
        <v>2</v>
      </c>
      <c r="I1111" s="407" t="s">
        <v>1629</v>
      </c>
      <c r="J1111" s="258" t="s">
        <v>146</v>
      </c>
      <c r="K1111" s="258" t="s">
        <v>1335</v>
      </c>
      <c r="L1111" s="258" t="s">
        <v>3901</v>
      </c>
      <c r="M1111" s="409">
        <v>51100000</v>
      </c>
      <c r="N1111" s="258">
        <v>1987</v>
      </c>
      <c r="O1111" s="258" t="s">
        <v>74</v>
      </c>
      <c r="P1111" s="258" t="s">
        <v>73</v>
      </c>
      <c r="Q1111" s="258" t="s">
        <v>72</v>
      </c>
      <c r="R1111" s="258">
        <v>5</v>
      </c>
      <c r="S1111" s="410">
        <v>10</v>
      </c>
      <c r="T1111" s="261">
        <v>6</v>
      </c>
      <c r="U1111" s="261">
        <v>6</v>
      </c>
      <c r="V1111" s="258" t="s">
        <v>1914</v>
      </c>
      <c r="W1111" s="261" t="str">
        <f t="shared" si="171"/>
        <v>LEXUSUX 하이브리드250h F Sports51100000</v>
      </c>
      <c r="X1111" s="411">
        <f t="shared" si="172"/>
        <v>4885</v>
      </c>
      <c r="Y1111" s="261">
        <v>6</v>
      </c>
      <c r="Z1111" s="261">
        <v>6</v>
      </c>
      <c r="AA1111" s="407" t="s">
        <v>1629</v>
      </c>
      <c r="AB1111" s="258" t="s">
        <v>70</v>
      </c>
      <c r="AC1111" s="258"/>
      <c r="AD1111" s="258">
        <v>3</v>
      </c>
      <c r="AE1111" s="258">
        <v>0</v>
      </c>
      <c r="AF1111" s="259"/>
      <c r="AG1111" s="260"/>
      <c r="AH1111" s="259"/>
      <c r="AI1111" s="259"/>
      <c r="AJ1111" s="260"/>
      <c r="AK1111" s="259">
        <v>10</v>
      </c>
      <c r="AL1111" s="259"/>
      <c r="AM1111" s="259" t="s">
        <v>3659</v>
      </c>
      <c r="AN1111" s="449"/>
      <c r="AO1111" s="449"/>
      <c r="AP1111" s="449"/>
      <c r="AQ1111" s="392" t="str">
        <f>IFERROR(VLOOKUP(BG1111,#REF!,1,0),"")</f>
        <v/>
      </c>
      <c r="AS1111" s="259" t="s">
        <v>3224</v>
      </c>
      <c r="AT1111" s="486" t="s">
        <v>3160</v>
      </c>
      <c r="BD1111" s="202" t="str">
        <f t="shared" si="164"/>
        <v>UX 하이브리드250h F Sports</v>
      </c>
      <c r="BE1111" s="261" t="str">
        <f t="shared" si="170"/>
        <v>0162</v>
      </c>
      <c r="BF1111" s="407" t="s">
        <v>1629</v>
      </c>
      <c r="BG1111" s="202" t="str">
        <f t="shared" si="165"/>
        <v>0162-1110</v>
      </c>
    </row>
    <row r="1112" spans="1:59">
      <c r="A1112" s="405">
        <v>4886</v>
      </c>
      <c r="B1112" s="406">
        <v>4886</v>
      </c>
      <c r="C1112" s="261" t="str">
        <f t="shared" si="166"/>
        <v>0022-0162</v>
      </c>
      <c r="D1112" s="261" t="str">
        <f t="shared" si="167"/>
        <v>0022-0162-0003</v>
      </c>
      <c r="E1112" s="407" t="s">
        <v>1630</v>
      </c>
      <c r="F1112" s="261" t="str">
        <f>TEXT(VLOOKUP(J1112,'[3]1'!$B$2:$D$37,2,0),"0000")</f>
        <v>0022</v>
      </c>
      <c r="G1112" s="261" t="str">
        <f t="shared" si="168"/>
        <v>0162</v>
      </c>
      <c r="H1112" s="408">
        <f t="shared" si="169"/>
        <v>3</v>
      </c>
      <c r="I1112" s="407" t="s">
        <v>1630</v>
      </c>
      <c r="J1112" s="258" t="s">
        <v>146</v>
      </c>
      <c r="K1112" s="258" t="s">
        <v>1335</v>
      </c>
      <c r="L1112" s="258" t="s">
        <v>3902</v>
      </c>
      <c r="M1112" s="409">
        <v>55300000</v>
      </c>
      <c r="N1112" s="258">
        <v>1987</v>
      </c>
      <c r="O1112" s="258" t="s">
        <v>74</v>
      </c>
      <c r="P1112" s="258" t="s">
        <v>73</v>
      </c>
      <c r="Q1112" s="258" t="s">
        <v>72</v>
      </c>
      <c r="R1112" s="258">
        <v>5</v>
      </c>
      <c r="S1112" s="410">
        <v>10</v>
      </c>
      <c r="T1112" s="261">
        <v>6</v>
      </c>
      <c r="U1112" s="261">
        <v>6</v>
      </c>
      <c r="V1112" s="258" t="s">
        <v>1914</v>
      </c>
      <c r="W1112" s="261" t="str">
        <f t="shared" si="171"/>
        <v>LEXUSUX 하이브리드250h AWD55300000</v>
      </c>
      <c r="X1112" s="411">
        <f t="shared" si="172"/>
        <v>4886</v>
      </c>
      <c r="Y1112" s="261">
        <v>6</v>
      </c>
      <c r="Z1112" s="261">
        <v>6</v>
      </c>
      <c r="AA1112" s="407" t="s">
        <v>1630</v>
      </c>
      <c r="AB1112" s="258" t="s">
        <v>70</v>
      </c>
      <c r="AC1112" s="258"/>
      <c r="AD1112" s="258">
        <v>3</v>
      </c>
      <c r="AE1112" s="258">
        <v>0</v>
      </c>
      <c r="AF1112" s="259"/>
      <c r="AG1112" s="260"/>
      <c r="AH1112" s="259"/>
      <c r="AI1112" s="259"/>
      <c r="AJ1112" s="260"/>
      <c r="AK1112" s="259">
        <v>10</v>
      </c>
      <c r="AL1112" s="259"/>
      <c r="AM1112" s="259" t="s">
        <v>3659</v>
      </c>
      <c r="AN1112" s="449"/>
      <c r="AO1112" s="449"/>
      <c r="AP1112" s="449"/>
      <c r="AQ1112" s="392" t="str">
        <f>IFERROR(VLOOKUP(BG1112,#REF!,1,0),"")</f>
        <v/>
      </c>
      <c r="AS1112" s="259" t="s">
        <v>3224</v>
      </c>
      <c r="BD1112" s="202" t="str">
        <f t="shared" si="164"/>
        <v>UX 하이브리드250h AWD</v>
      </c>
      <c r="BE1112" s="261" t="str">
        <f t="shared" si="170"/>
        <v>0162</v>
      </c>
      <c r="BF1112" s="407" t="s">
        <v>1630</v>
      </c>
      <c r="BG1112" s="202" t="str">
        <f t="shared" si="165"/>
        <v>0162-1111</v>
      </c>
    </row>
    <row r="1113" spans="1:59">
      <c r="A1113" s="405">
        <v>4887</v>
      </c>
      <c r="B1113" s="406">
        <v>4887</v>
      </c>
      <c r="C1113" s="261" t="str">
        <f t="shared" si="166"/>
        <v>0020-0163</v>
      </c>
      <c r="D1113" s="261" t="str">
        <f t="shared" si="167"/>
        <v>0020-0163-0001</v>
      </c>
      <c r="E1113" s="407" t="s">
        <v>1631</v>
      </c>
      <c r="F1113" s="261" t="str">
        <f>TEXT(VLOOKUP(J1113,'[3]1'!$B$2:$D$37,2,0),"0000")</f>
        <v>0020</v>
      </c>
      <c r="G1113" s="261" t="str">
        <f t="shared" si="168"/>
        <v>0163</v>
      </c>
      <c r="H1113" s="408">
        <f t="shared" si="169"/>
        <v>1</v>
      </c>
      <c r="I1113" s="407" t="s">
        <v>1631</v>
      </c>
      <c r="J1113" s="258" t="s">
        <v>3261</v>
      </c>
      <c r="K1113" s="258" t="s">
        <v>156</v>
      </c>
      <c r="L1113" s="258" t="s">
        <v>3576</v>
      </c>
      <c r="M1113" s="409">
        <v>348000000</v>
      </c>
      <c r="N1113" s="258">
        <v>5204</v>
      </c>
      <c r="O1113" s="258" t="s">
        <v>77</v>
      </c>
      <c r="P1113" s="258" t="s">
        <v>73</v>
      </c>
      <c r="Q1113" s="258" t="s">
        <v>72</v>
      </c>
      <c r="R1113" s="258">
        <v>2</v>
      </c>
      <c r="S1113" s="410">
        <v>18</v>
      </c>
      <c r="T1113" s="261">
        <v>6</v>
      </c>
      <c r="U1113" s="261">
        <v>6</v>
      </c>
      <c r="V1113" s="258" t="s">
        <v>71</v>
      </c>
      <c r="W1113" s="261" t="str">
        <f t="shared" si="171"/>
        <v>LamborghiniHuracan테크니카348000000</v>
      </c>
      <c r="X1113" s="411">
        <f t="shared" si="172"/>
        <v>4887</v>
      </c>
      <c r="Y1113" s="261">
        <v>6</v>
      </c>
      <c r="Z1113" s="261">
        <v>6</v>
      </c>
      <c r="AA1113" s="407" t="s">
        <v>1631</v>
      </c>
      <c r="AB1113" s="258" t="s">
        <v>73</v>
      </c>
      <c r="AC1113" s="258"/>
      <c r="AD1113" s="258">
        <v>6</v>
      </c>
      <c r="AE1113" s="258">
        <v>0</v>
      </c>
      <c r="AF1113" s="259"/>
      <c r="AG1113" s="260"/>
      <c r="AH1113" s="259"/>
      <c r="AI1113" s="259"/>
      <c r="AJ1113" s="260"/>
      <c r="AK1113" s="259">
        <v>18</v>
      </c>
      <c r="AL1113" s="259"/>
      <c r="AM1113" s="259" t="s">
        <v>3667</v>
      </c>
      <c r="AN1113" s="449"/>
      <c r="AO1113" s="449"/>
      <c r="AP1113" s="449"/>
      <c r="AQ1113" s="392" t="str">
        <f>IFERROR(VLOOKUP(BG1113,#REF!,1,0),"")</f>
        <v/>
      </c>
      <c r="AS1113" s="259" t="s">
        <v>3235</v>
      </c>
      <c r="BD1113" s="202" t="str">
        <f t="shared" si="164"/>
        <v>Huracan테크니카</v>
      </c>
      <c r="BE1113" s="261" t="str">
        <f t="shared" si="170"/>
        <v>0163</v>
      </c>
      <c r="BF1113" s="407" t="s">
        <v>1631</v>
      </c>
      <c r="BG1113" s="202" t="str">
        <f t="shared" si="165"/>
        <v>0163-1112</v>
      </c>
    </row>
    <row r="1114" spans="1:59">
      <c r="A1114" s="405">
        <v>4888</v>
      </c>
      <c r="B1114" s="406">
        <v>4888</v>
      </c>
      <c r="C1114" s="261" t="str">
        <f t="shared" si="166"/>
        <v>0020-0163</v>
      </c>
      <c r="D1114" s="261" t="str">
        <f t="shared" si="167"/>
        <v>0020-0163-0002</v>
      </c>
      <c r="E1114" s="407" t="s">
        <v>1632</v>
      </c>
      <c r="F1114" s="261" t="str">
        <f>TEXT(VLOOKUP(J1114,'[3]1'!$B$2:$D$37,2,0),"0000")</f>
        <v>0020</v>
      </c>
      <c r="G1114" s="261" t="str">
        <f t="shared" si="168"/>
        <v>0163</v>
      </c>
      <c r="H1114" s="408">
        <f t="shared" si="169"/>
        <v>2</v>
      </c>
      <c r="I1114" s="407" t="s">
        <v>1632</v>
      </c>
      <c r="J1114" s="258" t="s">
        <v>157</v>
      </c>
      <c r="K1114" s="258" t="s">
        <v>156</v>
      </c>
      <c r="L1114" s="258" t="s">
        <v>1975</v>
      </c>
      <c r="M1114" s="409">
        <v>395200000</v>
      </c>
      <c r="N1114" s="258">
        <v>5204</v>
      </c>
      <c r="O1114" s="258" t="s">
        <v>77</v>
      </c>
      <c r="P1114" s="258" t="s">
        <v>73</v>
      </c>
      <c r="Q1114" s="258" t="s">
        <v>72</v>
      </c>
      <c r="R1114" s="258">
        <v>2</v>
      </c>
      <c r="S1114" s="410">
        <v>18</v>
      </c>
      <c r="T1114" s="261">
        <v>6</v>
      </c>
      <c r="U1114" s="261">
        <v>6</v>
      </c>
      <c r="V1114" s="258" t="s">
        <v>71</v>
      </c>
      <c r="W1114" s="261" t="str">
        <f t="shared" si="171"/>
        <v>LamborghiniHuracan5.2 가솔린 Huracan evo Spider395200000</v>
      </c>
      <c r="X1114" s="411">
        <f t="shared" si="172"/>
        <v>4888</v>
      </c>
      <c r="Y1114" s="261">
        <v>6</v>
      </c>
      <c r="Z1114" s="261">
        <v>6</v>
      </c>
      <c r="AA1114" s="407" t="s">
        <v>1632</v>
      </c>
      <c r="AB1114" s="258" t="s">
        <v>73</v>
      </c>
      <c r="AC1114" s="258"/>
      <c r="AD1114" s="258">
        <v>6</v>
      </c>
      <c r="AE1114" s="258">
        <v>0</v>
      </c>
      <c r="AF1114" s="259"/>
      <c r="AG1114" s="260"/>
      <c r="AH1114" s="259"/>
      <c r="AI1114" s="259"/>
      <c r="AJ1114" s="260"/>
      <c r="AK1114" s="259">
        <v>18</v>
      </c>
      <c r="AL1114" s="259"/>
      <c r="AM1114" s="259" t="s">
        <v>3667</v>
      </c>
      <c r="AN1114" s="449"/>
      <c r="AO1114" s="449"/>
      <c r="AP1114" s="449"/>
      <c r="AQ1114" s="392" t="str">
        <f>IFERROR(VLOOKUP(BG1114,#REF!,1,0),"")</f>
        <v/>
      </c>
      <c r="AS1114" s="259" t="s">
        <v>3235</v>
      </c>
      <c r="BD1114" s="202" t="str">
        <f t="shared" si="164"/>
        <v>Huracan5.2 가솔린 Huracan evo Spider</v>
      </c>
      <c r="BE1114" s="261" t="str">
        <f t="shared" si="170"/>
        <v>0163</v>
      </c>
      <c r="BF1114" s="407" t="s">
        <v>1632</v>
      </c>
      <c r="BG1114" s="202" t="str">
        <f t="shared" si="165"/>
        <v>0163-1113</v>
      </c>
    </row>
    <row r="1115" spans="1:59">
      <c r="A1115" s="405">
        <v>4889</v>
      </c>
      <c r="B1115" s="406">
        <v>4889</v>
      </c>
      <c r="C1115" s="261" t="str">
        <f t="shared" si="166"/>
        <v>0020-0164</v>
      </c>
      <c r="D1115" s="261" t="str">
        <f t="shared" si="167"/>
        <v>0020-0164-0001</v>
      </c>
      <c r="E1115" s="407" t="s">
        <v>1633</v>
      </c>
      <c r="F1115" s="261" t="str">
        <f>TEXT(VLOOKUP(J1115,'[3]1'!$B$2:$D$37,2,0),"0000")</f>
        <v>0020</v>
      </c>
      <c r="G1115" s="261" t="str">
        <f t="shared" si="168"/>
        <v>0164</v>
      </c>
      <c r="H1115" s="408">
        <f t="shared" si="169"/>
        <v>1</v>
      </c>
      <c r="I1115" s="407" t="s">
        <v>1633</v>
      </c>
      <c r="J1115" s="258" t="s">
        <v>157</v>
      </c>
      <c r="K1115" s="258" t="s">
        <v>3197</v>
      </c>
      <c r="L1115" s="258" t="s">
        <v>3575</v>
      </c>
      <c r="M1115" s="409">
        <v>290000000</v>
      </c>
      <c r="N1115" s="258">
        <v>3996</v>
      </c>
      <c r="O1115" s="258" t="s">
        <v>77</v>
      </c>
      <c r="P1115" s="258" t="s">
        <v>73</v>
      </c>
      <c r="Q1115" s="258" t="s">
        <v>72</v>
      </c>
      <c r="R1115" s="258">
        <v>2</v>
      </c>
      <c r="S1115" s="410">
        <v>18</v>
      </c>
      <c r="T1115" s="261">
        <v>6</v>
      </c>
      <c r="U1115" s="261">
        <v>6</v>
      </c>
      <c r="V1115" s="258" t="s">
        <v>71</v>
      </c>
      <c r="W1115" s="261" t="str">
        <f t="shared" si="171"/>
        <v>LamborghiniUrus4.0 S290000000</v>
      </c>
      <c r="X1115" s="411">
        <f t="shared" si="172"/>
        <v>4889</v>
      </c>
      <c r="Y1115" s="261">
        <v>6</v>
      </c>
      <c r="Z1115" s="261">
        <v>6</v>
      </c>
      <c r="AA1115" s="407" t="s">
        <v>1633</v>
      </c>
      <c r="AB1115" s="258" t="s">
        <v>70</v>
      </c>
      <c r="AC1115" s="258"/>
      <c r="AD1115" s="258">
        <v>6</v>
      </c>
      <c r="AE1115" s="258">
        <v>0</v>
      </c>
      <c r="AF1115" s="259"/>
      <c r="AG1115" s="260"/>
      <c r="AH1115" s="259"/>
      <c r="AI1115" s="259"/>
      <c r="AJ1115" s="260"/>
      <c r="AK1115" s="259">
        <v>11</v>
      </c>
      <c r="AL1115" s="259"/>
      <c r="AM1115" s="259" t="s">
        <v>3660</v>
      </c>
      <c r="AN1115" s="449"/>
      <c r="AO1115" s="449"/>
      <c r="AP1115" s="449"/>
      <c r="AQ1115" s="392" t="str">
        <f>IFERROR(VLOOKUP(BG1115,#REF!,1,0),"")</f>
        <v/>
      </c>
      <c r="AS1115" s="259" t="s">
        <v>3235</v>
      </c>
      <c r="AT1115" s="392" t="s">
        <v>3198</v>
      </c>
      <c r="BD1115" s="202" t="str">
        <f t="shared" si="164"/>
        <v>Urus4.0 S</v>
      </c>
      <c r="BE1115" s="261" t="str">
        <f t="shared" si="170"/>
        <v>0164</v>
      </c>
      <c r="BF1115" s="407" t="s">
        <v>1633</v>
      </c>
      <c r="BG1115" s="202" t="str">
        <f t="shared" si="165"/>
        <v>0164-1114</v>
      </c>
    </row>
    <row r="1116" spans="1:59">
      <c r="A1116" s="405">
        <v>4890</v>
      </c>
      <c r="B1116" s="406">
        <v>4890</v>
      </c>
      <c r="C1116" s="261" t="str">
        <f t="shared" si="166"/>
        <v>0019-0165</v>
      </c>
      <c r="D1116" s="261" t="str">
        <f t="shared" si="167"/>
        <v>0019-0165-0001</v>
      </c>
      <c r="E1116" s="407" t="s">
        <v>1634</v>
      </c>
      <c r="F1116" s="261" t="str">
        <f>TEXT(VLOOKUP(J1116,'[3]1'!$B$2:$D$37,2,0),"0000")</f>
        <v>0019</v>
      </c>
      <c r="G1116" s="261" t="str">
        <f t="shared" si="168"/>
        <v>0165</v>
      </c>
      <c r="H1116" s="408">
        <f t="shared" si="169"/>
        <v>1</v>
      </c>
      <c r="I1116" s="407" t="s">
        <v>1634</v>
      </c>
      <c r="J1116" s="413" t="s">
        <v>159</v>
      </c>
      <c r="K1116" s="413" t="s">
        <v>2797</v>
      </c>
      <c r="L1116" s="413" t="s">
        <v>3793</v>
      </c>
      <c r="M1116" s="415">
        <v>69900000</v>
      </c>
      <c r="N1116" s="416">
        <v>3604</v>
      </c>
      <c r="O1116" s="258" t="s">
        <v>77</v>
      </c>
      <c r="P1116" s="413" t="s">
        <v>2806</v>
      </c>
      <c r="Q1116" s="413" t="s">
        <v>72</v>
      </c>
      <c r="R1116" s="416">
        <v>5</v>
      </c>
      <c r="S1116" s="410">
        <v>26</v>
      </c>
      <c r="T1116" s="261">
        <v>6</v>
      </c>
      <c r="U1116" s="261">
        <v>6</v>
      </c>
      <c r="V1116" s="258" t="s">
        <v>71</v>
      </c>
      <c r="W1116" s="261" t="str">
        <f t="shared" si="171"/>
        <v>JEEPGladiator루비콘69900000</v>
      </c>
      <c r="X1116" s="411">
        <f t="shared" si="172"/>
        <v>4890</v>
      </c>
      <c r="Y1116" s="261">
        <v>6</v>
      </c>
      <c r="Z1116" s="261">
        <v>6</v>
      </c>
      <c r="AA1116" s="407" t="s">
        <v>1634</v>
      </c>
      <c r="AB1116" s="413" t="s">
        <v>2806</v>
      </c>
      <c r="AC1116" s="258"/>
      <c r="AD1116" s="258">
        <v>6</v>
      </c>
      <c r="AE1116" s="258">
        <v>0</v>
      </c>
      <c r="AF1116" s="259"/>
      <c r="AG1116" s="260"/>
      <c r="AH1116" s="259"/>
      <c r="AI1116" s="259"/>
      <c r="AJ1116" s="260"/>
      <c r="AK1116" s="259">
        <v>16</v>
      </c>
      <c r="AL1116" s="259"/>
      <c r="AM1116" s="259" t="s">
        <v>3690</v>
      </c>
      <c r="AN1116" s="449"/>
      <c r="AO1116" s="449"/>
      <c r="AP1116" s="449"/>
      <c r="AQ1116" s="392" t="str">
        <f>IFERROR(VLOOKUP(BG1116,#REF!,1,0),"")</f>
        <v/>
      </c>
      <c r="AS1116" s="259" t="s">
        <v>3236</v>
      </c>
      <c r="BD1116" s="202" t="str">
        <f t="shared" si="164"/>
        <v>Gladiator루비콘</v>
      </c>
      <c r="BE1116" s="261" t="str">
        <f t="shared" si="170"/>
        <v>0165</v>
      </c>
      <c r="BF1116" s="407" t="s">
        <v>1634</v>
      </c>
      <c r="BG1116" s="202" t="str">
        <f t="shared" si="165"/>
        <v>0165-1115</v>
      </c>
    </row>
    <row r="1117" spans="1:59">
      <c r="A1117" s="405">
        <v>4891</v>
      </c>
      <c r="B1117" s="406">
        <v>4891</v>
      </c>
      <c r="C1117" s="261" t="str">
        <f t="shared" si="166"/>
        <v>0019-0166</v>
      </c>
      <c r="D1117" s="261" t="str">
        <f t="shared" si="167"/>
        <v>0019-0166-0001</v>
      </c>
      <c r="E1117" s="407" t="s">
        <v>1635</v>
      </c>
      <c r="F1117" s="261" t="str">
        <f>TEXT(VLOOKUP(J1117,'[3]1'!$B$2:$D$37,2,0),"0000")</f>
        <v>0019</v>
      </c>
      <c r="G1117" s="261" t="str">
        <f t="shared" si="168"/>
        <v>0166</v>
      </c>
      <c r="H1117" s="408">
        <f t="shared" si="169"/>
        <v>1</v>
      </c>
      <c r="I1117" s="407" t="s">
        <v>1635</v>
      </c>
      <c r="J1117" s="258" t="s">
        <v>159</v>
      </c>
      <c r="K1117" s="258" t="s">
        <v>161</v>
      </c>
      <c r="L1117" s="258" t="s">
        <v>3794</v>
      </c>
      <c r="M1117" s="409">
        <v>79400000</v>
      </c>
      <c r="N1117" s="258">
        <v>3604</v>
      </c>
      <c r="O1117" s="258" t="s">
        <v>77</v>
      </c>
      <c r="P1117" s="258" t="s">
        <v>3781</v>
      </c>
      <c r="Q1117" s="258" t="s">
        <v>72</v>
      </c>
      <c r="R1117" s="258">
        <v>5</v>
      </c>
      <c r="S1117" s="410">
        <v>26</v>
      </c>
      <c r="T1117" s="261">
        <v>6</v>
      </c>
      <c r="U1117" s="261">
        <v>6</v>
      </c>
      <c r="V1117" s="258" t="s">
        <v>71</v>
      </c>
      <c r="W1117" s="261" t="str">
        <f t="shared" si="171"/>
        <v>JEEPGrand Cherokee L 써밋 리저브 3.679400000</v>
      </c>
      <c r="X1117" s="411">
        <f t="shared" si="172"/>
        <v>4891</v>
      </c>
      <c r="Y1117" s="261">
        <v>6</v>
      </c>
      <c r="Z1117" s="261">
        <v>6</v>
      </c>
      <c r="AA1117" s="407" t="s">
        <v>1635</v>
      </c>
      <c r="AB1117" s="258" t="s">
        <v>70</v>
      </c>
      <c r="AC1117" s="258"/>
      <c r="AD1117" s="258">
        <v>4</v>
      </c>
      <c r="AE1117" s="258">
        <v>0</v>
      </c>
      <c r="AF1117" s="259"/>
      <c r="AG1117" s="260"/>
      <c r="AH1117" s="259"/>
      <c r="AI1117" s="259"/>
      <c r="AJ1117" s="260"/>
      <c r="AK1117" s="259">
        <v>15</v>
      </c>
      <c r="AL1117" s="259"/>
      <c r="AM1117" s="259" t="s">
        <v>3725</v>
      </c>
      <c r="AN1117" s="449"/>
      <c r="AO1117" s="449"/>
      <c r="AP1117" s="449"/>
      <c r="AQ1117" s="392" t="str">
        <f>IFERROR(VLOOKUP(BG1117,#REF!,1,0),"")</f>
        <v/>
      </c>
      <c r="AS1117" s="259" t="s">
        <v>3229</v>
      </c>
      <c r="BD1117" s="202" t="str">
        <f t="shared" si="164"/>
        <v>Grand Cherokee L 써밋 리저브 3.6</v>
      </c>
      <c r="BE1117" s="261" t="str">
        <f t="shared" si="170"/>
        <v>0166</v>
      </c>
      <c r="BF1117" s="407" t="s">
        <v>1635</v>
      </c>
      <c r="BG1117" s="202" t="str">
        <f t="shared" si="165"/>
        <v>0166-1116</v>
      </c>
    </row>
    <row r="1118" spans="1:59">
      <c r="A1118" s="405">
        <v>4892</v>
      </c>
      <c r="B1118" s="406">
        <v>4892</v>
      </c>
      <c r="C1118" s="261" t="str">
        <f t="shared" si="166"/>
        <v>0019-0166</v>
      </c>
      <c r="D1118" s="261" t="str">
        <f t="shared" si="167"/>
        <v>0019-0166-0002</v>
      </c>
      <c r="E1118" s="407" t="s">
        <v>1636</v>
      </c>
      <c r="F1118" s="261" t="str">
        <f>TEXT(VLOOKUP(J1118,'[3]1'!$B$2:$D$37,2,0),"0000")</f>
        <v>0019</v>
      </c>
      <c r="G1118" s="261" t="str">
        <f t="shared" si="168"/>
        <v>0166</v>
      </c>
      <c r="H1118" s="408">
        <f t="shared" si="169"/>
        <v>2</v>
      </c>
      <c r="I1118" s="407" t="s">
        <v>1636</v>
      </c>
      <c r="J1118" s="258" t="s">
        <v>159</v>
      </c>
      <c r="K1118" s="258" t="s">
        <v>161</v>
      </c>
      <c r="L1118" s="258" t="s">
        <v>3795</v>
      </c>
      <c r="M1118" s="409">
        <v>72400000</v>
      </c>
      <c r="N1118" s="258">
        <v>3604</v>
      </c>
      <c r="O1118" s="258" t="s">
        <v>77</v>
      </c>
      <c r="P1118" s="258" t="s">
        <v>3781</v>
      </c>
      <c r="Q1118" s="258" t="s">
        <v>72</v>
      </c>
      <c r="R1118" s="258">
        <v>5</v>
      </c>
      <c r="S1118" s="410">
        <v>26</v>
      </c>
      <c r="T1118" s="261">
        <v>6</v>
      </c>
      <c r="U1118" s="261">
        <v>6</v>
      </c>
      <c r="V1118" s="258" t="s">
        <v>71</v>
      </c>
      <c r="W1118" s="261" t="str">
        <f t="shared" si="171"/>
        <v>JEEPGrand Cherokee L 오버랜드 3.672400000</v>
      </c>
      <c r="X1118" s="411">
        <f t="shared" si="172"/>
        <v>4892</v>
      </c>
      <c r="Y1118" s="261">
        <v>6</v>
      </c>
      <c r="Z1118" s="261">
        <v>6</v>
      </c>
      <c r="AA1118" s="407" t="s">
        <v>1636</v>
      </c>
      <c r="AB1118" s="258" t="s">
        <v>70</v>
      </c>
      <c r="AC1118" s="258"/>
      <c r="AD1118" s="258">
        <v>4</v>
      </c>
      <c r="AE1118" s="258">
        <v>0</v>
      </c>
      <c r="AF1118" s="259"/>
      <c r="AG1118" s="260"/>
      <c r="AH1118" s="259"/>
      <c r="AI1118" s="259"/>
      <c r="AJ1118" s="260"/>
      <c r="AK1118" s="259">
        <v>15</v>
      </c>
      <c r="AL1118" s="259"/>
      <c r="AM1118" s="259" t="s">
        <v>3725</v>
      </c>
      <c r="AN1118" s="449"/>
      <c r="AO1118" s="449"/>
      <c r="AP1118" s="449"/>
      <c r="AQ1118" s="392" t="str">
        <f>IFERROR(VLOOKUP(BG1118,#REF!,1,0),"")</f>
        <v/>
      </c>
      <c r="AS1118" s="259" t="s">
        <v>3229</v>
      </c>
      <c r="BD1118" s="202" t="str">
        <f t="shared" si="164"/>
        <v>Grand Cherokee L 오버랜드 3.6</v>
      </c>
      <c r="BE1118" s="261" t="str">
        <f t="shared" si="170"/>
        <v>0166</v>
      </c>
      <c r="BF1118" s="407" t="s">
        <v>1636</v>
      </c>
      <c r="BG1118" s="202" t="str">
        <f t="shared" si="165"/>
        <v>0166-1117</v>
      </c>
    </row>
    <row r="1119" spans="1:59">
      <c r="A1119" s="405">
        <v>4893</v>
      </c>
      <c r="B1119" s="406">
        <v>4893</v>
      </c>
      <c r="C1119" s="261" t="str">
        <f t="shared" si="166"/>
        <v>0019-0166</v>
      </c>
      <c r="D1119" s="261" t="str">
        <f t="shared" si="167"/>
        <v>0019-0166-0003</v>
      </c>
      <c r="E1119" s="407" t="s">
        <v>1637</v>
      </c>
      <c r="F1119" s="261" t="str">
        <f>TEXT(VLOOKUP(J1119,'[3]1'!$B$2:$D$37,2,0),"0000")</f>
        <v>0019</v>
      </c>
      <c r="G1119" s="261" t="str">
        <f t="shared" si="168"/>
        <v>0166</v>
      </c>
      <c r="H1119" s="408">
        <f t="shared" si="169"/>
        <v>3</v>
      </c>
      <c r="I1119" s="407" t="s">
        <v>1637</v>
      </c>
      <c r="J1119" s="258" t="s">
        <v>159</v>
      </c>
      <c r="K1119" s="258" t="s">
        <v>161</v>
      </c>
      <c r="L1119" s="258" t="s">
        <v>3802</v>
      </c>
      <c r="M1119" s="409">
        <v>83400000</v>
      </c>
      <c r="N1119" s="258">
        <v>3604</v>
      </c>
      <c r="O1119" s="258" t="s">
        <v>77</v>
      </c>
      <c r="P1119" s="258" t="s">
        <v>3781</v>
      </c>
      <c r="Q1119" s="258" t="s">
        <v>72</v>
      </c>
      <c r="R1119" s="258">
        <v>5</v>
      </c>
      <c r="S1119" s="410">
        <v>26</v>
      </c>
      <c r="T1119" s="261">
        <v>6</v>
      </c>
      <c r="U1119" s="261">
        <v>6</v>
      </c>
      <c r="V1119" s="258" t="s">
        <v>71</v>
      </c>
      <c r="W1119" s="261" t="str">
        <f t="shared" si="171"/>
        <v>JEEPGrand Cherokee 리미티드 3.683400000</v>
      </c>
      <c r="X1119" s="411">
        <f t="shared" si="172"/>
        <v>4893</v>
      </c>
      <c r="Y1119" s="261">
        <v>6</v>
      </c>
      <c r="Z1119" s="261">
        <v>6</v>
      </c>
      <c r="AA1119" s="407" t="s">
        <v>1637</v>
      </c>
      <c r="AB1119" s="258" t="s">
        <v>70</v>
      </c>
      <c r="AC1119" s="258"/>
      <c r="AD1119" s="258">
        <v>4</v>
      </c>
      <c r="AE1119" s="258">
        <v>0</v>
      </c>
      <c r="AF1119" s="259"/>
      <c r="AG1119" s="260"/>
      <c r="AH1119" s="259"/>
      <c r="AI1119" s="259"/>
      <c r="AJ1119" s="260"/>
      <c r="AK1119" s="259">
        <v>15</v>
      </c>
      <c r="AL1119" s="259"/>
      <c r="AM1119" s="259" t="s">
        <v>3725</v>
      </c>
      <c r="AN1119" s="449"/>
      <c r="AO1119" s="449"/>
      <c r="AP1119" s="449"/>
      <c r="AQ1119" s="392" t="str">
        <f>IFERROR(VLOOKUP(BG1119,#REF!,1,0),"")</f>
        <v/>
      </c>
      <c r="AS1119" s="259" t="s">
        <v>3229</v>
      </c>
      <c r="BD1119" s="202" t="str">
        <f t="shared" si="164"/>
        <v>Grand Cherokee 리미티드 3.6</v>
      </c>
      <c r="BE1119" s="261" t="str">
        <f t="shared" si="170"/>
        <v>0166</v>
      </c>
      <c r="BF1119" s="407" t="s">
        <v>1637</v>
      </c>
      <c r="BG1119" s="202" t="str">
        <f t="shared" si="165"/>
        <v>0166-1118</v>
      </c>
    </row>
    <row r="1120" spans="1:59">
      <c r="A1120" s="405">
        <v>4894</v>
      </c>
      <c r="B1120" s="406">
        <v>4894</v>
      </c>
      <c r="C1120" s="261" t="str">
        <f t="shared" si="166"/>
        <v>0019-0166</v>
      </c>
      <c r="D1120" s="261" t="str">
        <f t="shared" si="167"/>
        <v>0019-0166-0004</v>
      </c>
      <c r="E1120" s="407" t="s">
        <v>1638</v>
      </c>
      <c r="F1120" s="261" t="str">
        <f>TEXT(VLOOKUP(J1120,'[3]1'!$B$2:$D$37,2,0),"0000")</f>
        <v>0019</v>
      </c>
      <c r="G1120" s="261" t="str">
        <f t="shared" si="168"/>
        <v>0166</v>
      </c>
      <c r="H1120" s="408">
        <f t="shared" si="169"/>
        <v>4</v>
      </c>
      <c r="I1120" s="407" t="s">
        <v>1638</v>
      </c>
      <c r="J1120" s="258" t="s">
        <v>159</v>
      </c>
      <c r="K1120" s="258" t="s">
        <v>161</v>
      </c>
      <c r="L1120" s="258" t="s">
        <v>3796</v>
      </c>
      <c r="M1120" s="409">
        <v>61900000</v>
      </c>
      <c r="N1120" s="258">
        <v>1995</v>
      </c>
      <c r="O1120" s="258" t="s">
        <v>3801</v>
      </c>
      <c r="P1120" s="258" t="s">
        <v>3781</v>
      </c>
      <c r="Q1120" s="258" t="s">
        <v>72</v>
      </c>
      <c r="R1120" s="258">
        <v>5</v>
      </c>
      <c r="S1120" s="410">
        <v>26</v>
      </c>
      <c r="T1120" s="261">
        <v>6</v>
      </c>
      <c r="U1120" s="261">
        <v>6</v>
      </c>
      <c r="V1120" s="258" t="s">
        <v>71</v>
      </c>
      <c r="W1120" s="261" t="str">
        <f t="shared" si="171"/>
        <v>JEEPGrand Cherokee 리미티드 4xe61900000</v>
      </c>
      <c r="X1120" s="411">
        <f t="shared" si="172"/>
        <v>4894</v>
      </c>
      <c r="Y1120" s="261">
        <v>6</v>
      </c>
      <c r="Z1120" s="261">
        <v>6</v>
      </c>
      <c r="AA1120" s="407" t="s">
        <v>1638</v>
      </c>
      <c r="AB1120" s="258" t="s">
        <v>70</v>
      </c>
      <c r="AC1120" s="258"/>
      <c r="AD1120" s="258">
        <v>4</v>
      </c>
      <c r="AE1120" s="258">
        <v>0</v>
      </c>
      <c r="AF1120" s="259"/>
      <c r="AG1120" s="260"/>
      <c r="AH1120" s="259"/>
      <c r="AI1120" s="259"/>
      <c r="AJ1120" s="260"/>
      <c r="AK1120" s="259">
        <v>15</v>
      </c>
      <c r="AL1120" s="259"/>
      <c r="AM1120" s="259" t="s">
        <v>3725</v>
      </c>
      <c r="AN1120" s="449"/>
      <c r="AO1120" s="449"/>
      <c r="AP1120" s="449"/>
      <c r="AQ1120" s="392" t="str">
        <f>IFERROR(VLOOKUP(BG1120,#REF!,1,0),"")</f>
        <v/>
      </c>
      <c r="AS1120" s="259" t="s">
        <v>3229</v>
      </c>
      <c r="BD1120" s="202" t="str">
        <f t="shared" si="164"/>
        <v>Grand Cherokee 리미티드 4xe</v>
      </c>
      <c r="BE1120" s="261" t="str">
        <f t="shared" si="170"/>
        <v>0166</v>
      </c>
      <c r="BF1120" s="407" t="s">
        <v>1638</v>
      </c>
      <c r="BG1120" s="202" t="str">
        <f t="shared" si="165"/>
        <v>0166-1119</v>
      </c>
    </row>
    <row r="1121" spans="1:59">
      <c r="A1121" s="405">
        <v>4895</v>
      </c>
      <c r="B1121" s="406">
        <v>4895</v>
      </c>
      <c r="C1121" s="261" t="str">
        <f t="shared" si="166"/>
        <v>0019-0166</v>
      </c>
      <c r="D1121" s="261" t="str">
        <f t="shared" si="167"/>
        <v>0019-0166-0005</v>
      </c>
      <c r="E1121" s="407" t="s">
        <v>1639</v>
      </c>
      <c r="F1121" s="261" t="str">
        <f>TEXT(VLOOKUP(J1121,'[3]1'!$B$2:$D$37,2,0),"0000")</f>
        <v>0019</v>
      </c>
      <c r="G1121" s="261" t="str">
        <f t="shared" si="168"/>
        <v>0166</v>
      </c>
      <c r="H1121" s="408">
        <f t="shared" si="169"/>
        <v>5</v>
      </c>
      <c r="I1121" s="407" t="s">
        <v>1639</v>
      </c>
      <c r="J1121" s="258" t="s">
        <v>159</v>
      </c>
      <c r="K1121" s="258" t="s">
        <v>161</v>
      </c>
      <c r="L1121" s="258" t="s">
        <v>3797</v>
      </c>
      <c r="M1121" s="409">
        <v>70400000</v>
      </c>
      <c r="N1121" s="258">
        <v>1995</v>
      </c>
      <c r="O1121" s="258" t="s">
        <v>3801</v>
      </c>
      <c r="P1121" s="258" t="s">
        <v>3781</v>
      </c>
      <c r="Q1121" s="258" t="s">
        <v>72</v>
      </c>
      <c r="R1121" s="258">
        <v>5</v>
      </c>
      <c r="S1121" s="410">
        <v>26</v>
      </c>
      <c r="T1121" s="261">
        <v>6</v>
      </c>
      <c r="U1121" s="261">
        <v>6</v>
      </c>
      <c r="V1121" s="258" t="s">
        <v>71</v>
      </c>
      <c r="W1121" s="261" t="str">
        <f t="shared" si="171"/>
        <v>JEEPGrand Cherokee 써밋 리저브 4xe70400000</v>
      </c>
      <c r="X1121" s="411">
        <f t="shared" si="172"/>
        <v>4895</v>
      </c>
      <c r="Y1121" s="261">
        <v>6</v>
      </c>
      <c r="Z1121" s="261">
        <v>6</v>
      </c>
      <c r="AA1121" s="407" t="s">
        <v>1639</v>
      </c>
      <c r="AB1121" s="258" t="s">
        <v>70</v>
      </c>
      <c r="AC1121" s="258"/>
      <c r="AD1121" s="258">
        <v>4</v>
      </c>
      <c r="AE1121" s="258">
        <v>0</v>
      </c>
      <c r="AF1121" s="259"/>
      <c r="AG1121" s="260"/>
      <c r="AH1121" s="259"/>
      <c r="AI1121" s="259"/>
      <c r="AJ1121" s="260"/>
      <c r="AK1121" s="259">
        <v>15</v>
      </c>
      <c r="AL1121" s="259"/>
      <c r="AM1121" s="259" t="s">
        <v>3725</v>
      </c>
      <c r="AN1121" s="449"/>
      <c r="AO1121" s="449"/>
      <c r="AP1121" s="449"/>
      <c r="AQ1121" s="392" t="str">
        <f>IFERROR(VLOOKUP(BG1121,#REF!,1,0),"")</f>
        <v/>
      </c>
      <c r="AS1121" s="259" t="s">
        <v>3229</v>
      </c>
      <c r="BD1121" s="202" t="str">
        <f t="shared" si="164"/>
        <v>Grand Cherokee 써밋 리저브 4xe</v>
      </c>
      <c r="BE1121" s="261" t="str">
        <f t="shared" si="170"/>
        <v>0166</v>
      </c>
      <c r="BF1121" s="407" t="s">
        <v>1639</v>
      </c>
      <c r="BG1121" s="202" t="str">
        <f t="shared" si="165"/>
        <v>0166-1120</v>
      </c>
    </row>
    <row r="1122" spans="1:59">
      <c r="A1122" s="405">
        <v>4896</v>
      </c>
      <c r="B1122" s="406">
        <v>4896</v>
      </c>
      <c r="C1122" s="261" t="str">
        <f t="shared" si="166"/>
        <v>0019-0166</v>
      </c>
      <c r="D1122" s="261" t="str">
        <f t="shared" si="167"/>
        <v>0019-0166-0006</v>
      </c>
      <c r="E1122" s="407" t="s">
        <v>1640</v>
      </c>
      <c r="F1122" s="261" t="str">
        <f>TEXT(VLOOKUP(J1122,'[3]1'!$B$2:$D$37,2,0),"0000")</f>
        <v>0019</v>
      </c>
      <c r="G1122" s="261" t="str">
        <f t="shared" si="168"/>
        <v>0166</v>
      </c>
      <c r="H1122" s="408">
        <f t="shared" si="169"/>
        <v>6</v>
      </c>
      <c r="I1122" s="407" t="s">
        <v>1640</v>
      </c>
      <c r="J1122" s="258" t="s">
        <v>3175</v>
      </c>
      <c r="K1122" s="258" t="s">
        <v>161</v>
      </c>
      <c r="L1122" s="258" t="s">
        <v>3798</v>
      </c>
      <c r="M1122" s="409">
        <v>74400000</v>
      </c>
      <c r="N1122" s="258">
        <v>3604</v>
      </c>
      <c r="O1122" s="258" t="s">
        <v>77</v>
      </c>
      <c r="P1122" s="258" t="s">
        <v>3781</v>
      </c>
      <c r="Q1122" s="258" t="s">
        <v>72</v>
      </c>
      <c r="R1122" s="258">
        <v>5</v>
      </c>
      <c r="S1122" s="410">
        <v>26</v>
      </c>
      <c r="T1122" s="261">
        <v>6</v>
      </c>
      <c r="U1122" s="261">
        <v>6</v>
      </c>
      <c r="V1122" s="258" t="s">
        <v>71</v>
      </c>
      <c r="W1122" s="261" t="str">
        <f t="shared" si="171"/>
        <v>JEEPGrand Cherokee 오버랜드74400000</v>
      </c>
      <c r="X1122" s="411">
        <f t="shared" si="172"/>
        <v>4896</v>
      </c>
      <c r="Y1122" s="261">
        <v>6</v>
      </c>
      <c r="Z1122" s="261">
        <v>6</v>
      </c>
      <c r="AA1122" s="407" t="s">
        <v>1640</v>
      </c>
      <c r="AB1122" s="258" t="s">
        <v>70</v>
      </c>
      <c r="AC1122" s="258"/>
      <c r="AD1122" s="258"/>
      <c r="AE1122" s="258"/>
      <c r="AF1122" s="259"/>
      <c r="AG1122" s="260"/>
      <c r="AH1122" s="259"/>
      <c r="AI1122" s="259"/>
      <c r="AJ1122" s="260"/>
      <c r="AK1122" s="259">
        <v>15</v>
      </c>
      <c r="AL1122" s="259"/>
      <c r="AM1122" s="259" t="s">
        <v>3725</v>
      </c>
      <c r="AN1122" s="449"/>
      <c r="AO1122" s="449"/>
      <c r="AP1122" s="449"/>
      <c r="AQ1122" s="392" t="str">
        <f>IFERROR(VLOOKUP(BG1122,#REF!,1,0),"")</f>
        <v/>
      </c>
      <c r="AS1122" s="259" t="s">
        <v>3229</v>
      </c>
      <c r="AT1122" s="392" t="s">
        <v>3171</v>
      </c>
      <c r="BD1122" s="202" t="str">
        <f t="shared" si="164"/>
        <v>Grand Cherokee 오버랜드</v>
      </c>
      <c r="BE1122" s="261" t="str">
        <f t="shared" si="170"/>
        <v>0166</v>
      </c>
      <c r="BF1122" s="407" t="s">
        <v>1640</v>
      </c>
      <c r="BG1122" s="202" t="str">
        <f t="shared" si="165"/>
        <v>0166-1121</v>
      </c>
    </row>
    <row r="1123" spans="1:59">
      <c r="A1123" s="405">
        <v>4897</v>
      </c>
      <c r="B1123" s="406">
        <v>4897</v>
      </c>
      <c r="C1123" s="261" t="str">
        <f t="shared" si="166"/>
        <v>0019-0167</v>
      </c>
      <c r="D1123" s="261" t="str">
        <f t="shared" si="167"/>
        <v>0019-0167-0001</v>
      </c>
      <c r="E1123" s="407" t="s">
        <v>1641</v>
      </c>
      <c r="F1123" s="261" t="str">
        <f>TEXT(VLOOKUP(J1123,'[3]1'!$B$2:$D$37,2,0),"0000")</f>
        <v>0019</v>
      </c>
      <c r="G1123" s="261" t="str">
        <f t="shared" si="168"/>
        <v>0167</v>
      </c>
      <c r="H1123" s="408">
        <f t="shared" si="169"/>
        <v>1</v>
      </c>
      <c r="I1123" s="407" t="s">
        <v>1641</v>
      </c>
      <c r="J1123" s="258" t="s">
        <v>159</v>
      </c>
      <c r="K1123" s="258" t="s">
        <v>160</v>
      </c>
      <c r="L1123" s="258" t="s">
        <v>3799</v>
      </c>
      <c r="M1123" s="409">
        <v>43400000</v>
      </c>
      <c r="N1123" s="258">
        <v>1332</v>
      </c>
      <c r="O1123" s="258" t="s">
        <v>3800</v>
      </c>
      <c r="P1123" s="258" t="s">
        <v>3781</v>
      </c>
      <c r="Q1123" s="258" t="s">
        <v>72</v>
      </c>
      <c r="R1123" s="258">
        <v>5</v>
      </c>
      <c r="S1123" s="410">
        <v>26</v>
      </c>
      <c r="T1123" s="261">
        <v>6</v>
      </c>
      <c r="U1123" s="261">
        <v>6</v>
      </c>
      <c r="V1123" s="258" t="s">
        <v>71</v>
      </c>
      <c r="W1123" s="261" t="str">
        <f t="shared" si="171"/>
        <v>JEEPRenegade리미티드 1.3 FWD43400000</v>
      </c>
      <c r="X1123" s="411">
        <f t="shared" si="172"/>
        <v>4897</v>
      </c>
      <c r="Y1123" s="261">
        <v>6</v>
      </c>
      <c r="Z1123" s="261">
        <v>6</v>
      </c>
      <c r="AA1123" s="407" t="s">
        <v>1641</v>
      </c>
      <c r="AB1123" s="258" t="s">
        <v>70</v>
      </c>
      <c r="AC1123" s="258"/>
      <c r="AD1123" s="258">
        <v>3</v>
      </c>
      <c r="AE1123" s="258">
        <v>1</v>
      </c>
      <c r="AF1123" s="259"/>
      <c r="AG1123" s="260"/>
      <c r="AH1123" s="259"/>
      <c r="AI1123" s="259"/>
      <c r="AJ1123" s="260"/>
      <c r="AK1123" s="259">
        <v>15</v>
      </c>
      <c r="AL1123" s="259"/>
      <c r="AM1123" s="259" t="s">
        <v>3725</v>
      </c>
      <c r="AN1123" s="449"/>
      <c r="AO1123" s="449"/>
      <c r="AP1123" s="449"/>
      <c r="AQ1123" s="392" t="str">
        <f>IFERROR(VLOOKUP(BG1123,#REF!,1,0),"")</f>
        <v/>
      </c>
      <c r="AS1123" s="259" t="s">
        <v>3228</v>
      </c>
      <c r="BD1123" s="202" t="str">
        <f t="shared" si="164"/>
        <v>Renegade리미티드 1.3 FWD</v>
      </c>
      <c r="BE1123" s="261" t="str">
        <f t="shared" si="170"/>
        <v>0167</v>
      </c>
      <c r="BF1123" s="407" t="s">
        <v>1641</v>
      </c>
      <c r="BG1123" s="202" t="str">
        <f t="shared" si="165"/>
        <v>0167-1122</v>
      </c>
    </row>
    <row r="1124" spans="1:59">
      <c r="A1124" s="405">
        <v>4898</v>
      </c>
      <c r="B1124" s="406">
        <v>4898</v>
      </c>
      <c r="C1124" s="261" t="str">
        <f t="shared" si="166"/>
        <v>0019-0168</v>
      </c>
      <c r="D1124" s="261" t="str">
        <f t="shared" si="167"/>
        <v>0019-0168-0001</v>
      </c>
      <c r="E1124" s="407" t="s">
        <v>1642</v>
      </c>
      <c r="F1124" s="261" t="str">
        <f>TEXT(VLOOKUP(J1124,'[3]1'!$B$2:$D$37,2,0),"0000")</f>
        <v>0019</v>
      </c>
      <c r="G1124" s="261" t="str">
        <f t="shared" si="168"/>
        <v>0168</v>
      </c>
      <c r="H1124" s="408">
        <f t="shared" si="169"/>
        <v>1</v>
      </c>
      <c r="I1124" s="407" t="s">
        <v>1642</v>
      </c>
      <c r="J1124" s="258" t="s">
        <v>159</v>
      </c>
      <c r="K1124" s="258" t="s">
        <v>158</v>
      </c>
      <c r="L1124" s="258" t="s">
        <v>3810</v>
      </c>
      <c r="M1124" s="409">
        <v>56900000</v>
      </c>
      <c r="N1124" s="258">
        <v>1995</v>
      </c>
      <c r="O1124" s="258" t="s">
        <v>77</v>
      </c>
      <c r="P1124" s="258" t="s">
        <v>3781</v>
      </c>
      <c r="Q1124" s="258" t="s">
        <v>72</v>
      </c>
      <c r="R1124" s="258">
        <v>5</v>
      </c>
      <c r="S1124" s="410">
        <v>26</v>
      </c>
      <c r="T1124" s="261">
        <v>6</v>
      </c>
      <c r="U1124" s="261">
        <v>6</v>
      </c>
      <c r="V1124" s="258" t="s">
        <v>71</v>
      </c>
      <c r="W1124" s="261" t="str">
        <f t="shared" si="171"/>
        <v>JEEPWrangler스포츠 S 4도어 하드탑56900000</v>
      </c>
      <c r="X1124" s="411">
        <f t="shared" si="172"/>
        <v>4898</v>
      </c>
      <c r="Y1124" s="261">
        <v>6</v>
      </c>
      <c r="Z1124" s="261">
        <v>6</v>
      </c>
      <c r="AA1124" s="407" t="s">
        <v>1642</v>
      </c>
      <c r="AB1124" s="258" t="s">
        <v>70</v>
      </c>
      <c r="AC1124" s="258"/>
      <c r="AD1124" s="258">
        <v>2</v>
      </c>
      <c r="AE1124" s="258">
        <v>0</v>
      </c>
      <c r="AF1124" s="259"/>
      <c r="AG1124" s="260"/>
      <c r="AH1124" s="259"/>
      <c r="AI1124" s="259"/>
      <c r="AJ1124" s="260"/>
      <c r="AK1124" s="259">
        <v>13</v>
      </c>
      <c r="AL1124" s="259"/>
      <c r="AM1124" s="259" t="s">
        <v>3780</v>
      </c>
      <c r="AN1124" s="449"/>
      <c r="AO1124" s="449"/>
      <c r="AP1124" s="449"/>
      <c r="AQ1124" s="392" t="str">
        <f>IFERROR(VLOOKUP(BG1124,#REF!,1,0),"")</f>
        <v/>
      </c>
      <c r="AS1124" s="259" t="s">
        <v>3229</v>
      </c>
      <c r="BD1124" s="202" t="str">
        <f t="shared" si="164"/>
        <v>Wrangler스포츠 S 4도어 하드탑</v>
      </c>
      <c r="BE1124" s="261" t="str">
        <f t="shared" si="170"/>
        <v>0168</v>
      </c>
      <c r="BF1124" s="407" t="s">
        <v>1642</v>
      </c>
      <c r="BG1124" s="202" t="str">
        <f t="shared" si="165"/>
        <v>0168-1123</v>
      </c>
    </row>
    <row r="1125" spans="1:59">
      <c r="A1125" s="405">
        <v>4899</v>
      </c>
      <c r="B1125" s="406">
        <v>4899</v>
      </c>
      <c r="C1125" s="261" t="str">
        <f t="shared" si="166"/>
        <v>0019-0168</v>
      </c>
      <c r="D1125" s="261" t="str">
        <f t="shared" si="167"/>
        <v>0019-0168-0002</v>
      </c>
      <c r="E1125" s="407" t="s">
        <v>1643</v>
      </c>
      <c r="F1125" s="261" t="str">
        <f>TEXT(VLOOKUP(J1125,'[3]1'!$B$2:$D$37,2,0),"0000")</f>
        <v>0019</v>
      </c>
      <c r="G1125" s="261" t="str">
        <f t="shared" si="168"/>
        <v>0168</v>
      </c>
      <c r="H1125" s="408">
        <f t="shared" si="169"/>
        <v>2</v>
      </c>
      <c r="I1125" s="407" t="s">
        <v>1643</v>
      </c>
      <c r="J1125" s="258" t="s">
        <v>159</v>
      </c>
      <c r="K1125" s="258" t="s">
        <v>158</v>
      </c>
      <c r="L1125" s="258" t="s">
        <v>3803</v>
      </c>
      <c r="M1125" s="409">
        <v>39900000</v>
      </c>
      <c r="N1125" s="258">
        <v>1995</v>
      </c>
      <c r="O1125" s="258" t="s">
        <v>77</v>
      </c>
      <c r="P1125" s="258" t="s">
        <v>3781</v>
      </c>
      <c r="Q1125" s="258" t="s">
        <v>72</v>
      </c>
      <c r="R1125" s="258">
        <v>5</v>
      </c>
      <c r="S1125" s="410">
        <v>26</v>
      </c>
      <c r="T1125" s="261">
        <v>6</v>
      </c>
      <c r="U1125" s="261">
        <v>6</v>
      </c>
      <c r="V1125" s="258" t="s">
        <v>71</v>
      </c>
      <c r="W1125" s="261" t="str">
        <f t="shared" si="171"/>
        <v>JEEPWrangler루비콘 2도어39900000</v>
      </c>
      <c r="X1125" s="411">
        <f t="shared" si="172"/>
        <v>4899</v>
      </c>
      <c r="Y1125" s="261">
        <v>6</v>
      </c>
      <c r="Z1125" s="261">
        <v>6</v>
      </c>
      <c r="AA1125" s="407" t="s">
        <v>1643</v>
      </c>
      <c r="AB1125" s="258" t="s">
        <v>70</v>
      </c>
      <c r="AC1125" s="258"/>
      <c r="AD1125" s="258">
        <v>2</v>
      </c>
      <c r="AE1125" s="258">
        <v>0</v>
      </c>
      <c r="AF1125" s="259"/>
      <c r="AG1125" s="260"/>
      <c r="AH1125" s="259"/>
      <c r="AI1125" s="259"/>
      <c r="AJ1125" s="260"/>
      <c r="AK1125" s="259">
        <v>13</v>
      </c>
      <c r="AL1125" s="259"/>
      <c r="AM1125" s="259" t="s">
        <v>3780</v>
      </c>
      <c r="AN1125" s="449"/>
      <c r="AO1125" s="449"/>
      <c r="AP1125" s="449"/>
      <c r="AQ1125" s="392" t="str">
        <f>IFERROR(VLOOKUP(BG1125,#REF!,1,0),"")</f>
        <v/>
      </c>
      <c r="AS1125" s="259" t="s">
        <v>3229</v>
      </c>
      <c r="BD1125" s="202" t="str">
        <f t="shared" si="164"/>
        <v>Wrangler루비콘 2도어</v>
      </c>
      <c r="BE1125" s="261" t="str">
        <f t="shared" si="170"/>
        <v>0168</v>
      </c>
      <c r="BF1125" s="407" t="s">
        <v>1643</v>
      </c>
      <c r="BG1125" s="202" t="str">
        <f t="shared" si="165"/>
        <v>0168-1124</v>
      </c>
    </row>
    <row r="1126" spans="1:59">
      <c r="A1126" s="405">
        <v>4900</v>
      </c>
      <c r="B1126" s="406">
        <v>4900</v>
      </c>
      <c r="C1126" s="261" t="str">
        <f t="shared" si="166"/>
        <v>0019-0168</v>
      </c>
      <c r="D1126" s="261" t="str">
        <f t="shared" si="167"/>
        <v>0019-0168-0003</v>
      </c>
      <c r="E1126" s="407" t="s">
        <v>1644</v>
      </c>
      <c r="F1126" s="261" t="str">
        <f>TEXT(VLOOKUP(J1126,'[3]1'!$B$2:$D$37,2,0),"0000")</f>
        <v>0019</v>
      </c>
      <c r="G1126" s="261" t="str">
        <f t="shared" si="168"/>
        <v>0168</v>
      </c>
      <c r="H1126" s="408">
        <f t="shared" si="169"/>
        <v>3</v>
      </c>
      <c r="I1126" s="407" t="s">
        <v>1644</v>
      </c>
      <c r="J1126" s="258" t="s">
        <v>159</v>
      </c>
      <c r="K1126" s="258" t="s">
        <v>158</v>
      </c>
      <c r="L1126" s="258" t="s">
        <v>3804</v>
      </c>
      <c r="M1126" s="409">
        <v>59900000</v>
      </c>
      <c r="N1126" s="258">
        <v>1995</v>
      </c>
      <c r="O1126" s="258" t="s">
        <v>77</v>
      </c>
      <c r="P1126" s="258" t="s">
        <v>3781</v>
      </c>
      <c r="Q1126" s="258" t="s">
        <v>72</v>
      </c>
      <c r="R1126" s="258">
        <v>5</v>
      </c>
      <c r="S1126" s="410">
        <v>26</v>
      </c>
      <c r="T1126" s="261">
        <v>6</v>
      </c>
      <c r="U1126" s="261">
        <v>6</v>
      </c>
      <c r="V1126" s="258" t="s">
        <v>71</v>
      </c>
      <c r="W1126" s="261" t="str">
        <f t="shared" si="171"/>
        <v>JEEPWrangler사하라 4도어 파워탑59900000</v>
      </c>
      <c r="X1126" s="411">
        <f t="shared" si="172"/>
        <v>4900</v>
      </c>
      <c r="Y1126" s="261">
        <v>6</v>
      </c>
      <c r="Z1126" s="261">
        <v>6</v>
      </c>
      <c r="AA1126" s="407" t="s">
        <v>1644</v>
      </c>
      <c r="AB1126" s="258" t="s">
        <v>70</v>
      </c>
      <c r="AC1126" s="258"/>
      <c r="AD1126" s="258">
        <v>2</v>
      </c>
      <c r="AE1126" s="258">
        <v>0</v>
      </c>
      <c r="AF1126" s="259"/>
      <c r="AG1126" s="260"/>
      <c r="AH1126" s="259"/>
      <c r="AI1126" s="259"/>
      <c r="AJ1126" s="260"/>
      <c r="AK1126" s="259">
        <v>13</v>
      </c>
      <c r="AL1126" s="259"/>
      <c r="AM1126" s="259" t="s">
        <v>3780</v>
      </c>
      <c r="AN1126" s="449"/>
      <c r="AO1126" s="449"/>
      <c r="AP1126" s="449"/>
      <c r="AQ1126" s="392" t="str">
        <f>IFERROR(VLOOKUP(BG1126,#REF!,1,0),"")</f>
        <v/>
      </c>
      <c r="AS1126" s="259" t="s">
        <v>3229</v>
      </c>
      <c r="BD1126" s="202" t="str">
        <f t="shared" si="164"/>
        <v>Wrangler사하라 4도어 파워탑</v>
      </c>
      <c r="BE1126" s="261" t="str">
        <f t="shared" si="170"/>
        <v>0168</v>
      </c>
      <c r="BF1126" s="407" t="s">
        <v>1644</v>
      </c>
      <c r="BG1126" s="202" t="str">
        <f t="shared" si="165"/>
        <v>0168-1125</v>
      </c>
    </row>
    <row r="1127" spans="1:59">
      <c r="A1127" s="405">
        <v>4901</v>
      </c>
      <c r="B1127" s="406">
        <v>4901</v>
      </c>
      <c r="C1127" s="261" t="str">
        <f t="shared" si="166"/>
        <v>0019-0168</v>
      </c>
      <c r="D1127" s="261" t="str">
        <f t="shared" si="167"/>
        <v>0019-0168-0004</v>
      </c>
      <c r="E1127" s="407" t="s">
        <v>1645</v>
      </c>
      <c r="F1127" s="261" t="str">
        <f>TEXT(VLOOKUP(J1127,'[3]1'!$B$2:$D$37,2,0),"0000")</f>
        <v>0019</v>
      </c>
      <c r="G1127" s="261" t="str">
        <f t="shared" si="168"/>
        <v>0168</v>
      </c>
      <c r="H1127" s="408">
        <f t="shared" si="169"/>
        <v>4</v>
      </c>
      <c r="I1127" s="407" t="s">
        <v>1645</v>
      </c>
      <c r="J1127" s="258" t="s">
        <v>159</v>
      </c>
      <c r="K1127" s="258" t="s">
        <v>158</v>
      </c>
      <c r="L1127" s="258" t="s">
        <v>3805</v>
      </c>
      <c r="M1127" s="409">
        <v>61400000</v>
      </c>
      <c r="N1127" s="258">
        <v>1995</v>
      </c>
      <c r="O1127" s="258" t="s">
        <v>77</v>
      </c>
      <c r="P1127" s="258" t="s">
        <v>3781</v>
      </c>
      <c r="Q1127" s="258" t="s">
        <v>72</v>
      </c>
      <c r="R1127" s="258">
        <v>5</v>
      </c>
      <c r="S1127" s="410">
        <v>26</v>
      </c>
      <c r="T1127" s="261">
        <v>6</v>
      </c>
      <c r="U1127" s="261">
        <v>6</v>
      </c>
      <c r="V1127" s="258" t="s">
        <v>71</v>
      </c>
      <c r="W1127" s="261" t="str">
        <f t="shared" si="171"/>
        <v>JEEPWrangler사하라 4도어 하드탑61400000</v>
      </c>
      <c r="X1127" s="411">
        <f t="shared" si="172"/>
        <v>4901</v>
      </c>
      <c r="Y1127" s="261">
        <v>6</v>
      </c>
      <c r="Z1127" s="261">
        <v>6</v>
      </c>
      <c r="AA1127" s="407" t="s">
        <v>1645</v>
      </c>
      <c r="AB1127" s="258" t="s">
        <v>70</v>
      </c>
      <c r="AC1127" s="258"/>
      <c r="AD1127" s="258">
        <v>2</v>
      </c>
      <c r="AE1127" s="258">
        <v>0</v>
      </c>
      <c r="AF1127" s="259"/>
      <c r="AG1127" s="260"/>
      <c r="AH1127" s="259"/>
      <c r="AI1127" s="259"/>
      <c r="AJ1127" s="260"/>
      <c r="AK1127" s="259">
        <v>13</v>
      </c>
      <c r="AL1127" s="259"/>
      <c r="AM1127" s="259" t="s">
        <v>3780</v>
      </c>
      <c r="AN1127" s="449"/>
      <c r="AO1127" s="449"/>
      <c r="AP1127" s="449"/>
      <c r="AQ1127" s="392" t="str">
        <f>IFERROR(VLOOKUP(BG1127,#REF!,1,0),"")</f>
        <v/>
      </c>
      <c r="AS1127" s="259" t="s">
        <v>3229</v>
      </c>
      <c r="BD1127" s="202" t="str">
        <f t="shared" si="164"/>
        <v>Wrangler사하라 4도어 하드탑</v>
      </c>
      <c r="BE1127" s="261" t="str">
        <f t="shared" si="170"/>
        <v>0168</v>
      </c>
      <c r="BF1127" s="407" t="s">
        <v>1645</v>
      </c>
      <c r="BG1127" s="202" t="str">
        <f t="shared" si="165"/>
        <v>0168-1126</v>
      </c>
    </row>
    <row r="1128" spans="1:59">
      <c r="A1128" s="405">
        <v>4902</v>
      </c>
      <c r="B1128" s="406">
        <v>4902</v>
      </c>
      <c r="C1128" s="261" t="str">
        <f t="shared" si="166"/>
        <v>0019-0168</v>
      </c>
      <c r="D1128" s="261" t="str">
        <f t="shared" si="167"/>
        <v>0019-0168-0005</v>
      </c>
      <c r="E1128" s="407" t="s">
        <v>1646</v>
      </c>
      <c r="F1128" s="261" t="str">
        <f>TEXT(VLOOKUP(J1128,'[3]1'!$B$2:$D$37,2,0),"0000")</f>
        <v>0019</v>
      </c>
      <c r="G1128" s="261" t="str">
        <f t="shared" si="168"/>
        <v>0168</v>
      </c>
      <c r="H1128" s="408">
        <f t="shared" si="169"/>
        <v>5</v>
      </c>
      <c r="I1128" s="407" t="s">
        <v>1646</v>
      </c>
      <c r="J1128" s="258" t="s">
        <v>159</v>
      </c>
      <c r="K1128" s="258" t="s">
        <v>158</v>
      </c>
      <c r="L1128" s="258" t="s">
        <v>3806</v>
      </c>
      <c r="M1128" s="409">
        <v>49400000</v>
      </c>
      <c r="N1128" s="258">
        <v>1995</v>
      </c>
      <c r="O1128" s="258" t="s">
        <v>77</v>
      </c>
      <c r="P1128" s="258" t="s">
        <v>3781</v>
      </c>
      <c r="Q1128" s="258" t="s">
        <v>72</v>
      </c>
      <c r="R1128" s="258">
        <v>5</v>
      </c>
      <c r="S1128" s="410">
        <v>26</v>
      </c>
      <c r="T1128" s="261">
        <v>6</v>
      </c>
      <c r="U1128" s="261">
        <v>6</v>
      </c>
      <c r="V1128" s="258" t="s">
        <v>71</v>
      </c>
      <c r="W1128" s="261" t="str">
        <f t="shared" si="171"/>
        <v>JEEPWrangler루비콘 4도어 파워탑49400000</v>
      </c>
      <c r="X1128" s="411">
        <f t="shared" si="172"/>
        <v>4902</v>
      </c>
      <c r="Y1128" s="261">
        <v>6</v>
      </c>
      <c r="Z1128" s="261">
        <v>6</v>
      </c>
      <c r="AA1128" s="407" t="s">
        <v>1646</v>
      </c>
      <c r="AB1128" s="258" t="s">
        <v>70</v>
      </c>
      <c r="AC1128" s="258"/>
      <c r="AD1128" s="258">
        <v>2</v>
      </c>
      <c r="AE1128" s="258">
        <v>0</v>
      </c>
      <c r="AF1128" s="259"/>
      <c r="AG1128" s="260"/>
      <c r="AH1128" s="259"/>
      <c r="AI1128" s="259"/>
      <c r="AJ1128" s="260"/>
      <c r="AK1128" s="259">
        <v>13</v>
      </c>
      <c r="AL1128" s="259"/>
      <c r="AM1128" s="259" t="s">
        <v>3780</v>
      </c>
      <c r="AN1128" s="449"/>
      <c r="AO1128" s="449"/>
      <c r="AP1128" s="449"/>
      <c r="AQ1128" s="392" t="str">
        <f>IFERROR(VLOOKUP(BG1128,#REF!,1,0),"")</f>
        <v/>
      </c>
      <c r="AS1128" s="259" t="s">
        <v>3229</v>
      </c>
      <c r="BD1128" s="202" t="str">
        <f t="shared" si="164"/>
        <v>Wrangler루비콘 4도어 파워탑</v>
      </c>
      <c r="BE1128" s="261" t="str">
        <f t="shared" si="170"/>
        <v>0168</v>
      </c>
      <c r="BF1128" s="407" t="s">
        <v>1646</v>
      </c>
      <c r="BG1128" s="202" t="str">
        <f t="shared" si="165"/>
        <v>0168-1127</v>
      </c>
    </row>
    <row r="1129" spans="1:59">
      <c r="A1129" s="405">
        <v>4903</v>
      </c>
      <c r="B1129" s="406">
        <v>4903</v>
      </c>
      <c r="C1129" s="261" t="str">
        <f t="shared" si="166"/>
        <v>0019-0168</v>
      </c>
      <c r="D1129" s="261" t="str">
        <f t="shared" si="167"/>
        <v>0019-0168-0006</v>
      </c>
      <c r="E1129" s="407" t="s">
        <v>1647</v>
      </c>
      <c r="F1129" s="261" t="str">
        <f>TEXT(VLOOKUP(J1129,'[3]1'!$B$2:$D$37,2,0),"0000")</f>
        <v>0019</v>
      </c>
      <c r="G1129" s="261" t="str">
        <f t="shared" si="168"/>
        <v>0168</v>
      </c>
      <c r="H1129" s="408">
        <f t="shared" si="169"/>
        <v>6</v>
      </c>
      <c r="I1129" s="407" t="s">
        <v>1647</v>
      </c>
      <c r="J1129" s="258" t="s">
        <v>159</v>
      </c>
      <c r="K1129" s="258" t="s">
        <v>158</v>
      </c>
      <c r="L1129" s="258" t="s">
        <v>3807</v>
      </c>
      <c r="M1129" s="409">
        <v>49400000</v>
      </c>
      <c r="N1129" s="258">
        <v>1995</v>
      </c>
      <c r="O1129" s="258" t="s">
        <v>77</v>
      </c>
      <c r="P1129" s="258" t="s">
        <v>3781</v>
      </c>
      <c r="Q1129" s="258" t="s">
        <v>72</v>
      </c>
      <c r="R1129" s="258">
        <v>5</v>
      </c>
      <c r="S1129" s="410">
        <v>26</v>
      </c>
      <c r="T1129" s="261">
        <v>6</v>
      </c>
      <c r="U1129" s="261">
        <v>6</v>
      </c>
      <c r="V1129" s="258" t="s">
        <v>71</v>
      </c>
      <c r="W1129" s="261" t="str">
        <f t="shared" si="171"/>
        <v>JEEPWrangler루비콘 4도어 하드탑49400000</v>
      </c>
      <c r="X1129" s="411">
        <f t="shared" si="172"/>
        <v>4903</v>
      </c>
      <c r="Y1129" s="261">
        <v>6</v>
      </c>
      <c r="Z1129" s="261">
        <v>6</v>
      </c>
      <c r="AA1129" s="407" t="s">
        <v>1647</v>
      </c>
      <c r="AB1129" s="258" t="s">
        <v>70</v>
      </c>
      <c r="AC1129" s="258"/>
      <c r="AD1129" s="258">
        <v>2</v>
      </c>
      <c r="AE1129" s="258">
        <v>0</v>
      </c>
      <c r="AF1129" s="259"/>
      <c r="AG1129" s="260"/>
      <c r="AH1129" s="259"/>
      <c r="AI1129" s="259"/>
      <c r="AJ1129" s="260"/>
      <c r="AK1129" s="259">
        <v>13</v>
      </c>
      <c r="AL1129" s="259"/>
      <c r="AM1129" s="259" t="s">
        <v>3780</v>
      </c>
      <c r="AN1129" s="449"/>
      <c r="AO1129" s="449"/>
      <c r="AP1129" s="449"/>
      <c r="AQ1129" s="392" t="str">
        <f>IFERROR(VLOOKUP(BG1129,#REF!,1,0),"")</f>
        <v/>
      </c>
      <c r="AS1129" s="259" t="s">
        <v>3229</v>
      </c>
      <c r="BD1129" s="202" t="str">
        <f t="shared" si="164"/>
        <v>Wrangler루비콘 4도어 하드탑</v>
      </c>
      <c r="BE1129" s="261" t="str">
        <f t="shared" si="170"/>
        <v>0168</v>
      </c>
      <c r="BF1129" s="407" t="s">
        <v>1647</v>
      </c>
      <c r="BG1129" s="202" t="str">
        <f t="shared" si="165"/>
        <v>0168-1128</v>
      </c>
    </row>
    <row r="1130" spans="1:59">
      <c r="A1130" s="405">
        <v>4904</v>
      </c>
      <c r="B1130" s="406">
        <v>4904</v>
      </c>
      <c r="C1130" s="261" t="str">
        <f t="shared" si="166"/>
        <v>0019-0168</v>
      </c>
      <c r="D1130" s="261" t="str">
        <f t="shared" si="167"/>
        <v>0019-0168-0007</v>
      </c>
      <c r="E1130" s="407" t="s">
        <v>1648</v>
      </c>
      <c r="F1130" s="261" t="str">
        <f>TEXT(VLOOKUP(J1130,'[3]1'!$B$2:$D$37,2,0),"0000")</f>
        <v>0019</v>
      </c>
      <c r="G1130" s="261" t="str">
        <f t="shared" si="168"/>
        <v>0168</v>
      </c>
      <c r="H1130" s="408">
        <f t="shared" si="169"/>
        <v>7</v>
      </c>
      <c r="I1130" s="407" t="s">
        <v>1648</v>
      </c>
      <c r="J1130" s="258" t="s">
        <v>159</v>
      </c>
      <c r="K1130" s="258" t="s">
        <v>158</v>
      </c>
      <c r="L1130" s="258" t="s">
        <v>3808</v>
      </c>
      <c r="M1130" s="409">
        <v>49400000</v>
      </c>
      <c r="N1130" s="258">
        <v>1995</v>
      </c>
      <c r="O1130" s="258" t="s">
        <v>3801</v>
      </c>
      <c r="P1130" s="258" t="s">
        <v>3781</v>
      </c>
      <c r="Q1130" s="258" t="s">
        <v>72</v>
      </c>
      <c r="R1130" s="258">
        <v>5</v>
      </c>
      <c r="S1130" s="410">
        <v>26</v>
      </c>
      <c r="T1130" s="261">
        <v>6</v>
      </c>
      <c r="U1130" s="261">
        <v>6</v>
      </c>
      <c r="V1130" s="258" t="s">
        <v>71</v>
      </c>
      <c r="W1130" s="261" t="str">
        <f t="shared" si="171"/>
        <v>JEEPWrangler사하라 4도어 하드탑 4xe49400000</v>
      </c>
      <c r="X1130" s="411">
        <f t="shared" si="172"/>
        <v>4904</v>
      </c>
      <c r="Y1130" s="261">
        <v>6</v>
      </c>
      <c r="Z1130" s="261">
        <v>6</v>
      </c>
      <c r="AA1130" s="407" t="s">
        <v>1648</v>
      </c>
      <c r="AB1130" s="258" t="s">
        <v>70</v>
      </c>
      <c r="AC1130" s="258"/>
      <c r="AD1130" s="258">
        <v>2</v>
      </c>
      <c r="AE1130" s="258">
        <v>0</v>
      </c>
      <c r="AF1130" s="259"/>
      <c r="AG1130" s="260"/>
      <c r="AH1130" s="259"/>
      <c r="AI1130" s="259"/>
      <c r="AJ1130" s="260"/>
      <c r="AK1130" s="259">
        <v>13</v>
      </c>
      <c r="AL1130" s="259"/>
      <c r="AM1130" s="259" t="s">
        <v>3780</v>
      </c>
      <c r="AN1130" s="449"/>
      <c r="AO1130" s="449"/>
      <c r="AP1130" s="449"/>
      <c r="AQ1130" s="392" t="str">
        <f>IFERROR(VLOOKUP(BG1130,#REF!,1,0),"")</f>
        <v/>
      </c>
      <c r="AS1130" s="259" t="s">
        <v>3229</v>
      </c>
      <c r="BD1130" s="202" t="str">
        <f t="shared" si="164"/>
        <v>Wrangler사하라 4도어 하드탑 4xe</v>
      </c>
      <c r="BE1130" s="261" t="str">
        <f t="shared" si="170"/>
        <v>0168</v>
      </c>
      <c r="BF1130" s="407" t="s">
        <v>1648</v>
      </c>
      <c r="BG1130" s="202" t="str">
        <f t="shared" si="165"/>
        <v>0168-1129</v>
      </c>
    </row>
    <row r="1131" spans="1:59">
      <c r="A1131" s="405">
        <v>4905</v>
      </c>
      <c r="B1131" s="406">
        <v>4905</v>
      </c>
      <c r="C1131" s="261" t="str">
        <f t="shared" si="166"/>
        <v>0019-0168</v>
      </c>
      <c r="D1131" s="261" t="str">
        <f t="shared" si="167"/>
        <v>0019-0168-0008</v>
      </c>
      <c r="E1131" s="407" t="s">
        <v>1649</v>
      </c>
      <c r="F1131" s="261" t="str">
        <f>TEXT(VLOOKUP(J1131,'[3]1'!$B$2:$D$37,2,0),"0000")</f>
        <v>0019</v>
      </c>
      <c r="G1131" s="261" t="str">
        <f t="shared" si="168"/>
        <v>0168</v>
      </c>
      <c r="H1131" s="408">
        <f t="shared" si="169"/>
        <v>8</v>
      </c>
      <c r="I1131" s="407" t="s">
        <v>1649</v>
      </c>
      <c r="J1131" s="258" t="s">
        <v>159</v>
      </c>
      <c r="K1131" s="258" t="s">
        <v>158</v>
      </c>
      <c r="L1131" s="258" t="s">
        <v>3809</v>
      </c>
      <c r="M1131" s="409">
        <v>49400000</v>
      </c>
      <c r="N1131" s="258">
        <v>1995</v>
      </c>
      <c r="O1131" s="258" t="s">
        <v>3801</v>
      </c>
      <c r="P1131" s="258" t="s">
        <v>3781</v>
      </c>
      <c r="Q1131" s="258" t="s">
        <v>72</v>
      </c>
      <c r="R1131" s="258">
        <v>5</v>
      </c>
      <c r="S1131" s="410">
        <v>26</v>
      </c>
      <c r="T1131" s="261">
        <v>6</v>
      </c>
      <c r="U1131" s="261">
        <v>6</v>
      </c>
      <c r="V1131" s="258" t="s">
        <v>71</v>
      </c>
      <c r="W1131" s="261" t="str">
        <f t="shared" si="171"/>
        <v>JEEPWrangler사하라 4도어 파워탑 4xe49400000</v>
      </c>
      <c r="X1131" s="411">
        <f t="shared" si="172"/>
        <v>4905</v>
      </c>
      <c r="Y1131" s="261">
        <v>6</v>
      </c>
      <c r="Z1131" s="261">
        <v>6</v>
      </c>
      <c r="AA1131" s="407" t="s">
        <v>1649</v>
      </c>
      <c r="AB1131" s="258" t="s">
        <v>70</v>
      </c>
      <c r="AC1131" s="258"/>
      <c r="AD1131" s="258">
        <v>2</v>
      </c>
      <c r="AE1131" s="258">
        <v>0</v>
      </c>
      <c r="AF1131" s="259"/>
      <c r="AG1131" s="260"/>
      <c r="AH1131" s="259"/>
      <c r="AI1131" s="259"/>
      <c r="AJ1131" s="260"/>
      <c r="AK1131" s="259">
        <v>13</v>
      </c>
      <c r="AL1131" s="259"/>
      <c r="AM1131" s="259" t="s">
        <v>3780</v>
      </c>
      <c r="AN1131" s="449"/>
      <c r="AO1131" s="449"/>
      <c r="AP1131" s="449"/>
      <c r="AQ1131" s="392" t="str">
        <f>IFERROR(VLOOKUP(BG1131,#REF!,1,0),"")</f>
        <v/>
      </c>
      <c r="AS1131" s="259" t="s">
        <v>3229</v>
      </c>
      <c r="BD1131" s="202" t="str">
        <f t="shared" si="164"/>
        <v>Wrangler사하라 4도어 파워탑 4xe</v>
      </c>
      <c r="BE1131" s="261" t="str">
        <f t="shared" si="170"/>
        <v>0168</v>
      </c>
      <c r="BF1131" s="407" t="s">
        <v>1649</v>
      </c>
      <c r="BG1131" s="202" t="str">
        <f t="shared" si="165"/>
        <v>0168-1130</v>
      </c>
    </row>
    <row r="1132" spans="1:59" s="251" customFormat="1">
      <c r="A1132" s="405">
        <v>4906</v>
      </c>
      <c r="B1132" s="406">
        <v>4906</v>
      </c>
      <c r="C1132" s="261" t="str">
        <f t="shared" si="166"/>
        <v>0018-0169</v>
      </c>
      <c r="D1132" s="261" t="str">
        <f t="shared" si="167"/>
        <v>0018-0169-0001</v>
      </c>
      <c r="E1132" s="407" t="s">
        <v>1650</v>
      </c>
      <c r="F1132" s="261" t="str">
        <f>TEXT(VLOOKUP(J1132,'[3]1'!$B$2:$D$37,2,0),"0000")</f>
        <v>0018</v>
      </c>
      <c r="G1132" s="261" t="str">
        <f t="shared" si="168"/>
        <v>0169</v>
      </c>
      <c r="H1132" s="408">
        <f t="shared" si="169"/>
        <v>1</v>
      </c>
      <c r="I1132" s="407" t="s">
        <v>1650</v>
      </c>
      <c r="J1132" s="258" t="s">
        <v>1243</v>
      </c>
      <c r="K1132" s="413" t="s">
        <v>2093</v>
      </c>
      <c r="L1132" s="413" t="s">
        <v>3620</v>
      </c>
      <c r="M1132" s="428">
        <v>103800000</v>
      </c>
      <c r="N1132" s="435">
        <v>2997</v>
      </c>
      <c r="O1132" s="436" t="s">
        <v>78</v>
      </c>
      <c r="P1132" s="436" t="s">
        <v>73</v>
      </c>
      <c r="Q1132" s="413" t="s">
        <v>72</v>
      </c>
      <c r="R1132" s="435">
        <v>5</v>
      </c>
      <c r="S1132" s="410">
        <v>26</v>
      </c>
      <c r="T1132" s="261">
        <v>6</v>
      </c>
      <c r="U1132" s="261">
        <v>6</v>
      </c>
      <c r="V1132" s="258" t="s">
        <v>3105</v>
      </c>
      <c r="W1132" s="261" t="str">
        <f t="shared" si="171"/>
        <v>JAGUAR&amp;LANDROVERDefender90 D250 XS 에디션103800000</v>
      </c>
      <c r="X1132" s="411">
        <f t="shared" si="172"/>
        <v>4906</v>
      </c>
      <c r="Y1132" s="261">
        <v>6</v>
      </c>
      <c r="Z1132" s="261">
        <v>6</v>
      </c>
      <c r="AA1132" s="407" t="s">
        <v>1650</v>
      </c>
      <c r="AB1132" s="258" t="s">
        <v>70</v>
      </c>
      <c r="AC1132" s="258"/>
      <c r="AD1132" s="258">
        <v>7</v>
      </c>
      <c r="AE1132" s="258"/>
      <c r="AF1132" s="259"/>
      <c r="AG1132" s="260"/>
      <c r="AH1132" s="259"/>
      <c r="AI1132" s="259"/>
      <c r="AJ1132" s="260"/>
      <c r="AK1132" s="259">
        <v>11</v>
      </c>
      <c r="AL1132" s="259"/>
      <c r="AM1132" s="259" t="s">
        <v>3965</v>
      </c>
      <c r="AN1132" s="449"/>
      <c r="AO1132" s="449"/>
      <c r="AP1132" s="449"/>
      <c r="AQ1132" s="392" t="str">
        <f>IFERROR(VLOOKUP(BG1132,#REF!,1,0),"")</f>
        <v/>
      </c>
      <c r="AR1132" s="450"/>
      <c r="AS1132" s="259" t="s">
        <v>3231</v>
      </c>
      <c r="AT1132" s="392" t="s">
        <v>3099</v>
      </c>
      <c r="AU1132" s="392"/>
      <c r="AV1132" s="392"/>
      <c r="AW1132" s="450" t="s">
        <v>3961</v>
      </c>
      <c r="AX1132" s="450"/>
      <c r="AY1132" s="312"/>
      <c r="BD1132" s="202" t="str">
        <f t="shared" si="164"/>
        <v>Defender90 D250 XS 에디션</v>
      </c>
      <c r="BE1132" s="261" t="str">
        <f t="shared" si="170"/>
        <v>0169</v>
      </c>
      <c r="BF1132" s="407" t="s">
        <v>1650</v>
      </c>
      <c r="BG1132" s="202" t="str">
        <f t="shared" si="165"/>
        <v>0169-1131</v>
      </c>
    </row>
    <row r="1133" spans="1:59" s="251" customFormat="1">
      <c r="A1133" s="405">
        <v>4907</v>
      </c>
      <c r="B1133" s="406">
        <v>4907</v>
      </c>
      <c r="C1133" s="261" t="str">
        <f t="shared" si="166"/>
        <v>0018-0169</v>
      </c>
      <c r="D1133" s="261" t="str">
        <f t="shared" si="167"/>
        <v>0018-0169-0002</v>
      </c>
      <c r="E1133" s="407" t="s">
        <v>1651</v>
      </c>
      <c r="F1133" s="261" t="str">
        <f>TEXT(VLOOKUP(J1133,'[3]1'!$B$2:$D$37,2,0),"0000")</f>
        <v>0018</v>
      </c>
      <c r="G1133" s="261" t="str">
        <f t="shared" si="168"/>
        <v>0169</v>
      </c>
      <c r="H1133" s="408">
        <f t="shared" si="169"/>
        <v>2</v>
      </c>
      <c r="I1133" s="407" t="s">
        <v>1651</v>
      </c>
      <c r="J1133" s="258" t="s">
        <v>1243</v>
      </c>
      <c r="K1133" s="413" t="s">
        <v>2093</v>
      </c>
      <c r="L1133" s="413" t="s">
        <v>3621</v>
      </c>
      <c r="M1133" s="428">
        <v>107600000</v>
      </c>
      <c r="N1133" s="435">
        <v>2997</v>
      </c>
      <c r="O1133" s="436" t="s">
        <v>78</v>
      </c>
      <c r="P1133" s="436" t="s">
        <v>73</v>
      </c>
      <c r="Q1133" s="413" t="s">
        <v>72</v>
      </c>
      <c r="R1133" s="435">
        <v>5</v>
      </c>
      <c r="S1133" s="410">
        <v>26</v>
      </c>
      <c r="T1133" s="261">
        <v>6</v>
      </c>
      <c r="U1133" s="261">
        <v>6</v>
      </c>
      <c r="V1133" s="258" t="s">
        <v>3105</v>
      </c>
      <c r="W1133" s="261" t="str">
        <f t="shared" si="171"/>
        <v>JAGUAR&amp;LANDROVERDefender110 D250 SE107600000</v>
      </c>
      <c r="X1133" s="411">
        <f t="shared" si="172"/>
        <v>4907</v>
      </c>
      <c r="Y1133" s="261">
        <v>6</v>
      </c>
      <c r="Z1133" s="261">
        <v>6</v>
      </c>
      <c r="AA1133" s="407" t="s">
        <v>1651</v>
      </c>
      <c r="AB1133" s="258" t="s">
        <v>70</v>
      </c>
      <c r="AC1133" s="258"/>
      <c r="AD1133" s="258">
        <v>7</v>
      </c>
      <c r="AE1133" s="258"/>
      <c r="AF1133" s="259"/>
      <c r="AG1133" s="260"/>
      <c r="AH1133" s="259"/>
      <c r="AI1133" s="259"/>
      <c r="AJ1133" s="260"/>
      <c r="AK1133" s="259">
        <v>11</v>
      </c>
      <c r="AL1133" s="259"/>
      <c r="AM1133" s="259" t="s">
        <v>3965</v>
      </c>
      <c r="AN1133" s="449"/>
      <c r="AO1133" s="449"/>
      <c r="AP1133" s="449"/>
      <c r="AQ1133" s="392" t="str">
        <f>IFERROR(VLOOKUP(BG1133,#REF!,1,0),"")</f>
        <v/>
      </c>
      <c r="AR1133" s="450"/>
      <c r="AS1133" s="259" t="s">
        <v>3231</v>
      </c>
      <c r="AT1133" s="392" t="s">
        <v>3099</v>
      </c>
      <c r="AU1133" s="392"/>
      <c r="AV1133" s="392"/>
      <c r="AW1133" s="450" t="s">
        <v>3961</v>
      </c>
      <c r="AX1133" s="450"/>
      <c r="AY1133" s="312"/>
      <c r="BD1133" s="202" t="str">
        <f t="shared" si="164"/>
        <v>Defender110 D250 SE</v>
      </c>
      <c r="BE1133" s="261" t="str">
        <f t="shared" si="170"/>
        <v>0169</v>
      </c>
      <c r="BF1133" s="407" t="s">
        <v>1651</v>
      </c>
      <c r="BG1133" s="202" t="str">
        <f t="shared" si="165"/>
        <v>0169-1132</v>
      </c>
    </row>
    <row r="1134" spans="1:59" s="251" customFormat="1">
      <c r="A1134" s="405">
        <v>4908</v>
      </c>
      <c r="B1134" s="406">
        <v>4908</v>
      </c>
      <c r="C1134" s="261" t="str">
        <f t="shared" si="166"/>
        <v>0018-0169</v>
      </c>
      <c r="D1134" s="261" t="str">
        <f t="shared" si="167"/>
        <v>0018-0169-0003</v>
      </c>
      <c r="E1134" s="407" t="s">
        <v>1652</v>
      </c>
      <c r="F1134" s="261" t="str">
        <f>TEXT(VLOOKUP(J1134,'[3]1'!$B$2:$D$37,2,0),"0000")</f>
        <v>0018</v>
      </c>
      <c r="G1134" s="261" t="str">
        <f t="shared" si="168"/>
        <v>0169</v>
      </c>
      <c r="H1134" s="408">
        <f t="shared" si="169"/>
        <v>3</v>
      </c>
      <c r="I1134" s="407" t="s">
        <v>1652</v>
      </c>
      <c r="J1134" s="258" t="s">
        <v>1243</v>
      </c>
      <c r="K1134" s="413" t="s">
        <v>2093</v>
      </c>
      <c r="L1134" s="413" t="s">
        <v>3622</v>
      </c>
      <c r="M1134" s="428">
        <v>126100000</v>
      </c>
      <c r="N1134" s="435">
        <v>2997</v>
      </c>
      <c r="O1134" s="436" t="s">
        <v>78</v>
      </c>
      <c r="P1134" s="436" t="s">
        <v>73</v>
      </c>
      <c r="Q1134" s="413" t="s">
        <v>72</v>
      </c>
      <c r="R1134" s="435">
        <v>5</v>
      </c>
      <c r="S1134" s="410">
        <v>26</v>
      </c>
      <c r="T1134" s="261">
        <v>6</v>
      </c>
      <c r="U1134" s="261">
        <v>6</v>
      </c>
      <c r="V1134" s="258" t="s">
        <v>3105</v>
      </c>
      <c r="W1134" s="261" t="str">
        <f t="shared" si="171"/>
        <v>JAGUAR&amp;LANDROVERDefender110 D300 X-다이나믹 HSE126100000</v>
      </c>
      <c r="X1134" s="411">
        <f t="shared" si="172"/>
        <v>4908</v>
      </c>
      <c r="Y1134" s="261">
        <v>6</v>
      </c>
      <c r="Z1134" s="261">
        <v>6</v>
      </c>
      <c r="AA1134" s="407" t="s">
        <v>1652</v>
      </c>
      <c r="AB1134" s="258" t="s">
        <v>70</v>
      </c>
      <c r="AC1134" s="258"/>
      <c r="AD1134" s="258">
        <v>7</v>
      </c>
      <c r="AE1134" s="258"/>
      <c r="AF1134" s="259"/>
      <c r="AG1134" s="260"/>
      <c r="AH1134" s="259"/>
      <c r="AI1134" s="259"/>
      <c r="AJ1134" s="260"/>
      <c r="AK1134" s="259">
        <v>11</v>
      </c>
      <c r="AL1134" s="259"/>
      <c r="AM1134" s="259" t="s">
        <v>3965</v>
      </c>
      <c r="AN1134" s="449"/>
      <c r="AO1134" s="449"/>
      <c r="AP1134" s="449"/>
      <c r="AQ1134" s="392" t="str">
        <f>IFERROR(VLOOKUP(BG1134,#REF!,1,0),"")</f>
        <v/>
      </c>
      <c r="AR1134" s="450"/>
      <c r="AS1134" s="259" t="s">
        <v>3231</v>
      </c>
      <c r="AT1134" s="392" t="s">
        <v>3099</v>
      </c>
      <c r="AU1134" s="392"/>
      <c r="AV1134" s="392"/>
      <c r="AW1134" s="450" t="s">
        <v>3961</v>
      </c>
      <c r="AX1134" s="450"/>
      <c r="AY1134" s="312"/>
      <c r="BD1134" s="202" t="str">
        <f t="shared" si="164"/>
        <v>Defender110 D300 X-다이나믹 HSE</v>
      </c>
      <c r="BE1134" s="261" t="str">
        <f t="shared" si="170"/>
        <v>0169</v>
      </c>
      <c r="BF1134" s="407" t="s">
        <v>1652</v>
      </c>
      <c r="BG1134" s="202" t="str">
        <f t="shared" si="165"/>
        <v>0169-1133</v>
      </c>
    </row>
    <row r="1135" spans="1:59" s="251" customFormat="1">
      <c r="A1135" s="405">
        <v>4909</v>
      </c>
      <c r="B1135" s="406">
        <v>4909</v>
      </c>
      <c r="C1135" s="261" t="str">
        <f t="shared" si="166"/>
        <v>0018-0169</v>
      </c>
      <c r="D1135" s="261" t="str">
        <f t="shared" si="167"/>
        <v>0018-0169-0004</v>
      </c>
      <c r="E1135" s="407" t="s">
        <v>1653</v>
      </c>
      <c r="F1135" s="261" t="str">
        <f>TEXT(VLOOKUP(J1135,'[3]1'!$B$2:$D$37,2,0),"0000")</f>
        <v>0018</v>
      </c>
      <c r="G1135" s="261" t="str">
        <f t="shared" si="168"/>
        <v>0169</v>
      </c>
      <c r="H1135" s="408">
        <f t="shared" si="169"/>
        <v>4</v>
      </c>
      <c r="I1135" s="407" t="s">
        <v>1653</v>
      </c>
      <c r="J1135" s="258" t="s">
        <v>1243</v>
      </c>
      <c r="K1135" s="413" t="s">
        <v>2093</v>
      </c>
      <c r="L1135" s="413" t="s">
        <v>3623</v>
      </c>
      <c r="M1135" s="428">
        <v>138700000</v>
      </c>
      <c r="N1135" s="435">
        <v>2997</v>
      </c>
      <c r="O1135" s="436" t="s">
        <v>78</v>
      </c>
      <c r="P1135" s="436" t="s">
        <v>73</v>
      </c>
      <c r="Q1135" s="413" t="s">
        <v>72</v>
      </c>
      <c r="R1135" s="435">
        <v>5</v>
      </c>
      <c r="S1135" s="410">
        <v>26</v>
      </c>
      <c r="T1135" s="261">
        <v>6</v>
      </c>
      <c r="U1135" s="261">
        <v>6</v>
      </c>
      <c r="V1135" s="258" t="s">
        <v>1969</v>
      </c>
      <c r="W1135" s="261" t="str">
        <f t="shared" si="171"/>
        <v>JAGUAR&amp;LANDROVERDefender130 D300 X-다이나믹 HSE138700000</v>
      </c>
      <c r="X1135" s="411">
        <f t="shared" si="172"/>
        <v>4909</v>
      </c>
      <c r="Y1135" s="261">
        <v>6</v>
      </c>
      <c r="Z1135" s="261">
        <v>6</v>
      </c>
      <c r="AA1135" s="407" t="s">
        <v>1653</v>
      </c>
      <c r="AB1135" s="258" t="s">
        <v>70</v>
      </c>
      <c r="AC1135" s="258"/>
      <c r="AD1135" s="258">
        <v>7</v>
      </c>
      <c r="AE1135" s="258"/>
      <c r="AF1135" s="259"/>
      <c r="AG1135" s="260"/>
      <c r="AH1135" s="259"/>
      <c r="AI1135" s="259"/>
      <c r="AJ1135" s="260"/>
      <c r="AK1135" s="259">
        <v>11</v>
      </c>
      <c r="AL1135" s="259"/>
      <c r="AM1135" s="259" t="s">
        <v>3965</v>
      </c>
      <c r="AN1135" s="449"/>
      <c r="AO1135" s="449"/>
      <c r="AP1135" s="449"/>
      <c r="AQ1135" s="392" t="str">
        <f>IFERROR(VLOOKUP(BG1135,#REF!,1,0),"")</f>
        <v/>
      </c>
      <c r="AR1135" s="450"/>
      <c r="AS1135" s="259" t="s">
        <v>3231</v>
      </c>
      <c r="AT1135" s="392" t="s">
        <v>3099</v>
      </c>
      <c r="AU1135" s="392"/>
      <c r="AV1135" s="392"/>
      <c r="AW1135" s="450" t="s">
        <v>3961</v>
      </c>
      <c r="AX1135" s="450"/>
      <c r="AY1135" s="312"/>
      <c r="BD1135" s="202" t="str">
        <f t="shared" si="164"/>
        <v>Defender130 D300 X-다이나믹 HSE</v>
      </c>
      <c r="BE1135" s="261" t="str">
        <f t="shared" si="170"/>
        <v>0169</v>
      </c>
      <c r="BF1135" s="407" t="s">
        <v>1653</v>
      </c>
      <c r="BG1135" s="202" t="str">
        <f t="shared" si="165"/>
        <v>0169-1134</v>
      </c>
    </row>
    <row r="1136" spans="1:59" s="251" customFormat="1">
      <c r="A1136" s="405">
        <v>4910</v>
      </c>
      <c r="B1136" s="406">
        <v>4910</v>
      </c>
      <c r="C1136" s="261" t="str">
        <f t="shared" si="166"/>
        <v>0018-0169</v>
      </c>
      <c r="D1136" s="261" t="str">
        <f t="shared" si="167"/>
        <v>0018-0169-0005</v>
      </c>
      <c r="E1136" s="407" t="s">
        <v>1654</v>
      </c>
      <c r="F1136" s="261" t="str">
        <f>TEXT(VLOOKUP(J1136,'[3]1'!$B$2:$D$37,2,0),"0000")</f>
        <v>0018</v>
      </c>
      <c r="G1136" s="261" t="str">
        <f t="shared" si="168"/>
        <v>0169</v>
      </c>
      <c r="H1136" s="408">
        <f t="shared" si="169"/>
        <v>5</v>
      </c>
      <c r="I1136" s="407" t="s">
        <v>1654</v>
      </c>
      <c r="J1136" s="258" t="s">
        <v>1243</v>
      </c>
      <c r="K1136" s="413" t="s">
        <v>2093</v>
      </c>
      <c r="L1136" s="413" t="s">
        <v>3624</v>
      </c>
      <c r="M1136" s="428">
        <v>136400000</v>
      </c>
      <c r="N1136" s="435">
        <v>2996</v>
      </c>
      <c r="O1136" s="258" t="s">
        <v>77</v>
      </c>
      <c r="P1136" s="436" t="s">
        <v>73</v>
      </c>
      <c r="Q1136" s="413" t="s">
        <v>72</v>
      </c>
      <c r="R1136" s="435">
        <v>5</v>
      </c>
      <c r="S1136" s="410">
        <v>26</v>
      </c>
      <c r="T1136" s="261">
        <v>6</v>
      </c>
      <c r="U1136" s="261">
        <v>6</v>
      </c>
      <c r="V1136" s="258" t="s">
        <v>3105</v>
      </c>
      <c r="W1136" s="261" t="str">
        <f t="shared" si="171"/>
        <v>JAGUAR&amp;LANDROVERDefender90 P400 X136400000</v>
      </c>
      <c r="X1136" s="411">
        <f t="shared" si="172"/>
        <v>4910</v>
      </c>
      <c r="Y1136" s="261">
        <v>6</v>
      </c>
      <c r="Z1136" s="261">
        <v>6</v>
      </c>
      <c r="AA1136" s="407" t="s">
        <v>1654</v>
      </c>
      <c r="AB1136" s="258" t="s">
        <v>70</v>
      </c>
      <c r="AC1136" s="258"/>
      <c r="AD1136" s="258">
        <v>7</v>
      </c>
      <c r="AE1136" s="258"/>
      <c r="AF1136" s="259"/>
      <c r="AG1136" s="260"/>
      <c r="AH1136" s="259"/>
      <c r="AI1136" s="259"/>
      <c r="AJ1136" s="260"/>
      <c r="AK1136" s="259">
        <v>11</v>
      </c>
      <c r="AL1136" s="259"/>
      <c r="AM1136" s="259" t="s">
        <v>3965</v>
      </c>
      <c r="AN1136" s="449"/>
      <c r="AO1136" s="449"/>
      <c r="AP1136" s="449"/>
      <c r="AQ1136" s="392" t="str">
        <f>IFERROR(VLOOKUP(BG1136,#REF!,1,0),"")</f>
        <v/>
      </c>
      <c r="AR1136" s="450"/>
      <c r="AS1136" s="259" t="s">
        <v>3231</v>
      </c>
      <c r="AT1136" s="392" t="s">
        <v>3099</v>
      </c>
      <c r="AU1136" s="392"/>
      <c r="AV1136" s="392"/>
      <c r="AW1136" s="450" t="s">
        <v>3961</v>
      </c>
      <c r="AX1136" s="450"/>
      <c r="AY1136" s="312"/>
      <c r="BD1136" s="202" t="str">
        <f t="shared" si="164"/>
        <v>Defender90 P400 X</v>
      </c>
      <c r="BE1136" s="261" t="str">
        <f t="shared" si="170"/>
        <v>0169</v>
      </c>
      <c r="BF1136" s="407" t="s">
        <v>1654</v>
      </c>
      <c r="BG1136" s="202" t="str">
        <f t="shared" si="165"/>
        <v>0169-1135</v>
      </c>
    </row>
    <row r="1137" spans="1:59" s="251" customFormat="1">
      <c r="A1137" s="405">
        <v>4911</v>
      </c>
      <c r="B1137" s="406">
        <v>4911</v>
      </c>
      <c r="C1137" s="261" t="str">
        <f t="shared" si="166"/>
        <v>0018-0169</v>
      </c>
      <c r="D1137" s="261" t="str">
        <f t="shared" si="167"/>
        <v>0018-0169-0006</v>
      </c>
      <c r="E1137" s="407" t="s">
        <v>1655</v>
      </c>
      <c r="F1137" s="261" t="str">
        <f>TEXT(VLOOKUP(J1137,'[3]1'!$B$2:$D$37,2,0),"0000")</f>
        <v>0018</v>
      </c>
      <c r="G1137" s="261" t="str">
        <f t="shared" si="168"/>
        <v>0169</v>
      </c>
      <c r="H1137" s="408">
        <f t="shared" si="169"/>
        <v>6</v>
      </c>
      <c r="I1137" s="407" t="s">
        <v>1655</v>
      </c>
      <c r="J1137" s="258" t="s">
        <v>1243</v>
      </c>
      <c r="K1137" s="413" t="s">
        <v>2093</v>
      </c>
      <c r="L1137" s="413" t="s">
        <v>3625</v>
      </c>
      <c r="M1137" s="428">
        <v>146000000</v>
      </c>
      <c r="N1137" s="435">
        <v>2996</v>
      </c>
      <c r="O1137" s="258" t="s">
        <v>77</v>
      </c>
      <c r="P1137" s="436" t="s">
        <v>73</v>
      </c>
      <c r="Q1137" s="413" t="s">
        <v>72</v>
      </c>
      <c r="R1137" s="435">
        <v>5</v>
      </c>
      <c r="S1137" s="410">
        <v>26</v>
      </c>
      <c r="T1137" s="261">
        <v>6</v>
      </c>
      <c r="U1137" s="261">
        <v>6</v>
      </c>
      <c r="V1137" s="258" t="s">
        <v>3105</v>
      </c>
      <c r="W1137" s="261" t="str">
        <f t="shared" si="171"/>
        <v>JAGUAR&amp;LANDROVERDefender110 P400 X146000000</v>
      </c>
      <c r="X1137" s="411">
        <f t="shared" si="172"/>
        <v>4911</v>
      </c>
      <c r="Y1137" s="261">
        <v>6</v>
      </c>
      <c r="Z1137" s="261">
        <v>6</v>
      </c>
      <c r="AA1137" s="407" t="s">
        <v>1655</v>
      </c>
      <c r="AB1137" s="258" t="s">
        <v>70</v>
      </c>
      <c r="AC1137" s="258"/>
      <c r="AD1137" s="258">
        <v>7</v>
      </c>
      <c r="AE1137" s="258"/>
      <c r="AF1137" s="259"/>
      <c r="AG1137" s="260"/>
      <c r="AH1137" s="259"/>
      <c r="AI1137" s="259"/>
      <c r="AJ1137" s="260"/>
      <c r="AK1137" s="259">
        <v>11</v>
      </c>
      <c r="AL1137" s="259"/>
      <c r="AM1137" s="259" t="s">
        <v>3965</v>
      </c>
      <c r="AN1137" s="449"/>
      <c r="AO1137" s="449"/>
      <c r="AP1137" s="449"/>
      <c r="AQ1137" s="392" t="str">
        <f>IFERROR(VLOOKUP(BG1137,#REF!,1,0),"")</f>
        <v/>
      </c>
      <c r="AR1137" s="450"/>
      <c r="AS1137" s="259" t="s">
        <v>3231</v>
      </c>
      <c r="AT1137" s="392" t="s">
        <v>3099</v>
      </c>
      <c r="AU1137" s="392"/>
      <c r="AV1137" s="392"/>
      <c r="AW1137" s="450" t="s">
        <v>3961</v>
      </c>
      <c r="AX1137" s="450"/>
      <c r="AY1137" s="312" t="s">
        <v>3107</v>
      </c>
      <c r="BD1137" s="202" t="str">
        <f t="shared" si="164"/>
        <v>Defender110 P400 X</v>
      </c>
      <c r="BE1137" s="261" t="str">
        <f t="shared" si="170"/>
        <v>0169</v>
      </c>
      <c r="BF1137" s="407" t="s">
        <v>1655</v>
      </c>
      <c r="BG1137" s="202" t="str">
        <f t="shared" si="165"/>
        <v>0169-1136</v>
      </c>
    </row>
    <row r="1138" spans="1:59" s="251" customFormat="1">
      <c r="A1138" s="405">
        <v>4912</v>
      </c>
      <c r="B1138" s="406">
        <v>4912</v>
      </c>
      <c r="C1138" s="261" t="str">
        <f t="shared" si="166"/>
        <v>0018-0169</v>
      </c>
      <c r="D1138" s="261" t="str">
        <f t="shared" si="167"/>
        <v>0018-0169-0007</v>
      </c>
      <c r="E1138" s="407" t="s">
        <v>1656</v>
      </c>
      <c r="F1138" s="261" t="str">
        <f>TEXT(VLOOKUP(J1138,'[3]1'!$B$2:$D$37,2,0),"0000")</f>
        <v>0018</v>
      </c>
      <c r="G1138" s="261" t="str">
        <f t="shared" si="168"/>
        <v>0169</v>
      </c>
      <c r="H1138" s="408">
        <f t="shared" si="169"/>
        <v>7</v>
      </c>
      <c r="I1138" s="407" t="s">
        <v>1656</v>
      </c>
      <c r="J1138" s="258" t="s">
        <v>1243</v>
      </c>
      <c r="K1138" s="413" t="s">
        <v>2093</v>
      </c>
      <c r="L1138" s="413" t="s">
        <v>3626</v>
      </c>
      <c r="M1138" s="428">
        <v>141270000</v>
      </c>
      <c r="N1138" s="435">
        <v>2996</v>
      </c>
      <c r="O1138" s="258" t="s">
        <v>77</v>
      </c>
      <c r="P1138" s="436" t="s">
        <v>73</v>
      </c>
      <c r="Q1138" s="413" t="s">
        <v>72</v>
      </c>
      <c r="R1138" s="435">
        <v>5</v>
      </c>
      <c r="S1138" s="410">
        <v>26</v>
      </c>
      <c r="T1138" s="261">
        <v>6</v>
      </c>
      <c r="U1138" s="261">
        <v>6</v>
      </c>
      <c r="V1138" s="258" t="s">
        <v>1969</v>
      </c>
      <c r="W1138" s="261" t="str">
        <f t="shared" si="171"/>
        <v>JAGUAR&amp;LANDROVERDefender130 P400 X-다이나믹 HSE141270000</v>
      </c>
      <c r="X1138" s="411">
        <f t="shared" si="172"/>
        <v>4912</v>
      </c>
      <c r="Y1138" s="261">
        <v>6</v>
      </c>
      <c r="Z1138" s="261">
        <v>6</v>
      </c>
      <c r="AA1138" s="407" t="s">
        <v>1656</v>
      </c>
      <c r="AB1138" s="258" t="s">
        <v>70</v>
      </c>
      <c r="AC1138" s="258"/>
      <c r="AD1138" s="258">
        <v>7</v>
      </c>
      <c r="AE1138" s="258"/>
      <c r="AF1138" s="259"/>
      <c r="AG1138" s="260"/>
      <c r="AH1138" s="259"/>
      <c r="AI1138" s="259"/>
      <c r="AJ1138" s="260"/>
      <c r="AK1138" s="259">
        <v>11</v>
      </c>
      <c r="AL1138" s="259"/>
      <c r="AM1138" s="259" t="s">
        <v>3965</v>
      </c>
      <c r="AN1138" s="449"/>
      <c r="AO1138" s="449"/>
      <c r="AP1138" s="449"/>
      <c r="AQ1138" s="392" t="str">
        <f>IFERROR(VLOOKUP(BG1138,#REF!,1,0),"")</f>
        <v/>
      </c>
      <c r="AR1138" s="450"/>
      <c r="AS1138" s="259" t="s">
        <v>3232</v>
      </c>
      <c r="AT1138" s="392"/>
      <c r="AU1138" s="392"/>
      <c r="AV1138" s="392"/>
      <c r="AW1138" s="450" t="s">
        <v>3961</v>
      </c>
      <c r="AX1138" s="450"/>
      <c r="AY1138" s="312"/>
      <c r="BD1138" s="202" t="str">
        <f t="shared" si="164"/>
        <v>Defender130 P400 X-다이나믹 HSE</v>
      </c>
      <c r="BE1138" s="261" t="str">
        <f t="shared" si="170"/>
        <v>0169</v>
      </c>
      <c r="BF1138" s="407" t="s">
        <v>1656</v>
      </c>
      <c r="BG1138" s="202" t="str">
        <f t="shared" si="165"/>
        <v>0169-1137</v>
      </c>
    </row>
    <row r="1139" spans="1:59" s="251" customFormat="1">
      <c r="A1139" s="405">
        <v>4913</v>
      </c>
      <c r="B1139" s="406">
        <v>4913</v>
      </c>
      <c r="C1139" s="261" t="str">
        <f t="shared" si="166"/>
        <v>0018-0169</v>
      </c>
      <c r="D1139" s="261" t="str">
        <f t="shared" si="167"/>
        <v>0018-0169-0008</v>
      </c>
      <c r="E1139" s="407" t="s">
        <v>1657</v>
      </c>
      <c r="F1139" s="261" t="str">
        <f>TEXT(VLOOKUP(J1139,'[3]1'!$B$2:$D$37,2,0),"0000")</f>
        <v>0018</v>
      </c>
      <c r="G1139" s="261" t="str">
        <f t="shared" si="168"/>
        <v>0169</v>
      </c>
      <c r="H1139" s="408">
        <f t="shared" si="169"/>
        <v>8</v>
      </c>
      <c r="I1139" s="407" t="s">
        <v>1657</v>
      </c>
      <c r="J1139" s="258" t="s">
        <v>1243</v>
      </c>
      <c r="K1139" s="413" t="s">
        <v>2093</v>
      </c>
      <c r="L1139" s="413" t="s">
        <v>3627</v>
      </c>
      <c r="M1139" s="428">
        <v>113200000</v>
      </c>
      <c r="N1139" s="435">
        <v>1997</v>
      </c>
      <c r="O1139" s="258" t="s">
        <v>77</v>
      </c>
      <c r="P1139" s="436" t="s">
        <v>73</v>
      </c>
      <c r="Q1139" s="413" t="s">
        <v>72</v>
      </c>
      <c r="R1139" s="435">
        <v>5</v>
      </c>
      <c r="S1139" s="410">
        <v>26</v>
      </c>
      <c r="T1139" s="261">
        <v>6</v>
      </c>
      <c r="U1139" s="261">
        <v>6</v>
      </c>
      <c r="V1139" s="258" t="s">
        <v>1969</v>
      </c>
      <c r="W1139" s="261" t="str">
        <f t="shared" si="171"/>
        <v>JAGUAR&amp;LANDROVERDefender110 P300 X-다이나믹 SE113200000</v>
      </c>
      <c r="X1139" s="411">
        <f t="shared" si="172"/>
        <v>4913</v>
      </c>
      <c r="Y1139" s="261">
        <v>6</v>
      </c>
      <c r="Z1139" s="261">
        <v>6</v>
      </c>
      <c r="AA1139" s="407" t="s">
        <v>1657</v>
      </c>
      <c r="AB1139" s="258" t="s">
        <v>70</v>
      </c>
      <c r="AC1139" s="258"/>
      <c r="AD1139" s="258">
        <v>7</v>
      </c>
      <c r="AE1139" s="258"/>
      <c r="AF1139" s="259"/>
      <c r="AG1139" s="260"/>
      <c r="AH1139" s="259"/>
      <c r="AI1139" s="259"/>
      <c r="AJ1139" s="260"/>
      <c r="AK1139" s="259">
        <v>11</v>
      </c>
      <c r="AL1139" s="259"/>
      <c r="AM1139" s="259" t="s">
        <v>3965</v>
      </c>
      <c r="AN1139" s="449"/>
      <c r="AO1139" s="449"/>
      <c r="AP1139" s="449"/>
      <c r="AQ1139" s="392" t="str">
        <f>IFERROR(VLOOKUP(BG1139,#REF!,1,0),"")</f>
        <v/>
      </c>
      <c r="AR1139" s="450"/>
      <c r="AS1139" s="259" t="s">
        <v>3232</v>
      </c>
      <c r="AT1139" s="392"/>
      <c r="AU1139" s="392"/>
      <c r="AV1139" s="392"/>
      <c r="AW1139" s="450" t="s">
        <v>3961</v>
      </c>
      <c r="AX1139" s="450"/>
      <c r="AY1139" s="312"/>
      <c r="BD1139" s="202" t="str">
        <f t="shared" si="164"/>
        <v>Defender110 P300 X-다이나믹 SE</v>
      </c>
      <c r="BE1139" s="261" t="str">
        <f t="shared" si="170"/>
        <v>0169</v>
      </c>
      <c r="BF1139" s="407" t="s">
        <v>1657</v>
      </c>
      <c r="BG1139" s="202" t="str">
        <f t="shared" si="165"/>
        <v>0169-1138</v>
      </c>
    </row>
    <row r="1140" spans="1:59">
      <c r="A1140" s="405">
        <v>4914</v>
      </c>
      <c r="B1140" s="406">
        <v>4914</v>
      </c>
      <c r="C1140" s="261" t="str">
        <f t="shared" si="166"/>
        <v>0018-0170</v>
      </c>
      <c r="D1140" s="261" t="str">
        <f t="shared" si="167"/>
        <v>0018-0170-0001</v>
      </c>
      <c r="E1140" s="407" t="s">
        <v>1658</v>
      </c>
      <c r="F1140" s="261" t="str">
        <f>TEXT(VLOOKUP(J1140,'[3]1'!$B$2:$D$37,2,0),"0000")</f>
        <v>0018</v>
      </c>
      <c r="G1140" s="261" t="str">
        <f t="shared" si="168"/>
        <v>0170</v>
      </c>
      <c r="H1140" s="408">
        <f t="shared" si="169"/>
        <v>1</v>
      </c>
      <c r="I1140" s="407" t="s">
        <v>1658</v>
      </c>
      <c r="J1140" s="258" t="s">
        <v>1243</v>
      </c>
      <c r="K1140" s="258" t="s">
        <v>3509</v>
      </c>
      <c r="L1140" s="413" t="s">
        <v>3208</v>
      </c>
      <c r="M1140" s="415">
        <v>86800000</v>
      </c>
      <c r="N1140" s="416">
        <v>2996</v>
      </c>
      <c r="O1140" s="413" t="s">
        <v>78</v>
      </c>
      <c r="P1140" s="413" t="s">
        <v>73</v>
      </c>
      <c r="Q1140" s="413" t="s">
        <v>72</v>
      </c>
      <c r="R1140" s="416">
        <v>7</v>
      </c>
      <c r="S1140" s="410">
        <v>8</v>
      </c>
      <c r="T1140" s="261">
        <v>6</v>
      </c>
      <c r="U1140" s="261">
        <v>6</v>
      </c>
      <c r="V1140" s="258" t="s">
        <v>71</v>
      </c>
      <c r="W1140" s="261" t="str">
        <f t="shared" si="171"/>
        <v>JAGUAR&amp;LANDROVERDiscovery D300 R-DYN HSE86800000</v>
      </c>
      <c r="X1140" s="411">
        <f t="shared" si="172"/>
        <v>4914</v>
      </c>
      <c r="Y1140" s="261">
        <v>6</v>
      </c>
      <c r="Z1140" s="261">
        <v>6</v>
      </c>
      <c r="AA1140" s="407" t="s">
        <v>1658</v>
      </c>
      <c r="AB1140" s="258" t="s">
        <v>70</v>
      </c>
      <c r="AC1140" s="258"/>
      <c r="AD1140" s="258">
        <v>2</v>
      </c>
      <c r="AE1140" s="258">
        <v>1</v>
      </c>
      <c r="AF1140" s="259"/>
      <c r="AG1140" s="260"/>
      <c r="AH1140" s="259"/>
      <c r="AI1140" s="259"/>
      <c r="AJ1140" s="260"/>
      <c r="AK1140" s="259">
        <v>20</v>
      </c>
      <c r="AL1140" s="259"/>
      <c r="AM1140" s="259" t="s">
        <v>3980</v>
      </c>
      <c r="AN1140" s="449"/>
      <c r="AO1140" s="449"/>
      <c r="AP1140" s="449"/>
      <c r="AQ1140" s="392" t="str">
        <f>IFERROR(VLOOKUP(BG1140,#REF!,1,0),"")</f>
        <v/>
      </c>
      <c r="AR1140" s="450"/>
      <c r="AS1140" s="259" t="s">
        <v>3231</v>
      </c>
      <c r="AW1140" s="450" t="s">
        <v>3961</v>
      </c>
      <c r="AX1140" s="450"/>
      <c r="AY1140" s="450"/>
      <c r="BD1140" s="202" t="str">
        <f t="shared" si="164"/>
        <v>Discovery D300 R-DYN HSE</v>
      </c>
      <c r="BE1140" s="261" t="str">
        <f t="shared" si="170"/>
        <v>0170</v>
      </c>
      <c r="BF1140" s="407" t="s">
        <v>1658</v>
      </c>
      <c r="BG1140" s="202" t="str">
        <f t="shared" si="165"/>
        <v>0170-1139</v>
      </c>
    </row>
    <row r="1141" spans="1:59">
      <c r="A1141" s="405">
        <v>4915</v>
      </c>
      <c r="B1141" s="406">
        <v>4915</v>
      </c>
      <c r="C1141" s="261" t="str">
        <f t="shared" si="166"/>
        <v>0018-0170</v>
      </c>
      <c r="D1141" s="261" t="str">
        <f t="shared" si="167"/>
        <v>0018-0170-0002</v>
      </c>
      <c r="E1141" s="407" t="s">
        <v>1659</v>
      </c>
      <c r="F1141" s="261" t="str">
        <f>TEXT(VLOOKUP(J1141,'[3]1'!$B$2:$D$37,2,0),"0000")</f>
        <v>0018</v>
      </c>
      <c r="G1141" s="261" t="str">
        <f t="shared" si="168"/>
        <v>0170</v>
      </c>
      <c r="H1141" s="408">
        <f t="shared" si="169"/>
        <v>2</v>
      </c>
      <c r="I1141" s="407" t="s">
        <v>1659</v>
      </c>
      <c r="J1141" s="258" t="s">
        <v>1243</v>
      </c>
      <c r="K1141" s="258" t="s">
        <v>3509</v>
      </c>
      <c r="L1141" s="413" t="s">
        <v>3100</v>
      </c>
      <c r="M1141" s="506">
        <v>86800000</v>
      </c>
      <c r="N1141" s="416">
        <v>2996</v>
      </c>
      <c r="O1141" s="413" t="s">
        <v>1961</v>
      </c>
      <c r="P1141" s="413" t="s">
        <v>73</v>
      </c>
      <c r="Q1141" s="413" t="s">
        <v>72</v>
      </c>
      <c r="R1141" s="416">
        <v>7</v>
      </c>
      <c r="S1141" s="410">
        <v>8</v>
      </c>
      <c r="T1141" s="261">
        <v>6</v>
      </c>
      <c r="U1141" s="261">
        <v>6</v>
      </c>
      <c r="V1141" s="258" t="s">
        <v>71</v>
      </c>
      <c r="W1141" s="261" t="str">
        <f t="shared" si="171"/>
        <v>JAGUAR&amp;LANDROVERDiscovery D250 S A/T86800000</v>
      </c>
      <c r="X1141" s="411">
        <f t="shared" si="172"/>
        <v>4915</v>
      </c>
      <c r="Y1141" s="261">
        <v>6</v>
      </c>
      <c r="Z1141" s="261">
        <v>6</v>
      </c>
      <c r="AA1141" s="407" t="s">
        <v>1659</v>
      </c>
      <c r="AB1141" s="258" t="s">
        <v>70</v>
      </c>
      <c r="AC1141" s="258"/>
      <c r="AD1141" s="258"/>
      <c r="AE1141" s="258"/>
      <c r="AF1141" s="259"/>
      <c r="AG1141" s="260"/>
      <c r="AH1141" s="259"/>
      <c r="AI1141" s="259"/>
      <c r="AJ1141" s="260"/>
      <c r="AK1141" s="259">
        <v>20</v>
      </c>
      <c r="AL1141" s="259"/>
      <c r="AM1141" s="259" t="s">
        <v>3980</v>
      </c>
      <c r="AN1141" s="449"/>
      <c r="AO1141" s="449"/>
      <c r="AP1141" s="449"/>
      <c r="AQ1141" s="392" t="str">
        <f>IFERROR(VLOOKUP(BG1141,#REF!,1,0),"")</f>
        <v/>
      </c>
      <c r="AR1141" s="450"/>
      <c r="AS1141" s="259" t="s">
        <v>3231</v>
      </c>
      <c r="AT1141" s="392" t="s">
        <v>3171</v>
      </c>
      <c r="AW1141" s="450" t="s">
        <v>3961</v>
      </c>
      <c r="AX1141" s="450"/>
      <c r="AY1141" s="450"/>
      <c r="BD1141" s="202" t="str">
        <f t="shared" si="164"/>
        <v>Discovery D250 S A/T</v>
      </c>
      <c r="BE1141" s="261" t="str">
        <f t="shared" si="170"/>
        <v>0170</v>
      </c>
      <c r="BF1141" s="407" t="s">
        <v>1659</v>
      </c>
      <c r="BG1141" s="202" t="str">
        <f t="shared" si="165"/>
        <v>0170-1140</v>
      </c>
    </row>
    <row r="1142" spans="1:59">
      <c r="A1142" s="405">
        <v>4916</v>
      </c>
      <c r="B1142" s="406">
        <v>4916</v>
      </c>
      <c r="C1142" s="261" t="str">
        <f t="shared" si="166"/>
        <v>0018-0170</v>
      </c>
      <c r="D1142" s="261" t="str">
        <f t="shared" si="167"/>
        <v>0018-0170-0003</v>
      </c>
      <c r="E1142" s="407" t="s">
        <v>1660</v>
      </c>
      <c r="F1142" s="261" t="str">
        <f>TEXT(VLOOKUP(J1142,'[3]1'!$B$2:$D$37,2,0),"0000")</f>
        <v>0018</v>
      </c>
      <c r="G1142" s="261" t="str">
        <f t="shared" si="168"/>
        <v>0170</v>
      </c>
      <c r="H1142" s="408">
        <f t="shared" si="169"/>
        <v>3</v>
      </c>
      <c r="I1142" s="407" t="s">
        <v>1660</v>
      </c>
      <c r="J1142" s="258" t="s">
        <v>1243</v>
      </c>
      <c r="K1142" s="258" t="s">
        <v>3509</v>
      </c>
      <c r="L1142" s="413" t="s">
        <v>3995</v>
      </c>
      <c r="M1142" s="506">
        <v>119300000</v>
      </c>
      <c r="N1142" s="416">
        <v>2995</v>
      </c>
      <c r="O1142" s="258" t="s">
        <v>77</v>
      </c>
      <c r="P1142" s="413" t="s">
        <v>73</v>
      </c>
      <c r="Q1142" s="413" t="s">
        <v>72</v>
      </c>
      <c r="R1142" s="416">
        <v>7</v>
      </c>
      <c r="S1142" s="410">
        <v>8</v>
      </c>
      <c r="T1142" s="261">
        <v>6</v>
      </c>
      <c r="U1142" s="261">
        <v>6</v>
      </c>
      <c r="V1142" s="258" t="s">
        <v>71</v>
      </c>
      <c r="W1142" s="261" t="str">
        <f t="shared" si="171"/>
        <v>JAGUAR&amp;LANDROVERDiscovery P360 R-Dynamic SE119300000</v>
      </c>
      <c r="X1142" s="411">
        <f t="shared" si="172"/>
        <v>4916</v>
      </c>
      <c r="Y1142" s="261">
        <v>6</v>
      </c>
      <c r="Z1142" s="261">
        <v>6</v>
      </c>
      <c r="AA1142" s="407" t="s">
        <v>1660</v>
      </c>
      <c r="AB1142" s="258" t="s">
        <v>70</v>
      </c>
      <c r="AC1142" s="258"/>
      <c r="AD1142" s="258"/>
      <c r="AE1142" s="258"/>
      <c r="AF1142" s="259"/>
      <c r="AG1142" s="260"/>
      <c r="AH1142" s="259"/>
      <c r="AI1142" s="259"/>
      <c r="AJ1142" s="260"/>
      <c r="AK1142" s="259">
        <v>20</v>
      </c>
      <c r="AL1142" s="259"/>
      <c r="AM1142" s="259" t="s">
        <v>3764</v>
      </c>
      <c r="AN1142" s="449"/>
      <c r="AO1142" s="449"/>
      <c r="AP1142" s="449"/>
      <c r="AQ1142" s="392" t="str">
        <f>IFERROR(VLOOKUP(BG1142,#REF!,1,0),"")</f>
        <v/>
      </c>
      <c r="AR1142" s="450"/>
      <c r="AS1142" s="259" t="s">
        <v>3231</v>
      </c>
      <c r="AT1142" s="392" t="s">
        <v>3171</v>
      </c>
      <c r="AW1142" s="450" t="s">
        <v>3958</v>
      </c>
      <c r="AX1142" s="450"/>
      <c r="AY1142" s="450"/>
      <c r="BD1142" s="202" t="str">
        <f t="shared" si="164"/>
        <v>Discovery P360 R-Dynamic SE</v>
      </c>
      <c r="BE1142" s="261" t="str">
        <f t="shared" si="170"/>
        <v>0170</v>
      </c>
      <c r="BF1142" s="407" t="s">
        <v>1660</v>
      </c>
      <c r="BG1142" s="202" t="str">
        <f t="shared" si="165"/>
        <v>0170-1141</v>
      </c>
    </row>
    <row r="1143" spans="1:59">
      <c r="A1143" s="405">
        <v>4917</v>
      </c>
      <c r="B1143" s="406">
        <v>4917</v>
      </c>
      <c r="C1143" s="261" t="str">
        <f t="shared" si="166"/>
        <v>0018-0170</v>
      </c>
      <c r="D1143" s="261" t="str">
        <f t="shared" si="167"/>
        <v>0018-0170-0004</v>
      </c>
      <c r="E1143" s="407" t="s">
        <v>1661</v>
      </c>
      <c r="F1143" s="261" t="str">
        <f>TEXT(VLOOKUP(J1143,'[3]1'!$B$2:$D$37,2,0),"0000")</f>
        <v>0018</v>
      </c>
      <c r="G1143" s="261" t="str">
        <f t="shared" si="168"/>
        <v>0170</v>
      </c>
      <c r="H1143" s="408">
        <f t="shared" si="169"/>
        <v>4</v>
      </c>
      <c r="I1143" s="407" t="s">
        <v>1661</v>
      </c>
      <c r="J1143" s="258" t="s">
        <v>1243</v>
      </c>
      <c r="K1143" s="258" t="s">
        <v>3509</v>
      </c>
      <c r="L1143" s="413" t="s">
        <v>3996</v>
      </c>
      <c r="M1143" s="506">
        <v>119300000</v>
      </c>
      <c r="N1143" s="416">
        <v>1997</v>
      </c>
      <c r="O1143" s="258" t="s">
        <v>77</v>
      </c>
      <c r="P1143" s="413" t="s">
        <v>73</v>
      </c>
      <c r="Q1143" s="413" t="s">
        <v>72</v>
      </c>
      <c r="R1143" s="416">
        <v>7</v>
      </c>
      <c r="S1143" s="410">
        <v>8</v>
      </c>
      <c r="T1143" s="261">
        <v>6</v>
      </c>
      <c r="U1143" s="261">
        <v>6</v>
      </c>
      <c r="V1143" s="258" t="s">
        <v>71</v>
      </c>
      <c r="W1143" s="261" t="str">
        <f t="shared" si="171"/>
        <v>JAGUAR&amp;LANDROVERDiscovery P300 SE119300000</v>
      </c>
      <c r="X1143" s="411">
        <f t="shared" si="172"/>
        <v>4917</v>
      </c>
      <c r="Y1143" s="261">
        <v>6</v>
      </c>
      <c r="Z1143" s="261">
        <v>6</v>
      </c>
      <c r="AA1143" s="407" t="s">
        <v>1661</v>
      </c>
      <c r="AB1143" s="258" t="s">
        <v>70</v>
      </c>
      <c r="AC1143" s="258"/>
      <c r="AD1143" s="258"/>
      <c r="AE1143" s="258"/>
      <c r="AF1143" s="259"/>
      <c r="AG1143" s="260"/>
      <c r="AH1143" s="259"/>
      <c r="AI1143" s="259"/>
      <c r="AJ1143" s="260"/>
      <c r="AK1143" s="259">
        <v>20</v>
      </c>
      <c r="AL1143" s="259"/>
      <c r="AM1143" s="259" t="s">
        <v>3980</v>
      </c>
      <c r="AN1143" s="449"/>
      <c r="AO1143" s="449"/>
      <c r="AP1143" s="449"/>
      <c r="AQ1143" s="392" t="str">
        <f>IFERROR(VLOOKUP(BG1143,#REF!,1,0),"")</f>
        <v/>
      </c>
      <c r="AR1143" s="450"/>
      <c r="AS1143" s="259" t="s">
        <v>3231</v>
      </c>
      <c r="AT1143" s="392" t="s">
        <v>3171</v>
      </c>
      <c r="AW1143" s="450" t="s">
        <v>3961</v>
      </c>
      <c r="AX1143" s="450"/>
      <c r="AY1143" s="450"/>
      <c r="BD1143" s="202" t="str">
        <f t="shared" si="164"/>
        <v>Discovery P300 SE</v>
      </c>
      <c r="BE1143" s="261" t="str">
        <f t="shared" si="170"/>
        <v>0170</v>
      </c>
      <c r="BF1143" s="407" t="s">
        <v>1661</v>
      </c>
      <c r="BG1143" s="202" t="str">
        <f t="shared" si="165"/>
        <v>0170-1142</v>
      </c>
    </row>
    <row r="1144" spans="1:59">
      <c r="A1144" s="405">
        <v>4918</v>
      </c>
      <c r="B1144" s="406">
        <v>4918</v>
      </c>
      <c r="C1144" s="261" t="str">
        <f t="shared" si="166"/>
        <v>0018-0171</v>
      </c>
      <c r="D1144" s="261" t="str">
        <f t="shared" si="167"/>
        <v>0018-0171-0001</v>
      </c>
      <c r="E1144" s="407" t="s">
        <v>1662</v>
      </c>
      <c r="F1144" s="261" t="str">
        <f>TEXT(VLOOKUP(J1144,'[3]1'!$B$2:$D$37,2,0),"0000")</f>
        <v>0018</v>
      </c>
      <c r="G1144" s="261" t="str">
        <f t="shared" si="168"/>
        <v>0171</v>
      </c>
      <c r="H1144" s="408">
        <f t="shared" si="169"/>
        <v>1</v>
      </c>
      <c r="I1144" s="407" t="s">
        <v>1662</v>
      </c>
      <c r="J1144" s="258" t="s">
        <v>1243</v>
      </c>
      <c r="K1144" s="258" t="s">
        <v>155</v>
      </c>
      <c r="L1144" s="413" t="s">
        <v>3628</v>
      </c>
      <c r="M1144" s="415">
        <v>72900000</v>
      </c>
      <c r="N1144" s="416">
        <v>1997</v>
      </c>
      <c r="O1144" s="258" t="s">
        <v>77</v>
      </c>
      <c r="P1144" s="413" t="s">
        <v>73</v>
      </c>
      <c r="Q1144" s="413" t="s">
        <v>72</v>
      </c>
      <c r="R1144" s="416">
        <v>5</v>
      </c>
      <c r="S1144" s="410">
        <v>8</v>
      </c>
      <c r="T1144" s="261">
        <v>6</v>
      </c>
      <c r="U1144" s="261">
        <v>6</v>
      </c>
      <c r="V1144" s="258" t="s">
        <v>71</v>
      </c>
      <c r="W1144" s="261" t="str">
        <f t="shared" si="171"/>
        <v>JAGUAR&amp;LANDROVERDiscovery SportP250 S72900000</v>
      </c>
      <c r="X1144" s="411">
        <f t="shared" si="172"/>
        <v>4918</v>
      </c>
      <c r="Y1144" s="261">
        <v>6</v>
      </c>
      <c r="Z1144" s="261">
        <v>6</v>
      </c>
      <c r="AA1144" s="407" t="s">
        <v>1662</v>
      </c>
      <c r="AB1144" s="258" t="s">
        <v>70</v>
      </c>
      <c r="AC1144" s="258"/>
      <c r="AD1144" s="258">
        <v>6</v>
      </c>
      <c r="AE1144" s="258">
        <v>0</v>
      </c>
      <c r="AF1144" s="259"/>
      <c r="AG1144" s="260"/>
      <c r="AH1144" s="259"/>
      <c r="AI1144" s="259"/>
      <c r="AJ1144" s="260"/>
      <c r="AK1144" s="259">
        <v>20</v>
      </c>
      <c r="AL1144" s="259"/>
      <c r="AM1144" s="259" t="s">
        <v>3980</v>
      </c>
      <c r="AN1144" s="449"/>
      <c r="AO1144" s="449"/>
      <c r="AP1144" s="449"/>
      <c r="AQ1144" s="392" t="str">
        <f>IFERROR(VLOOKUP(BG1144,#REF!,1,0),"")</f>
        <v/>
      </c>
      <c r="AR1144" s="450"/>
      <c r="AS1144" s="259" t="s">
        <v>3231</v>
      </c>
      <c r="AW1144" s="450" t="s">
        <v>3961</v>
      </c>
      <c r="AX1144" s="450"/>
      <c r="AY1144" s="450"/>
      <c r="BD1144" s="202" t="str">
        <f t="shared" si="164"/>
        <v>Discovery SportP250 S</v>
      </c>
      <c r="BE1144" s="261" t="str">
        <f t="shared" si="170"/>
        <v>0171</v>
      </c>
      <c r="BF1144" s="407" t="s">
        <v>1662</v>
      </c>
      <c r="BG1144" s="202" t="str">
        <f t="shared" si="165"/>
        <v>0171-1143</v>
      </c>
    </row>
    <row r="1145" spans="1:59">
      <c r="A1145" s="405">
        <v>4919</v>
      </c>
      <c r="B1145" s="406">
        <v>4919</v>
      </c>
      <c r="C1145" s="261" t="str">
        <f t="shared" si="166"/>
        <v>0018-0171</v>
      </c>
      <c r="D1145" s="261" t="str">
        <f t="shared" si="167"/>
        <v>0018-0171-0002</v>
      </c>
      <c r="E1145" s="407" t="s">
        <v>1663</v>
      </c>
      <c r="F1145" s="261" t="str">
        <f>TEXT(VLOOKUP(J1145,'[3]1'!$B$2:$D$37,2,0),"0000")</f>
        <v>0018</v>
      </c>
      <c r="G1145" s="261" t="str">
        <f t="shared" si="168"/>
        <v>0171</v>
      </c>
      <c r="H1145" s="408">
        <f t="shared" si="169"/>
        <v>2</v>
      </c>
      <c r="I1145" s="407" t="s">
        <v>1663</v>
      </c>
      <c r="J1145" s="258" t="s">
        <v>1243</v>
      </c>
      <c r="K1145" s="258" t="s">
        <v>155</v>
      </c>
      <c r="L1145" s="413" t="s">
        <v>1268</v>
      </c>
      <c r="M1145" s="415">
        <v>76600000</v>
      </c>
      <c r="N1145" s="416">
        <v>1997</v>
      </c>
      <c r="O1145" s="258" t="s">
        <v>77</v>
      </c>
      <c r="P1145" s="413" t="s">
        <v>73</v>
      </c>
      <c r="Q1145" s="413" t="s">
        <v>72</v>
      </c>
      <c r="R1145" s="416">
        <v>5</v>
      </c>
      <c r="S1145" s="410">
        <v>8</v>
      </c>
      <c r="T1145" s="261">
        <v>6</v>
      </c>
      <c r="U1145" s="261">
        <v>6</v>
      </c>
      <c r="V1145" s="258" t="s">
        <v>71</v>
      </c>
      <c r="W1145" s="261" t="str">
        <f t="shared" si="171"/>
        <v>JAGUAR&amp;LANDROVERDiscovery SportP250 SE76600000</v>
      </c>
      <c r="X1145" s="411">
        <f t="shared" si="172"/>
        <v>4919</v>
      </c>
      <c r="Y1145" s="261">
        <v>6</v>
      </c>
      <c r="Z1145" s="261">
        <v>6</v>
      </c>
      <c r="AA1145" s="407" t="s">
        <v>1663</v>
      </c>
      <c r="AB1145" s="258" t="s">
        <v>70</v>
      </c>
      <c r="AC1145" s="258"/>
      <c r="AD1145" s="258">
        <v>6</v>
      </c>
      <c r="AE1145" s="258">
        <v>0</v>
      </c>
      <c r="AF1145" s="259"/>
      <c r="AG1145" s="260"/>
      <c r="AH1145" s="259"/>
      <c r="AI1145" s="259"/>
      <c r="AJ1145" s="260"/>
      <c r="AK1145" s="259">
        <v>20</v>
      </c>
      <c r="AL1145" s="259"/>
      <c r="AM1145" s="259" t="s">
        <v>3980</v>
      </c>
      <c r="AN1145" s="449"/>
      <c r="AO1145" s="449"/>
      <c r="AP1145" s="449"/>
      <c r="AQ1145" s="392" t="str">
        <f>IFERROR(VLOOKUP(BG1145,#REF!,1,0),"")</f>
        <v/>
      </c>
      <c r="AR1145" s="450"/>
      <c r="AS1145" s="259" t="s">
        <v>3231</v>
      </c>
      <c r="AW1145" s="450" t="s">
        <v>3961</v>
      </c>
      <c r="AX1145" s="450"/>
      <c r="AY1145" s="450"/>
      <c r="BD1145" s="202" t="str">
        <f t="shared" si="164"/>
        <v>Discovery SportP250 SE</v>
      </c>
      <c r="BE1145" s="261" t="str">
        <f t="shared" si="170"/>
        <v>0171</v>
      </c>
      <c r="BF1145" s="407" t="s">
        <v>1663</v>
      </c>
      <c r="BG1145" s="202" t="str">
        <f t="shared" si="165"/>
        <v>0171-1144</v>
      </c>
    </row>
    <row r="1146" spans="1:59">
      <c r="A1146" s="405">
        <v>4920</v>
      </c>
      <c r="B1146" s="406">
        <v>4920</v>
      </c>
      <c r="C1146" s="261" t="str">
        <f t="shared" si="166"/>
        <v>0018-0172</v>
      </c>
      <c r="D1146" s="261" t="str">
        <f t="shared" si="167"/>
        <v>0018-0172-0001</v>
      </c>
      <c r="E1146" s="407" t="s">
        <v>1664</v>
      </c>
      <c r="F1146" s="261" t="str">
        <f>TEXT(VLOOKUP(J1146,'[3]1'!$B$2:$D$37,2,0),"0000")</f>
        <v>0018</v>
      </c>
      <c r="G1146" s="261" t="str">
        <f t="shared" si="168"/>
        <v>0172</v>
      </c>
      <c r="H1146" s="408">
        <f t="shared" si="169"/>
        <v>1</v>
      </c>
      <c r="I1146" s="407" t="s">
        <v>1664</v>
      </c>
      <c r="J1146" s="258" t="s">
        <v>1243</v>
      </c>
      <c r="K1146" s="258" t="s">
        <v>1251</v>
      </c>
      <c r="L1146" s="258" t="s">
        <v>3634</v>
      </c>
      <c r="M1146" s="409">
        <v>134170000</v>
      </c>
      <c r="N1146" s="426">
        <v>2997</v>
      </c>
      <c r="O1146" s="426" t="s">
        <v>1961</v>
      </c>
      <c r="P1146" s="426" t="s">
        <v>73</v>
      </c>
      <c r="Q1146" s="258" t="s">
        <v>72</v>
      </c>
      <c r="R1146" s="426">
        <v>5</v>
      </c>
      <c r="S1146" s="410">
        <v>26</v>
      </c>
      <c r="T1146" s="261">
        <v>6</v>
      </c>
      <c r="U1146" s="261">
        <v>6</v>
      </c>
      <c r="V1146" s="258" t="s">
        <v>3105</v>
      </c>
      <c r="W1146" s="261" t="str">
        <f t="shared" si="171"/>
        <v>JAGUAR&amp;LANDROVERRange RoverD350 LWB134170000</v>
      </c>
      <c r="X1146" s="411">
        <f t="shared" si="172"/>
        <v>4920</v>
      </c>
      <c r="Y1146" s="261">
        <v>6</v>
      </c>
      <c r="Z1146" s="261">
        <v>6</v>
      </c>
      <c r="AA1146" s="407" t="s">
        <v>1664</v>
      </c>
      <c r="AB1146" s="258" t="s">
        <v>3110</v>
      </c>
      <c r="AC1146" s="258"/>
      <c r="AD1146" s="258">
        <v>7</v>
      </c>
      <c r="AE1146" s="258">
        <v>0</v>
      </c>
      <c r="AF1146" s="259"/>
      <c r="AG1146" s="260"/>
      <c r="AH1146" s="259"/>
      <c r="AI1146" s="259"/>
      <c r="AJ1146" s="260"/>
      <c r="AK1146" s="259">
        <v>11</v>
      </c>
      <c r="AL1146" s="259"/>
      <c r="AM1146" s="259" t="s">
        <v>3965</v>
      </c>
      <c r="AN1146" s="449"/>
      <c r="AO1146" s="449"/>
      <c r="AP1146" s="449"/>
      <c r="AQ1146" s="392" t="str">
        <f>IFERROR(VLOOKUP(BG1146,#REF!,1,0),"")</f>
        <v/>
      </c>
      <c r="AR1146" s="450"/>
      <c r="AS1146" s="259" t="s">
        <v>3233</v>
      </c>
      <c r="AT1146" s="392">
        <v>24.06</v>
      </c>
      <c r="AW1146" s="450" t="s">
        <v>3958</v>
      </c>
      <c r="AX1146" s="450"/>
      <c r="AY1146" s="312" t="s">
        <v>3107</v>
      </c>
      <c r="AZ1146" s="202" t="e">
        <f>VLOOKUP(#REF!,잔가군!$B:$C,2,0)</f>
        <v>#REF!</v>
      </c>
      <c r="BA1146" s="202" t="e">
        <f>S1146-#REF!</f>
        <v>#REF!</v>
      </c>
      <c r="BD1146" s="202" t="str">
        <f t="shared" si="164"/>
        <v>Range RoverD350 LWB</v>
      </c>
      <c r="BE1146" s="261" t="str">
        <f t="shared" si="170"/>
        <v>0172</v>
      </c>
      <c r="BF1146" s="407" t="s">
        <v>1664</v>
      </c>
      <c r="BG1146" s="202" t="str">
        <f t="shared" si="165"/>
        <v>0172-1145</v>
      </c>
    </row>
    <row r="1147" spans="1:59">
      <c r="A1147" s="405">
        <v>4921</v>
      </c>
      <c r="B1147" s="406">
        <v>4921</v>
      </c>
      <c r="C1147" s="261" t="str">
        <f t="shared" si="166"/>
        <v>0018-0172</v>
      </c>
      <c r="D1147" s="261" t="str">
        <f t="shared" si="167"/>
        <v>0018-0172-0002</v>
      </c>
      <c r="E1147" s="407" t="s">
        <v>1665</v>
      </c>
      <c r="F1147" s="261" t="str">
        <f>TEXT(VLOOKUP(J1147,'[3]1'!$B$2:$D$37,2,0),"0000")</f>
        <v>0018</v>
      </c>
      <c r="G1147" s="261" t="str">
        <f t="shared" si="168"/>
        <v>0172</v>
      </c>
      <c r="H1147" s="408">
        <f t="shared" si="169"/>
        <v>2</v>
      </c>
      <c r="I1147" s="407" t="s">
        <v>1665</v>
      </c>
      <c r="J1147" s="258" t="s">
        <v>1243</v>
      </c>
      <c r="K1147" s="258" t="s">
        <v>1251</v>
      </c>
      <c r="L1147" s="258" t="s">
        <v>3635</v>
      </c>
      <c r="M1147" s="409">
        <v>225270000</v>
      </c>
      <c r="N1147" s="426">
        <v>4395</v>
      </c>
      <c r="O1147" s="258" t="s">
        <v>77</v>
      </c>
      <c r="P1147" s="426" t="s">
        <v>73</v>
      </c>
      <c r="Q1147" s="258" t="s">
        <v>72</v>
      </c>
      <c r="R1147" s="426">
        <v>5</v>
      </c>
      <c r="S1147" s="410">
        <v>26</v>
      </c>
      <c r="T1147" s="261">
        <v>6</v>
      </c>
      <c r="U1147" s="261">
        <v>6</v>
      </c>
      <c r="V1147" s="258" t="s">
        <v>1969</v>
      </c>
      <c r="W1147" s="261" t="str">
        <f t="shared" si="171"/>
        <v>JAGUAR&amp;LANDROVERRange RoverP530 AB LWB(5seat)225270000</v>
      </c>
      <c r="X1147" s="411">
        <f t="shared" si="172"/>
        <v>4921</v>
      </c>
      <c r="Y1147" s="261">
        <v>6</v>
      </c>
      <c r="Z1147" s="261">
        <v>6</v>
      </c>
      <c r="AA1147" s="407" t="s">
        <v>1665</v>
      </c>
      <c r="AB1147" s="258" t="s">
        <v>1965</v>
      </c>
      <c r="AC1147" s="258"/>
      <c r="AD1147" s="258">
        <v>7</v>
      </c>
      <c r="AE1147" s="258">
        <v>0</v>
      </c>
      <c r="AF1147" s="259"/>
      <c r="AG1147" s="260"/>
      <c r="AH1147" s="259"/>
      <c r="AI1147" s="259"/>
      <c r="AJ1147" s="260"/>
      <c r="AK1147" s="259">
        <v>11</v>
      </c>
      <c r="AL1147" s="259"/>
      <c r="AM1147" s="259" t="s">
        <v>3965</v>
      </c>
      <c r="AN1147" s="449"/>
      <c r="AO1147" s="449"/>
      <c r="AP1147" s="449"/>
      <c r="AQ1147" s="392" t="str">
        <f>IFERROR(VLOOKUP(BG1147,#REF!,1,0),"")</f>
        <v/>
      </c>
      <c r="AR1147" s="450"/>
      <c r="AS1147" s="259" t="s">
        <v>71</v>
      </c>
      <c r="AT1147" s="392">
        <v>24.06</v>
      </c>
      <c r="AW1147" s="450" t="s">
        <v>3958</v>
      </c>
      <c r="AX1147" s="450"/>
      <c r="AY1147" s="312"/>
      <c r="BD1147" s="202" t="str">
        <f t="shared" si="164"/>
        <v>Range RoverP530 AB LWB(5seat)</v>
      </c>
      <c r="BE1147" s="261" t="str">
        <f t="shared" si="170"/>
        <v>0172</v>
      </c>
      <c r="BF1147" s="407" t="s">
        <v>1665</v>
      </c>
      <c r="BG1147" s="202" t="str">
        <f t="shared" si="165"/>
        <v>0172-1146</v>
      </c>
    </row>
    <row r="1148" spans="1:59">
      <c r="A1148" s="405">
        <v>4922</v>
      </c>
      <c r="B1148" s="406">
        <v>4922</v>
      </c>
      <c r="C1148" s="261" t="str">
        <f t="shared" si="166"/>
        <v>0018-0172</v>
      </c>
      <c r="D1148" s="261" t="str">
        <f t="shared" si="167"/>
        <v>0018-0172-0003</v>
      </c>
      <c r="E1148" s="407" t="s">
        <v>1666</v>
      </c>
      <c r="F1148" s="261" t="str">
        <f>TEXT(VLOOKUP(J1148,'[3]1'!$B$2:$D$37,2,0),"0000")</f>
        <v>0018</v>
      </c>
      <c r="G1148" s="261" t="str">
        <f t="shared" si="168"/>
        <v>0172</v>
      </c>
      <c r="H1148" s="408">
        <f t="shared" si="169"/>
        <v>3</v>
      </c>
      <c r="I1148" s="407" t="s">
        <v>1666</v>
      </c>
      <c r="J1148" s="258" t="s">
        <v>1243</v>
      </c>
      <c r="K1148" s="258" t="s">
        <v>1251</v>
      </c>
      <c r="L1148" s="258" t="s">
        <v>3205</v>
      </c>
      <c r="M1148" s="409">
        <v>225270000</v>
      </c>
      <c r="N1148" s="426">
        <v>4395</v>
      </c>
      <c r="O1148" s="258" t="s">
        <v>77</v>
      </c>
      <c r="P1148" s="426" t="s">
        <v>73</v>
      </c>
      <c r="Q1148" s="258" t="s">
        <v>72</v>
      </c>
      <c r="R1148" s="426">
        <v>7</v>
      </c>
      <c r="S1148" s="410">
        <v>26</v>
      </c>
      <c r="T1148" s="261">
        <v>6</v>
      </c>
      <c r="U1148" s="261">
        <v>6</v>
      </c>
      <c r="V1148" s="258" t="s">
        <v>1969</v>
      </c>
      <c r="W1148" s="261" t="str">
        <f t="shared" si="171"/>
        <v>JAGUAR&amp;LANDROVERRange RoverP530 AB LWB(7seat)225270000</v>
      </c>
      <c r="X1148" s="411">
        <f t="shared" si="172"/>
        <v>4922</v>
      </c>
      <c r="Y1148" s="261">
        <v>6</v>
      </c>
      <c r="Z1148" s="261">
        <v>6</v>
      </c>
      <c r="AA1148" s="407" t="s">
        <v>1666</v>
      </c>
      <c r="AB1148" s="258" t="s">
        <v>1965</v>
      </c>
      <c r="AC1148" s="258"/>
      <c r="AD1148" s="258">
        <v>7</v>
      </c>
      <c r="AE1148" s="258">
        <v>0</v>
      </c>
      <c r="AF1148" s="259"/>
      <c r="AG1148" s="260"/>
      <c r="AH1148" s="259"/>
      <c r="AI1148" s="259"/>
      <c r="AJ1148" s="260"/>
      <c r="AK1148" s="259">
        <v>11</v>
      </c>
      <c r="AL1148" s="259"/>
      <c r="AM1148" s="259" t="s">
        <v>3965</v>
      </c>
      <c r="AN1148" s="449"/>
      <c r="AO1148" s="449"/>
      <c r="AP1148" s="449"/>
      <c r="AQ1148" s="392" t="str">
        <f>IFERROR(VLOOKUP(BG1148,#REF!,1,0),"")</f>
        <v/>
      </c>
      <c r="AR1148" s="450"/>
      <c r="AS1148" s="259" t="s">
        <v>71</v>
      </c>
      <c r="AT1148" s="392">
        <v>24.06</v>
      </c>
      <c r="AW1148" s="450" t="s">
        <v>3958</v>
      </c>
      <c r="AX1148" s="450"/>
      <c r="AY1148" s="312"/>
      <c r="BD1148" s="202" t="str">
        <f t="shared" si="164"/>
        <v>Range RoverP530 AB LWB(7seat)</v>
      </c>
      <c r="BE1148" s="261" t="str">
        <f t="shared" si="170"/>
        <v>0172</v>
      </c>
      <c r="BF1148" s="407" t="s">
        <v>1666</v>
      </c>
      <c r="BG1148" s="202" t="str">
        <f t="shared" si="165"/>
        <v>0172-1147</v>
      </c>
    </row>
    <row r="1149" spans="1:59">
      <c r="A1149" s="405">
        <v>4923</v>
      </c>
      <c r="B1149" s="406">
        <v>4923</v>
      </c>
      <c r="C1149" s="261" t="str">
        <f t="shared" si="166"/>
        <v>0018-0172</v>
      </c>
      <c r="D1149" s="261" t="str">
        <f t="shared" si="167"/>
        <v>0018-0172-0004</v>
      </c>
      <c r="E1149" s="407" t="s">
        <v>1667</v>
      </c>
      <c r="F1149" s="261" t="str">
        <f>TEXT(VLOOKUP(J1149,'[3]1'!$B$2:$D$37,2,0),"0000")</f>
        <v>0018</v>
      </c>
      <c r="G1149" s="261" t="str">
        <f t="shared" si="168"/>
        <v>0172</v>
      </c>
      <c r="H1149" s="408">
        <f t="shared" si="169"/>
        <v>4</v>
      </c>
      <c r="I1149" s="407" t="s">
        <v>1667</v>
      </c>
      <c r="J1149" s="258" t="s">
        <v>1243</v>
      </c>
      <c r="K1149" s="258" t="s">
        <v>1251</v>
      </c>
      <c r="L1149" s="258" t="s">
        <v>3206</v>
      </c>
      <c r="M1149" s="409">
        <v>224270000</v>
      </c>
      <c r="N1149" s="426">
        <v>4395</v>
      </c>
      <c r="O1149" s="258" t="s">
        <v>77</v>
      </c>
      <c r="P1149" s="426" t="s">
        <v>73</v>
      </c>
      <c r="Q1149" s="258" t="s">
        <v>72</v>
      </c>
      <c r="R1149" s="426">
        <v>5</v>
      </c>
      <c r="S1149" s="410">
        <v>26</v>
      </c>
      <c r="T1149" s="261">
        <v>6</v>
      </c>
      <c r="U1149" s="261">
        <v>6</v>
      </c>
      <c r="V1149" s="258" t="s">
        <v>1969</v>
      </c>
      <c r="W1149" s="261" t="str">
        <f t="shared" si="171"/>
        <v>JAGUAR&amp;LANDROVERRange RoverP530 AB SWB224270000</v>
      </c>
      <c r="X1149" s="411">
        <f t="shared" si="172"/>
        <v>4923</v>
      </c>
      <c r="Y1149" s="261">
        <v>6</v>
      </c>
      <c r="Z1149" s="261">
        <v>6</v>
      </c>
      <c r="AA1149" s="407" t="s">
        <v>1667</v>
      </c>
      <c r="AB1149" s="258" t="s">
        <v>1965</v>
      </c>
      <c r="AC1149" s="258"/>
      <c r="AD1149" s="258">
        <v>7</v>
      </c>
      <c r="AE1149" s="258">
        <v>0</v>
      </c>
      <c r="AF1149" s="259"/>
      <c r="AG1149" s="260"/>
      <c r="AH1149" s="259"/>
      <c r="AI1149" s="259"/>
      <c r="AJ1149" s="260"/>
      <c r="AK1149" s="259">
        <v>11</v>
      </c>
      <c r="AL1149" s="259"/>
      <c r="AM1149" s="259" t="s">
        <v>3965</v>
      </c>
      <c r="AN1149" s="449"/>
      <c r="AO1149" s="449"/>
      <c r="AP1149" s="449"/>
      <c r="AQ1149" s="392" t="str">
        <f>IFERROR(VLOOKUP(BG1149,#REF!,1,0),"")</f>
        <v/>
      </c>
      <c r="AR1149" s="450"/>
      <c r="AS1149" s="259" t="s">
        <v>71</v>
      </c>
      <c r="AT1149" s="392">
        <v>24.06</v>
      </c>
      <c r="AW1149" s="450" t="s">
        <v>3958</v>
      </c>
      <c r="AX1149" s="450"/>
      <c r="AY1149" s="312"/>
      <c r="BD1149" s="202" t="str">
        <f t="shared" si="164"/>
        <v>Range RoverP530 AB SWB</v>
      </c>
      <c r="BE1149" s="261" t="str">
        <f t="shared" si="170"/>
        <v>0172</v>
      </c>
      <c r="BF1149" s="407" t="s">
        <v>1667</v>
      </c>
      <c r="BG1149" s="202" t="str">
        <f t="shared" si="165"/>
        <v>0172-1148</v>
      </c>
    </row>
    <row r="1150" spans="1:59">
      <c r="A1150" s="405">
        <v>4924</v>
      </c>
      <c r="B1150" s="406">
        <v>4924</v>
      </c>
      <c r="C1150" s="261" t="str">
        <f t="shared" si="166"/>
        <v>0018-0172</v>
      </c>
      <c r="D1150" s="261" t="str">
        <f t="shared" si="167"/>
        <v>0018-0172-0005</v>
      </c>
      <c r="E1150" s="407" t="s">
        <v>1668</v>
      </c>
      <c r="F1150" s="261" t="str">
        <f>TEXT(VLOOKUP(J1150,'[3]1'!$B$2:$D$37,2,0),"0000")</f>
        <v>0018</v>
      </c>
      <c r="G1150" s="261" t="str">
        <f t="shared" si="168"/>
        <v>0172</v>
      </c>
      <c r="H1150" s="408">
        <f t="shared" si="169"/>
        <v>5</v>
      </c>
      <c r="I1150" s="407" t="s">
        <v>1668</v>
      </c>
      <c r="J1150" s="258" t="s">
        <v>1243</v>
      </c>
      <c r="K1150" s="258" t="s">
        <v>1251</v>
      </c>
      <c r="L1150" s="258" t="s">
        <v>3649</v>
      </c>
      <c r="M1150" s="409">
        <v>234700000</v>
      </c>
      <c r="N1150" s="426">
        <v>4395</v>
      </c>
      <c r="O1150" s="258" t="s">
        <v>77</v>
      </c>
      <c r="P1150" s="426" t="s">
        <v>73</v>
      </c>
      <c r="Q1150" s="258" t="s">
        <v>72</v>
      </c>
      <c r="R1150" s="426">
        <v>5</v>
      </c>
      <c r="S1150" s="410">
        <v>26</v>
      </c>
      <c r="T1150" s="261">
        <v>6</v>
      </c>
      <c r="U1150" s="261">
        <v>6</v>
      </c>
      <c r="V1150" s="258" t="s">
        <v>1969</v>
      </c>
      <c r="W1150" s="261" t="str">
        <f t="shared" si="171"/>
        <v>JAGUAR&amp;LANDROVERRange RoverP550e SWB234700000</v>
      </c>
      <c r="X1150" s="411">
        <f t="shared" si="172"/>
        <v>4924</v>
      </c>
      <c r="Y1150" s="261">
        <v>6</v>
      </c>
      <c r="Z1150" s="261">
        <v>6</v>
      </c>
      <c r="AA1150" s="407" t="s">
        <v>1668</v>
      </c>
      <c r="AB1150" s="258" t="s">
        <v>1965</v>
      </c>
      <c r="AC1150" s="258"/>
      <c r="AD1150" s="258">
        <v>7</v>
      </c>
      <c r="AE1150" s="258">
        <v>0</v>
      </c>
      <c r="AF1150" s="259"/>
      <c r="AG1150" s="260"/>
      <c r="AH1150" s="259"/>
      <c r="AI1150" s="259"/>
      <c r="AJ1150" s="260"/>
      <c r="AK1150" s="259">
        <v>22</v>
      </c>
      <c r="AL1150" s="259"/>
      <c r="AM1150" s="259" t="s">
        <v>3671</v>
      </c>
      <c r="AN1150" s="449"/>
      <c r="AO1150" s="449"/>
      <c r="AP1150" s="449"/>
      <c r="AQ1150" s="392" t="str">
        <f>IFERROR(VLOOKUP(BG1150,#REF!,1,0),"")</f>
        <v/>
      </c>
      <c r="AR1150" s="450"/>
      <c r="AS1150" s="259" t="s">
        <v>71</v>
      </c>
      <c r="AT1150" s="392">
        <v>24.06</v>
      </c>
      <c r="AW1150" s="450"/>
      <c r="AX1150" s="450"/>
      <c r="AY1150" s="312"/>
      <c r="BD1150" s="202" t="str">
        <f t="shared" si="164"/>
        <v>Range RoverP550e SWB</v>
      </c>
      <c r="BE1150" s="261" t="str">
        <f t="shared" si="170"/>
        <v>0172</v>
      </c>
      <c r="BF1150" s="407" t="s">
        <v>1668</v>
      </c>
      <c r="BG1150" s="202" t="str">
        <f t="shared" si="165"/>
        <v>0172-1149</v>
      </c>
    </row>
    <row r="1151" spans="1:59">
      <c r="A1151" s="405">
        <v>4925</v>
      </c>
      <c r="B1151" s="406">
        <v>4925</v>
      </c>
      <c r="C1151" s="261" t="str">
        <f t="shared" si="166"/>
        <v>0018-0172</v>
      </c>
      <c r="D1151" s="261" t="str">
        <f t="shared" si="167"/>
        <v>0018-0172-0006</v>
      </c>
      <c r="E1151" s="407" t="s">
        <v>1669</v>
      </c>
      <c r="F1151" s="261" t="str">
        <f>TEXT(VLOOKUP(J1151,'[3]1'!$B$2:$D$37,2,0),"0000")</f>
        <v>0018</v>
      </c>
      <c r="G1151" s="261" t="str">
        <f t="shared" si="168"/>
        <v>0172</v>
      </c>
      <c r="H1151" s="408">
        <f t="shared" si="169"/>
        <v>6</v>
      </c>
      <c r="I1151" s="407" t="s">
        <v>1669</v>
      </c>
      <c r="J1151" s="258" t="s">
        <v>1243</v>
      </c>
      <c r="K1151" s="258" t="s">
        <v>1251</v>
      </c>
      <c r="L1151" s="258" t="s">
        <v>3633</v>
      </c>
      <c r="M1151" s="409">
        <v>326600000</v>
      </c>
      <c r="N1151" s="426">
        <v>4395</v>
      </c>
      <c r="O1151" s="258" t="s">
        <v>77</v>
      </c>
      <c r="P1151" s="426" t="s">
        <v>73</v>
      </c>
      <c r="Q1151" s="258" t="s">
        <v>72</v>
      </c>
      <c r="R1151" s="426">
        <v>5</v>
      </c>
      <c r="S1151" s="410">
        <v>26</v>
      </c>
      <c r="T1151" s="261">
        <v>6</v>
      </c>
      <c r="U1151" s="261">
        <v>6</v>
      </c>
      <c r="V1151" s="258" t="s">
        <v>1969</v>
      </c>
      <c r="W1151" s="261" t="str">
        <f t="shared" si="171"/>
        <v>JAGUAR&amp;LANDROVERRange RoverAB P615 SV326600000</v>
      </c>
      <c r="X1151" s="411">
        <f t="shared" si="172"/>
        <v>4925</v>
      </c>
      <c r="Y1151" s="261">
        <v>6</v>
      </c>
      <c r="Z1151" s="261">
        <v>6</v>
      </c>
      <c r="AA1151" s="407" t="s">
        <v>1669</v>
      </c>
      <c r="AB1151" s="258" t="s">
        <v>1965</v>
      </c>
      <c r="AC1151" s="258"/>
      <c r="AD1151" s="258">
        <v>7</v>
      </c>
      <c r="AE1151" s="258">
        <v>0</v>
      </c>
      <c r="AF1151" s="259"/>
      <c r="AG1151" s="260"/>
      <c r="AH1151" s="259"/>
      <c r="AI1151" s="259"/>
      <c r="AJ1151" s="260"/>
      <c r="AK1151" s="259">
        <v>15</v>
      </c>
      <c r="AL1151" s="259"/>
      <c r="AM1151" s="259" t="s">
        <v>3981</v>
      </c>
      <c r="AN1151" s="449"/>
      <c r="AO1151" s="449"/>
      <c r="AP1151" s="449"/>
      <c r="AQ1151" s="392" t="str">
        <f>IFERROR(VLOOKUP(BG1151,#REF!,1,0),"")</f>
        <v/>
      </c>
      <c r="AR1151" s="450"/>
      <c r="AS1151" s="259" t="s">
        <v>1996</v>
      </c>
      <c r="AT1151" s="392">
        <v>24.06</v>
      </c>
      <c r="AW1151" s="450" t="s">
        <v>3982</v>
      </c>
      <c r="AX1151" s="450"/>
      <c r="AY1151" s="312"/>
      <c r="BD1151" s="202" t="str">
        <f t="shared" si="164"/>
        <v>Range RoverAB P615 SV</v>
      </c>
      <c r="BE1151" s="261" t="str">
        <f t="shared" si="170"/>
        <v>0172</v>
      </c>
      <c r="BF1151" s="407" t="s">
        <v>1669</v>
      </c>
      <c r="BG1151" s="202" t="str">
        <f t="shared" si="165"/>
        <v>0172-1150</v>
      </c>
    </row>
    <row r="1152" spans="1:59">
      <c r="A1152" s="405">
        <v>4926</v>
      </c>
      <c r="B1152" s="406">
        <v>4926</v>
      </c>
      <c r="C1152" s="261" t="str">
        <f t="shared" si="166"/>
        <v>0018-0172</v>
      </c>
      <c r="D1152" s="261" t="str">
        <f t="shared" si="167"/>
        <v>0018-0172-0007</v>
      </c>
      <c r="E1152" s="407" t="s">
        <v>1670</v>
      </c>
      <c r="F1152" s="261" t="str">
        <f>TEXT(VLOOKUP(J1152,'[3]1'!$B$2:$D$37,2,0),"0000")</f>
        <v>0018</v>
      </c>
      <c r="G1152" s="261" t="str">
        <f t="shared" si="168"/>
        <v>0172</v>
      </c>
      <c r="H1152" s="408">
        <f t="shared" si="169"/>
        <v>7</v>
      </c>
      <c r="I1152" s="407" t="s">
        <v>1670</v>
      </c>
      <c r="J1152" s="258" t="s">
        <v>1243</v>
      </c>
      <c r="K1152" s="258" t="s">
        <v>1251</v>
      </c>
      <c r="L1152" s="258" t="s">
        <v>3633</v>
      </c>
      <c r="M1152" s="409">
        <v>326600000</v>
      </c>
      <c r="N1152" s="426">
        <v>4395</v>
      </c>
      <c r="O1152" s="258" t="s">
        <v>77</v>
      </c>
      <c r="P1152" s="426" t="s">
        <v>73</v>
      </c>
      <c r="Q1152" s="258" t="s">
        <v>72</v>
      </c>
      <c r="R1152" s="426">
        <v>5</v>
      </c>
      <c r="S1152" s="410">
        <v>26</v>
      </c>
      <c r="T1152" s="261">
        <v>6</v>
      </c>
      <c r="U1152" s="261">
        <v>6</v>
      </c>
      <c r="V1152" s="258" t="s">
        <v>1969</v>
      </c>
      <c r="W1152" s="261" t="str">
        <f t="shared" si="171"/>
        <v>JAGUAR&amp;LANDROVERRange RoverAB P615 SV326600000</v>
      </c>
      <c r="X1152" s="411">
        <f t="shared" si="172"/>
        <v>4926</v>
      </c>
      <c r="Y1152" s="261">
        <v>6</v>
      </c>
      <c r="Z1152" s="261">
        <v>6</v>
      </c>
      <c r="AA1152" s="407" t="s">
        <v>1670</v>
      </c>
      <c r="AB1152" s="258" t="s">
        <v>1965</v>
      </c>
      <c r="AC1152" s="258"/>
      <c r="AD1152" s="258">
        <v>7</v>
      </c>
      <c r="AE1152" s="258">
        <v>0</v>
      </c>
      <c r="AF1152" s="259"/>
      <c r="AG1152" s="260"/>
      <c r="AH1152" s="259"/>
      <c r="AI1152" s="259"/>
      <c r="AJ1152" s="260"/>
      <c r="AK1152" s="259">
        <v>15</v>
      </c>
      <c r="AL1152" s="259"/>
      <c r="AM1152" s="259" t="s">
        <v>3981</v>
      </c>
      <c r="AN1152" s="449"/>
      <c r="AO1152" s="449"/>
      <c r="AP1152" s="449"/>
      <c r="AQ1152" s="392" t="str">
        <f>IFERROR(VLOOKUP(BG1152,#REF!,1,0),"")</f>
        <v/>
      </c>
      <c r="AR1152" s="450"/>
      <c r="AS1152" s="259" t="s">
        <v>3512</v>
      </c>
      <c r="AT1152" s="392">
        <v>24.06</v>
      </c>
      <c r="AW1152" s="450" t="s">
        <v>3982</v>
      </c>
      <c r="AX1152" s="450"/>
      <c r="AY1152" s="312"/>
      <c r="BD1152" s="202" t="str">
        <f t="shared" si="164"/>
        <v>Range RoverAB P615 SV</v>
      </c>
      <c r="BE1152" s="261" t="str">
        <f t="shared" si="170"/>
        <v>0172</v>
      </c>
      <c r="BF1152" s="407" t="s">
        <v>1670</v>
      </c>
      <c r="BG1152" s="202" t="str">
        <f t="shared" si="165"/>
        <v>0172-1151</v>
      </c>
    </row>
    <row r="1153" spans="1:59">
      <c r="A1153" s="405">
        <v>4927</v>
      </c>
      <c r="B1153" s="406">
        <v>4927</v>
      </c>
      <c r="C1153" s="261" t="str">
        <f t="shared" si="166"/>
        <v>0018-0173</v>
      </c>
      <c r="D1153" s="261" t="str">
        <f t="shared" si="167"/>
        <v>0018-0173-0001</v>
      </c>
      <c r="E1153" s="407" t="s">
        <v>1671</v>
      </c>
      <c r="F1153" s="261" t="str">
        <f>TEXT(VLOOKUP(J1153,'[3]1'!$B$2:$D$37,2,0),"0000")</f>
        <v>0018</v>
      </c>
      <c r="G1153" s="261" t="str">
        <f t="shared" si="168"/>
        <v>0173</v>
      </c>
      <c r="H1153" s="408">
        <f t="shared" si="169"/>
        <v>1</v>
      </c>
      <c r="I1153" s="407" t="s">
        <v>1671</v>
      </c>
      <c r="J1153" s="258" t="s">
        <v>1243</v>
      </c>
      <c r="K1153" s="258" t="s">
        <v>154</v>
      </c>
      <c r="L1153" s="258" t="s">
        <v>3628</v>
      </c>
      <c r="M1153" s="409">
        <v>74000000</v>
      </c>
      <c r="N1153" s="258">
        <v>1997</v>
      </c>
      <c r="O1153" s="258" t="s">
        <v>77</v>
      </c>
      <c r="P1153" s="258" t="s">
        <v>73</v>
      </c>
      <c r="Q1153" s="258" t="s">
        <v>72</v>
      </c>
      <c r="R1153" s="258">
        <v>5</v>
      </c>
      <c r="S1153" s="410">
        <v>9</v>
      </c>
      <c r="T1153" s="261">
        <v>6</v>
      </c>
      <c r="U1153" s="261">
        <v>6</v>
      </c>
      <c r="V1153" s="258" t="s">
        <v>71</v>
      </c>
      <c r="W1153" s="261" t="str">
        <f t="shared" si="171"/>
        <v>JAGUAR&amp;LANDROVERRange Rover EvoqueP250 S74000000</v>
      </c>
      <c r="X1153" s="411">
        <f t="shared" si="172"/>
        <v>4927</v>
      </c>
      <c r="Y1153" s="261">
        <v>6</v>
      </c>
      <c r="Z1153" s="261">
        <v>6</v>
      </c>
      <c r="AA1153" s="407" t="s">
        <v>1671</v>
      </c>
      <c r="AB1153" s="258" t="s">
        <v>70</v>
      </c>
      <c r="AC1153" s="258"/>
      <c r="AD1153" s="258">
        <v>4</v>
      </c>
      <c r="AE1153" s="258">
        <v>0</v>
      </c>
      <c r="AF1153" s="259"/>
      <c r="AG1153" s="260"/>
      <c r="AH1153" s="259"/>
      <c r="AI1153" s="259"/>
      <c r="AJ1153" s="260"/>
      <c r="AK1153" s="259">
        <v>20</v>
      </c>
      <c r="AL1153" s="259"/>
      <c r="AM1153" s="259" t="s">
        <v>3980</v>
      </c>
      <c r="AN1153" s="449"/>
      <c r="AO1153" s="449"/>
      <c r="AP1153" s="449"/>
      <c r="AQ1153" s="392" t="str">
        <f>IFERROR(VLOOKUP(BG1153,#REF!,1,0),"")</f>
        <v/>
      </c>
      <c r="AR1153" s="450"/>
      <c r="AS1153" s="259" t="s">
        <v>3222</v>
      </c>
      <c r="AW1153" s="450" t="s">
        <v>3958</v>
      </c>
      <c r="AX1153" s="450"/>
      <c r="AY1153" s="450"/>
      <c r="BD1153" s="202" t="str">
        <f t="shared" si="164"/>
        <v>Range Rover EvoqueP250 S</v>
      </c>
      <c r="BE1153" s="261" t="str">
        <f t="shared" si="170"/>
        <v>0173</v>
      </c>
      <c r="BF1153" s="407" t="s">
        <v>1671</v>
      </c>
      <c r="BG1153" s="202" t="str">
        <f t="shared" si="165"/>
        <v>0173-1152</v>
      </c>
    </row>
    <row r="1154" spans="1:59">
      <c r="A1154" s="405">
        <v>4928</v>
      </c>
      <c r="B1154" s="406">
        <v>4928</v>
      </c>
      <c r="C1154" s="261" t="str">
        <f t="shared" si="166"/>
        <v>0018-0173</v>
      </c>
      <c r="D1154" s="261" t="str">
        <f t="shared" si="167"/>
        <v>0018-0173-0002</v>
      </c>
      <c r="E1154" s="407" t="s">
        <v>1672</v>
      </c>
      <c r="F1154" s="261" t="str">
        <f>TEXT(VLOOKUP(J1154,'[3]1'!$B$2:$D$37,2,0),"0000")</f>
        <v>0018</v>
      </c>
      <c r="G1154" s="261" t="str">
        <f t="shared" si="168"/>
        <v>0173</v>
      </c>
      <c r="H1154" s="408">
        <f t="shared" si="169"/>
        <v>2</v>
      </c>
      <c r="I1154" s="407" t="s">
        <v>1672</v>
      </c>
      <c r="J1154" s="258" t="s">
        <v>1243</v>
      </c>
      <c r="K1154" s="258" t="s">
        <v>3644</v>
      </c>
      <c r="L1154" s="258" t="s">
        <v>3632</v>
      </c>
      <c r="M1154" s="409">
        <v>80300000</v>
      </c>
      <c r="N1154" s="258">
        <v>1997</v>
      </c>
      <c r="O1154" s="258" t="s">
        <v>77</v>
      </c>
      <c r="P1154" s="258" t="s">
        <v>73</v>
      </c>
      <c r="Q1154" s="258" t="s">
        <v>72</v>
      </c>
      <c r="R1154" s="258">
        <v>5</v>
      </c>
      <c r="S1154" s="410">
        <v>9</v>
      </c>
      <c r="T1154" s="261">
        <v>6</v>
      </c>
      <c r="U1154" s="261">
        <v>6</v>
      </c>
      <c r="V1154" s="258" t="s">
        <v>71</v>
      </c>
      <c r="W1154" s="261" t="str">
        <f t="shared" si="171"/>
        <v>JAGUAR&amp;LANDROVERRange Rover EvoqueP250 다이나믹 SE80300000</v>
      </c>
      <c r="X1154" s="411">
        <f t="shared" si="172"/>
        <v>4928</v>
      </c>
      <c r="Y1154" s="261">
        <v>6</v>
      </c>
      <c r="Z1154" s="261">
        <v>6</v>
      </c>
      <c r="AA1154" s="407" t="s">
        <v>1672</v>
      </c>
      <c r="AB1154" s="258" t="s">
        <v>70</v>
      </c>
      <c r="AC1154" s="258"/>
      <c r="AD1154" s="258">
        <v>4</v>
      </c>
      <c r="AE1154" s="258">
        <v>0</v>
      </c>
      <c r="AF1154" s="259"/>
      <c r="AG1154" s="260"/>
      <c r="AH1154" s="259"/>
      <c r="AI1154" s="259"/>
      <c r="AJ1154" s="260"/>
      <c r="AK1154" s="259">
        <v>20</v>
      </c>
      <c r="AL1154" s="259"/>
      <c r="AM1154" s="259" t="s">
        <v>3980</v>
      </c>
      <c r="AN1154" s="449"/>
      <c r="AO1154" s="449"/>
      <c r="AP1154" s="449"/>
      <c r="AQ1154" s="392" t="str">
        <f>IFERROR(VLOOKUP(BG1154,#REF!,1,0),"")</f>
        <v/>
      </c>
      <c r="AR1154" s="450"/>
      <c r="AS1154" s="259" t="s">
        <v>3222</v>
      </c>
      <c r="AW1154" s="450" t="s">
        <v>3958</v>
      </c>
      <c r="AX1154" s="450"/>
      <c r="AY1154" s="450"/>
      <c r="BD1154" s="202" t="str">
        <f t="shared" si="164"/>
        <v>Range Rover EvoqueP250 다이나믹 SE</v>
      </c>
      <c r="BE1154" s="261" t="str">
        <f t="shared" si="170"/>
        <v>0173</v>
      </c>
      <c r="BF1154" s="407" t="s">
        <v>1672</v>
      </c>
      <c r="BG1154" s="202" t="str">
        <f t="shared" si="165"/>
        <v>0173-1153</v>
      </c>
    </row>
    <row r="1155" spans="1:59">
      <c r="A1155" s="405">
        <v>4929</v>
      </c>
      <c r="B1155" s="406">
        <v>4929</v>
      </c>
      <c r="C1155" s="261" t="str">
        <f t="shared" si="166"/>
        <v>0018-0174</v>
      </c>
      <c r="D1155" s="261" t="str">
        <f t="shared" si="167"/>
        <v>0018-0174-0001</v>
      </c>
      <c r="E1155" s="407" t="s">
        <v>1673</v>
      </c>
      <c r="F1155" s="261" t="str">
        <f>TEXT(VLOOKUP(J1155,'[3]1'!$B$2:$D$37,2,0),"0000")</f>
        <v>0018</v>
      </c>
      <c r="G1155" s="261" t="str">
        <f t="shared" si="168"/>
        <v>0174</v>
      </c>
      <c r="H1155" s="408">
        <f t="shared" si="169"/>
        <v>1</v>
      </c>
      <c r="I1155" s="407" t="s">
        <v>1673</v>
      </c>
      <c r="J1155" s="258" t="s">
        <v>1243</v>
      </c>
      <c r="K1155" s="258" t="s">
        <v>153</v>
      </c>
      <c r="L1155" s="521" t="s">
        <v>3250</v>
      </c>
      <c r="M1155" s="409">
        <v>150670000</v>
      </c>
      <c r="N1155" s="258">
        <v>2997</v>
      </c>
      <c r="O1155" s="258" t="s">
        <v>78</v>
      </c>
      <c r="P1155" s="258" t="s">
        <v>73</v>
      </c>
      <c r="Q1155" s="258" t="s">
        <v>72</v>
      </c>
      <c r="R1155" s="258">
        <v>5</v>
      </c>
      <c r="S1155" s="410">
        <v>8</v>
      </c>
      <c r="T1155" s="261">
        <v>6</v>
      </c>
      <c r="U1155" s="261">
        <v>6</v>
      </c>
      <c r="V1155" s="258" t="s">
        <v>71</v>
      </c>
      <c r="W1155" s="261" t="str">
        <f t="shared" si="171"/>
        <v>JAGUAR&amp;LANDROVERRange Rover SportD300 Dynamic D300 HSE150670000</v>
      </c>
      <c r="X1155" s="411">
        <f t="shared" si="172"/>
        <v>4929</v>
      </c>
      <c r="Y1155" s="261">
        <v>6</v>
      </c>
      <c r="Z1155" s="261">
        <v>6</v>
      </c>
      <c r="AA1155" s="407" t="s">
        <v>1673</v>
      </c>
      <c r="AB1155" s="258" t="s">
        <v>70</v>
      </c>
      <c r="AC1155" s="258"/>
      <c r="AD1155" s="258">
        <v>7</v>
      </c>
      <c r="AE1155" s="258">
        <v>0</v>
      </c>
      <c r="AF1155" s="259"/>
      <c r="AG1155" s="260"/>
      <c r="AH1155" s="259"/>
      <c r="AI1155" s="259"/>
      <c r="AJ1155" s="260"/>
      <c r="AK1155" s="259">
        <v>11</v>
      </c>
      <c r="AL1155" s="259"/>
      <c r="AM1155" s="259" t="s">
        <v>3733</v>
      </c>
      <c r="AN1155" s="449"/>
      <c r="AO1155" s="449"/>
      <c r="AP1155" s="449"/>
      <c r="AQ1155" s="392" t="str">
        <f>IFERROR(VLOOKUP(BG1155,#REF!,1,0),"")</f>
        <v/>
      </c>
      <c r="AR1155" s="450"/>
      <c r="AS1155" s="259" t="s">
        <v>3253</v>
      </c>
      <c r="AW1155" s="450" t="s">
        <v>3958</v>
      </c>
      <c r="AX1155" s="450"/>
      <c r="AY1155" s="450"/>
      <c r="BD1155" s="202" t="str">
        <f t="shared" si="164"/>
        <v>Range Rover SportD300 Dynamic D300 HSE</v>
      </c>
      <c r="BE1155" s="261" t="str">
        <f t="shared" si="170"/>
        <v>0174</v>
      </c>
      <c r="BF1155" s="407" t="s">
        <v>1673</v>
      </c>
      <c r="BG1155" s="202" t="str">
        <f t="shared" si="165"/>
        <v>0174-1154</v>
      </c>
    </row>
    <row r="1156" spans="1:59">
      <c r="A1156" s="405">
        <v>4930</v>
      </c>
      <c r="B1156" s="406">
        <v>4930</v>
      </c>
      <c r="C1156" s="261" t="str">
        <f t="shared" si="166"/>
        <v>0018-0174</v>
      </c>
      <c r="D1156" s="261" t="str">
        <f t="shared" si="167"/>
        <v>0018-0174-0002</v>
      </c>
      <c r="E1156" s="407" t="s">
        <v>1674</v>
      </c>
      <c r="F1156" s="261" t="str">
        <f>TEXT(VLOOKUP(J1156,'[3]1'!$B$2:$D$37,2,0),"0000")</f>
        <v>0018</v>
      </c>
      <c r="G1156" s="261" t="str">
        <f t="shared" si="168"/>
        <v>0174</v>
      </c>
      <c r="H1156" s="408">
        <f t="shared" si="169"/>
        <v>2</v>
      </c>
      <c r="I1156" s="407" t="s">
        <v>1674</v>
      </c>
      <c r="J1156" s="258" t="s">
        <v>1243</v>
      </c>
      <c r="K1156" s="258" t="s">
        <v>153</v>
      </c>
      <c r="L1156" s="521" t="s">
        <v>3251</v>
      </c>
      <c r="M1156" s="409">
        <v>133970000</v>
      </c>
      <c r="N1156" s="258">
        <v>2995</v>
      </c>
      <c r="O1156" s="258" t="s">
        <v>77</v>
      </c>
      <c r="P1156" s="258" t="s">
        <v>73</v>
      </c>
      <c r="Q1156" s="258" t="s">
        <v>72</v>
      </c>
      <c r="R1156" s="258">
        <v>5</v>
      </c>
      <c r="S1156" s="410">
        <v>8</v>
      </c>
      <c r="T1156" s="261">
        <v>6</v>
      </c>
      <c r="U1156" s="261">
        <v>6</v>
      </c>
      <c r="V1156" s="258" t="s">
        <v>71</v>
      </c>
      <c r="W1156" s="261" t="str">
        <f t="shared" si="171"/>
        <v>JAGUAR&amp;LANDROVERRange Rover SportP360 Dynamic HSE133970000</v>
      </c>
      <c r="X1156" s="411">
        <f t="shared" si="172"/>
        <v>4930</v>
      </c>
      <c r="Y1156" s="261">
        <v>6</v>
      </c>
      <c r="Z1156" s="261">
        <v>6</v>
      </c>
      <c r="AA1156" s="407" t="s">
        <v>1674</v>
      </c>
      <c r="AB1156" s="258" t="s">
        <v>70</v>
      </c>
      <c r="AC1156" s="258"/>
      <c r="AD1156" s="258">
        <v>7</v>
      </c>
      <c r="AE1156" s="258">
        <v>0</v>
      </c>
      <c r="AF1156" s="259"/>
      <c r="AG1156" s="260"/>
      <c r="AH1156" s="259"/>
      <c r="AI1156" s="259"/>
      <c r="AJ1156" s="260"/>
      <c r="AK1156" s="259">
        <v>11</v>
      </c>
      <c r="AL1156" s="259"/>
      <c r="AM1156" s="259" t="s">
        <v>3733</v>
      </c>
      <c r="AN1156" s="449"/>
      <c r="AO1156" s="449"/>
      <c r="AP1156" s="449"/>
      <c r="AQ1156" s="392" t="str">
        <f>IFERROR(VLOOKUP(BG1156,#REF!,1,0),"")</f>
        <v/>
      </c>
      <c r="AR1156" s="450"/>
      <c r="AS1156" s="259" t="s">
        <v>3253</v>
      </c>
      <c r="AW1156" s="450" t="s">
        <v>3958</v>
      </c>
      <c r="AX1156" s="450"/>
      <c r="AY1156" s="450"/>
      <c r="BD1156" s="202" t="str">
        <f t="shared" si="164"/>
        <v>Range Rover SportP360 Dynamic HSE</v>
      </c>
      <c r="BE1156" s="261" t="str">
        <f t="shared" si="170"/>
        <v>0174</v>
      </c>
      <c r="BF1156" s="407" t="s">
        <v>1674</v>
      </c>
      <c r="BG1156" s="202" t="str">
        <f t="shared" si="165"/>
        <v>0174-1155</v>
      </c>
    </row>
    <row r="1157" spans="1:59">
      <c r="A1157" s="405">
        <v>4931</v>
      </c>
      <c r="B1157" s="406">
        <v>4931</v>
      </c>
      <c r="C1157" s="261" t="str">
        <f t="shared" si="166"/>
        <v>0018-0174</v>
      </c>
      <c r="D1157" s="261" t="str">
        <f t="shared" si="167"/>
        <v>0018-0174-0003</v>
      </c>
      <c r="E1157" s="407" t="s">
        <v>1675</v>
      </c>
      <c r="F1157" s="261" t="str">
        <f>TEXT(VLOOKUP(J1157,'[3]1'!$B$2:$D$37,2,0),"0000")</f>
        <v>0018</v>
      </c>
      <c r="G1157" s="261" t="str">
        <f t="shared" si="168"/>
        <v>0174</v>
      </c>
      <c r="H1157" s="408">
        <f t="shared" si="169"/>
        <v>3</v>
      </c>
      <c r="I1157" s="407" t="s">
        <v>1675</v>
      </c>
      <c r="J1157" s="258" t="s">
        <v>1243</v>
      </c>
      <c r="K1157" s="258" t="s">
        <v>153</v>
      </c>
      <c r="L1157" s="521" t="s">
        <v>3252</v>
      </c>
      <c r="M1157" s="409">
        <v>158070000</v>
      </c>
      <c r="N1157" s="258">
        <v>2996</v>
      </c>
      <c r="O1157" s="258" t="s">
        <v>77</v>
      </c>
      <c r="P1157" s="258" t="s">
        <v>73</v>
      </c>
      <c r="Q1157" s="258" t="s">
        <v>72</v>
      </c>
      <c r="R1157" s="258">
        <v>5</v>
      </c>
      <c r="S1157" s="410">
        <v>16</v>
      </c>
      <c r="T1157" s="261">
        <v>6</v>
      </c>
      <c r="U1157" s="261">
        <v>6</v>
      </c>
      <c r="V1157" s="258" t="s">
        <v>71</v>
      </c>
      <c r="W1157" s="261" t="str">
        <f t="shared" si="171"/>
        <v>JAGUAR&amp;LANDROVERRange Rover SportP360 AUTOBIOGRAPHY158070000</v>
      </c>
      <c r="X1157" s="411">
        <f t="shared" si="172"/>
        <v>4931</v>
      </c>
      <c r="Y1157" s="261">
        <v>6</v>
      </c>
      <c r="Z1157" s="261">
        <v>6</v>
      </c>
      <c r="AA1157" s="407" t="s">
        <v>1675</v>
      </c>
      <c r="AB1157" s="258" t="s">
        <v>70</v>
      </c>
      <c r="AC1157" s="258"/>
      <c r="AD1157" s="258">
        <v>7</v>
      </c>
      <c r="AE1157" s="258">
        <v>0</v>
      </c>
      <c r="AF1157" s="259"/>
      <c r="AG1157" s="260"/>
      <c r="AH1157" s="259"/>
      <c r="AI1157" s="259"/>
      <c r="AJ1157" s="260"/>
      <c r="AK1157" s="259">
        <v>11</v>
      </c>
      <c r="AL1157" s="259"/>
      <c r="AM1157" s="259" t="s">
        <v>3733</v>
      </c>
      <c r="AN1157" s="449"/>
      <c r="AO1157" s="449"/>
      <c r="AP1157" s="449"/>
      <c r="AQ1157" s="392" t="str">
        <f>IFERROR(VLOOKUP(BG1157,#REF!,1,0),"")</f>
        <v/>
      </c>
      <c r="AR1157" s="450"/>
      <c r="AS1157" s="259" t="s">
        <v>1993</v>
      </c>
      <c r="AW1157" s="450" t="s">
        <v>3958</v>
      </c>
      <c r="AX1157" s="450">
        <v>2024.02</v>
      </c>
      <c r="AY1157" s="450"/>
      <c r="BB1157" s="202" t="s">
        <v>3428</v>
      </c>
      <c r="BD1157" s="202" t="str">
        <f t="shared" ref="BD1157:BD1220" si="173">K1157&amp;L1157</f>
        <v>Range Rover SportP360 AUTOBIOGRAPHY</v>
      </c>
      <c r="BE1157" s="261" t="str">
        <f t="shared" si="170"/>
        <v>0174</v>
      </c>
      <c r="BF1157" s="407" t="s">
        <v>1675</v>
      </c>
      <c r="BG1157" s="202" t="str">
        <f t="shared" ref="BG1157:BG1220" si="174">BE1157&amp;"-"&amp;BF1157</f>
        <v>0174-1156</v>
      </c>
    </row>
    <row r="1158" spans="1:59">
      <c r="A1158" s="405">
        <v>4932</v>
      </c>
      <c r="B1158" s="406">
        <v>4932</v>
      </c>
      <c r="C1158" s="261" t="str">
        <f t="shared" ref="C1158:C1221" si="175">TEXT(F1158,"0000")&amp;"-"&amp;TEXT(G1158,"0000")</f>
        <v>0018-0174</v>
      </c>
      <c r="D1158" s="261" t="str">
        <f t="shared" ref="D1158:D1221" si="176">TEXT(F1158,"0000")&amp;"-"&amp;TEXT(G1158,"0000")&amp;"-"&amp;TEXT(H1158,"0000")</f>
        <v>0018-0174-0004</v>
      </c>
      <c r="E1158" s="407" t="s">
        <v>1676</v>
      </c>
      <c r="F1158" s="261" t="str">
        <f>TEXT(VLOOKUP(J1158,'[3]1'!$B$2:$D$37,2,0),"0000")</f>
        <v>0018</v>
      </c>
      <c r="G1158" s="261" t="str">
        <f t="shared" ref="G1158:G1221" si="177">IF(K1158=K1157,TEXT(G1157,"0000"),TEXT(G1157+1,"0000"))</f>
        <v>0174</v>
      </c>
      <c r="H1158" s="408">
        <f t="shared" ref="H1158:H1221" si="178">IF(F1158&amp;G1158=F1157&amp;G1157,H1157+1,1)</f>
        <v>4</v>
      </c>
      <c r="I1158" s="407" t="s">
        <v>1676</v>
      </c>
      <c r="J1158" s="258" t="s">
        <v>1243</v>
      </c>
      <c r="K1158" s="258" t="s">
        <v>153</v>
      </c>
      <c r="L1158" s="521" t="s">
        <v>3508</v>
      </c>
      <c r="M1158" s="409">
        <v>187100000</v>
      </c>
      <c r="N1158" s="258">
        <v>2997</v>
      </c>
      <c r="O1158" s="258" t="s">
        <v>74</v>
      </c>
      <c r="P1158" s="258" t="s">
        <v>73</v>
      </c>
      <c r="Q1158" s="258" t="s">
        <v>72</v>
      </c>
      <c r="R1158" s="258">
        <v>5</v>
      </c>
      <c r="S1158" s="410">
        <v>16</v>
      </c>
      <c r="T1158" s="261">
        <v>6</v>
      </c>
      <c r="U1158" s="261">
        <v>6</v>
      </c>
      <c r="V1158" s="258" t="s">
        <v>71</v>
      </c>
      <c r="W1158" s="261" t="str">
        <f t="shared" si="171"/>
        <v>JAGUAR&amp;LANDROVERRange Rover SportP550e Dynamic HSE187100000</v>
      </c>
      <c r="X1158" s="411">
        <f t="shared" si="172"/>
        <v>4932</v>
      </c>
      <c r="Y1158" s="261">
        <v>6</v>
      </c>
      <c r="Z1158" s="261">
        <v>6</v>
      </c>
      <c r="AA1158" s="407" t="s">
        <v>1676</v>
      </c>
      <c r="AB1158" s="258" t="s">
        <v>70</v>
      </c>
      <c r="AC1158" s="258"/>
      <c r="AD1158" s="258">
        <v>7</v>
      </c>
      <c r="AE1158" s="258">
        <v>0</v>
      </c>
      <c r="AF1158" s="259"/>
      <c r="AG1158" s="260"/>
      <c r="AH1158" s="259"/>
      <c r="AI1158" s="259"/>
      <c r="AJ1158" s="260"/>
      <c r="AK1158" s="259">
        <v>20</v>
      </c>
      <c r="AL1158" s="259"/>
      <c r="AM1158" s="259" t="s">
        <v>3764</v>
      </c>
      <c r="AN1158" s="449"/>
      <c r="AO1158" s="449"/>
      <c r="AP1158" s="449"/>
      <c r="AQ1158" s="392" t="str">
        <f>IFERROR(VLOOKUP(BG1158,#REF!,1,0),"")</f>
        <v/>
      </c>
      <c r="AR1158" s="450"/>
      <c r="AS1158" s="259" t="s">
        <v>1993</v>
      </c>
      <c r="AT1158" s="392">
        <v>2024.04</v>
      </c>
      <c r="AW1158" s="450" t="s">
        <v>3958</v>
      </c>
      <c r="AX1158" s="450"/>
      <c r="AY1158" s="450"/>
      <c r="BD1158" s="202" t="str">
        <f t="shared" si="173"/>
        <v>Range Rover SportP550e Dynamic HSE</v>
      </c>
      <c r="BE1158" s="261" t="str">
        <f t="shared" ref="BE1158:BE1221" si="179">IF(K1157=K1158,TEXT(G1157,"0000"),TEXT(G1157+1,"0000"))</f>
        <v>0174</v>
      </c>
      <c r="BF1158" s="407" t="s">
        <v>1676</v>
      </c>
      <c r="BG1158" s="202" t="str">
        <f t="shared" si="174"/>
        <v>0174-1157</v>
      </c>
    </row>
    <row r="1159" spans="1:59">
      <c r="A1159" s="405">
        <v>4933</v>
      </c>
      <c r="B1159" s="406">
        <v>4933</v>
      </c>
      <c r="C1159" s="261" t="str">
        <f t="shared" si="175"/>
        <v>0018-0175</v>
      </c>
      <c r="D1159" s="261" t="str">
        <f t="shared" si="176"/>
        <v>0018-0175-0001</v>
      </c>
      <c r="E1159" s="407" t="s">
        <v>1677</v>
      </c>
      <c r="F1159" s="261" t="str">
        <f>TEXT(VLOOKUP(J1159,'[3]1'!$B$2:$D$37,2,0),"0000")</f>
        <v>0018</v>
      </c>
      <c r="G1159" s="261" t="str">
        <f t="shared" si="177"/>
        <v>0175</v>
      </c>
      <c r="H1159" s="408">
        <f t="shared" si="178"/>
        <v>1</v>
      </c>
      <c r="I1159" s="407" t="s">
        <v>1677</v>
      </c>
      <c r="J1159" s="258" t="s">
        <v>1243</v>
      </c>
      <c r="K1159" s="258" t="s">
        <v>1215</v>
      </c>
      <c r="L1159" s="258" t="s">
        <v>3629</v>
      </c>
      <c r="M1159" s="409">
        <v>90100000</v>
      </c>
      <c r="N1159" s="258">
        <v>1997</v>
      </c>
      <c r="O1159" s="258" t="s">
        <v>77</v>
      </c>
      <c r="P1159" s="258" t="s">
        <v>73</v>
      </c>
      <c r="Q1159" s="258" t="s">
        <v>72</v>
      </c>
      <c r="R1159" s="258">
        <v>5</v>
      </c>
      <c r="S1159" s="410">
        <v>8</v>
      </c>
      <c r="T1159" s="261">
        <v>6</v>
      </c>
      <c r="U1159" s="261">
        <v>6</v>
      </c>
      <c r="V1159" s="258" t="s">
        <v>71</v>
      </c>
      <c r="W1159" s="261" t="str">
        <f t="shared" ref="W1159:W1222" si="180">J1159&amp;K1159&amp;L1159&amp;M1159</f>
        <v>JAGUAR&amp;LANDROVERRange Rover VELARP250 Dynamic SE90100000</v>
      </c>
      <c r="X1159" s="411">
        <f t="shared" ref="X1159:X1222" si="181">B1159</f>
        <v>4933</v>
      </c>
      <c r="Y1159" s="261">
        <v>6</v>
      </c>
      <c r="Z1159" s="261">
        <v>6</v>
      </c>
      <c r="AA1159" s="407" t="s">
        <v>1677</v>
      </c>
      <c r="AB1159" s="258" t="s">
        <v>70</v>
      </c>
      <c r="AC1159" s="258"/>
      <c r="AD1159" s="258"/>
      <c r="AE1159" s="258"/>
      <c r="AF1159" s="259"/>
      <c r="AG1159" s="260"/>
      <c r="AH1159" s="259"/>
      <c r="AI1159" s="259"/>
      <c r="AJ1159" s="260"/>
      <c r="AK1159" s="259">
        <v>20</v>
      </c>
      <c r="AL1159" s="259"/>
      <c r="AM1159" s="259" t="s">
        <v>3980</v>
      </c>
      <c r="AN1159" s="449"/>
      <c r="AO1159" s="449"/>
      <c r="AP1159" s="449"/>
      <c r="AQ1159" s="392" t="str">
        <f>IFERROR(VLOOKUP(BG1159,#REF!,1,0),"")</f>
        <v/>
      </c>
      <c r="AR1159" s="450"/>
      <c r="AS1159" s="259" t="s">
        <v>3231</v>
      </c>
      <c r="AT1159" s="392" t="s">
        <v>3171</v>
      </c>
      <c r="AW1159" s="450" t="s">
        <v>3958</v>
      </c>
      <c r="AX1159" s="450"/>
      <c r="AY1159" s="450"/>
      <c r="BD1159" s="202" t="str">
        <f t="shared" si="173"/>
        <v>Range Rover VELARP250 Dynamic SE</v>
      </c>
      <c r="BE1159" s="261" t="str">
        <f t="shared" si="179"/>
        <v>0175</v>
      </c>
      <c r="BF1159" s="407" t="s">
        <v>1677</v>
      </c>
      <c r="BG1159" s="202" t="str">
        <f t="shared" si="174"/>
        <v>0175-1158</v>
      </c>
    </row>
    <row r="1160" spans="1:59">
      <c r="A1160" s="405">
        <v>4934</v>
      </c>
      <c r="B1160" s="406">
        <v>4934</v>
      </c>
      <c r="C1160" s="261" t="str">
        <f t="shared" si="175"/>
        <v>0018-0175</v>
      </c>
      <c r="D1160" s="261" t="str">
        <f t="shared" si="176"/>
        <v>0018-0175-0002</v>
      </c>
      <c r="E1160" s="407" t="s">
        <v>1678</v>
      </c>
      <c r="F1160" s="261" t="str">
        <f>TEXT(VLOOKUP(J1160,'[3]1'!$B$2:$D$37,2,0),"0000")</f>
        <v>0018</v>
      </c>
      <c r="G1160" s="261" t="str">
        <f t="shared" si="177"/>
        <v>0175</v>
      </c>
      <c r="H1160" s="408">
        <f t="shared" si="178"/>
        <v>2</v>
      </c>
      <c r="I1160" s="407" t="s">
        <v>1678</v>
      </c>
      <c r="J1160" s="258" t="s">
        <v>1244</v>
      </c>
      <c r="K1160" s="258" t="s">
        <v>1215</v>
      </c>
      <c r="L1160" s="258" t="s">
        <v>3630</v>
      </c>
      <c r="M1160" s="409">
        <v>117000000</v>
      </c>
      <c r="N1160" s="258">
        <v>1997</v>
      </c>
      <c r="O1160" s="258" t="s">
        <v>77</v>
      </c>
      <c r="P1160" s="258" t="s">
        <v>73</v>
      </c>
      <c r="Q1160" s="258" t="s">
        <v>72</v>
      </c>
      <c r="R1160" s="258">
        <v>5</v>
      </c>
      <c r="S1160" s="410">
        <v>11</v>
      </c>
      <c r="T1160" s="261">
        <v>6</v>
      </c>
      <c r="U1160" s="261">
        <v>6</v>
      </c>
      <c r="V1160" s="258" t="s">
        <v>71</v>
      </c>
      <c r="W1160" s="261" t="str">
        <f t="shared" si="180"/>
        <v>JAGUAR&amp;LANDROVERRange Rover VELARP400e Dynamic SE117000000</v>
      </c>
      <c r="X1160" s="411">
        <f t="shared" si="181"/>
        <v>4934</v>
      </c>
      <c r="Y1160" s="261">
        <v>6</v>
      </c>
      <c r="Z1160" s="261">
        <v>6</v>
      </c>
      <c r="AA1160" s="407" t="s">
        <v>1678</v>
      </c>
      <c r="AB1160" s="258" t="s">
        <v>70</v>
      </c>
      <c r="AC1160" s="258"/>
      <c r="AD1160" s="258"/>
      <c r="AE1160" s="258"/>
      <c r="AF1160" s="259"/>
      <c r="AG1160" s="260"/>
      <c r="AH1160" s="259"/>
      <c r="AI1160" s="259"/>
      <c r="AJ1160" s="260"/>
      <c r="AK1160" s="259">
        <v>20</v>
      </c>
      <c r="AL1160" s="259"/>
      <c r="AM1160" s="259" t="s">
        <v>3980</v>
      </c>
      <c r="AN1160" s="449"/>
      <c r="AO1160" s="449"/>
      <c r="AP1160" s="449"/>
      <c r="AQ1160" s="392" t="str">
        <f>IFERROR(VLOOKUP(BG1160,#REF!,1,0),"")</f>
        <v/>
      </c>
      <c r="AR1160" s="450"/>
      <c r="AS1160" s="259" t="s">
        <v>3232</v>
      </c>
      <c r="AT1160" s="392" t="s">
        <v>3171</v>
      </c>
      <c r="AW1160" s="450" t="s">
        <v>3958</v>
      </c>
      <c r="AX1160" s="450"/>
      <c r="AY1160" s="450"/>
      <c r="BD1160" s="202" t="str">
        <f t="shared" si="173"/>
        <v>Range Rover VELARP400e Dynamic SE</v>
      </c>
      <c r="BE1160" s="261" t="str">
        <f t="shared" si="179"/>
        <v>0175</v>
      </c>
      <c r="BF1160" s="407" t="s">
        <v>1678</v>
      </c>
      <c r="BG1160" s="202" t="str">
        <f t="shared" si="174"/>
        <v>0175-1159</v>
      </c>
    </row>
    <row r="1161" spans="1:59">
      <c r="A1161" s="405">
        <v>4935</v>
      </c>
      <c r="B1161" s="406">
        <v>4935</v>
      </c>
      <c r="C1161" s="261" t="str">
        <f t="shared" si="175"/>
        <v>0018-0175</v>
      </c>
      <c r="D1161" s="261" t="str">
        <f t="shared" si="176"/>
        <v>0018-0175-0003</v>
      </c>
      <c r="E1161" s="407" t="s">
        <v>1679</v>
      </c>
      <c r="F1161" s="261" t="str">
        <f>TEXT(VLOOKUP(J1161,'[3]1'!$B$2:$D$37,2,0),"0000")</f>
        <v>0018</v>
      </c>
      <c r="G1161" s="261" t="str">
        <f t="shared" si="177"/>
        <v>0175</v>
      </c>
      <c r="H1161" s="408">
        <f t="shared" si="178"/>
        <v>3</v>
      </c>
      <c r="I1161" s="407" t="s">
        <v>1679</v>
      </c>
      <c r="J1161" s="258" t="s">
        <v>1244</v>
      </c>
      <c r="K1161" s="258" t="s">
        <v>1215</v>
      </c>
      <c r="L1161" s="258" t="s">
        <v>3631</v>
      </c>
      <c r="M1161" s="409">
        <v>124200000</v>
      </c>
      <c r="N1161" s="258">
        <v>2996</v>
      </c>
      <c r="O1161" s="258" t="s">
        <v>77</v>
      </c>
      <c r="P1161" s="258" t="s">
        <v>73</v>
      </c>
      <c r="Q1161" s="258" t="s">
        <v>72</v>
      </c>
      <c r="R1161" s="258">
        <v>5</v>
      </c>
      <c r="S1161" s="410">
        <v>11</v>
      </c>
      <c r="T1161" s="261">
        <v>6</v>
      </c>
      <c r="U1161" s="261">
        <v>6</v>
      </c>
      <c r="V1161" s="258" t="s">
        <v>71</v>
      </c>
      <c r="W1161" s="261" t="str">
        <f t="shared" si="180"/>
        <v>JAGUAR&amp;LANDROVERRange Rover VELARP400 Dynamic HSE124200000</v>
      </c>
      <c r="X1161" s="411">
        <f t="shared" si="181"/>
        <v>4935</v>
      </c>
      <c r="Y1161" s="261">
        <v>6</v>
      </c>
      <c r="Z1161" s="261">
        <v>6</v>
      </c>
      <c r="AA1161" s="407" t="s">
        <v>1679</v>
      </c>
      <c r="AB1161" s="258" t="s">
        <v>70</v>
      </c>
      <c r="AC1161" s="258"/>
      <c r="AD1161" s="258"/>
      <c r="AE1161" s="258"/>
      <c r="AF1161" s="259"/>
      <c r="AG1161" s="260"/>
      <c r="AH1161" s="259"/>
      <c r="AI1161" s="259"/>
      <c r="AJ1161" s="260"/>
      <c r="AK1161" s="259">
        <v>20</v>
      </c>
      <c r="AL1161" s="259"/>
      <c r="AM1161" s="259" t="s">
        <v>3980</v>
      </c>
      <c r="AN1161" s="449"/>
      <c r="AO1161" s="449"/>
      <c r="AP1161" s="449"/>
      <c r="AQ1161" s="392" t="str">
        <f>IFERROR(VLOOKUP(BG1161,#REF!,1,0),"")</f>
        <v/>
      </c>
      <c r="AR1161" s="450"/>
      <c r="AS1161" s="259" t="s">
        <v>3232</v>
      </c>
      <c r="AT1161" s="392" t="s">
        <v>3171</v>
      </c>
      <c r="AW1161" s="450" t="s">
        <v>3958</v>
      </c>
      <c r="AX1161" s="450"/>
      <c r="AY1161" s="450"/>
      <c r="BD1161" s="202" t="str">
        <f t="shared" si="173"/>
        <v>Range Rover VELARP400 Dynamic HSE</v>
      </c>
      <c r="BE1161" s="261" t="str">
        <f t="shared" si="179"/>
        <v>0175</v>
      </c>
      <c r="BF1161" s="407" t="s">
        <v>1679</v>
      </c>
      <c r="BG1161" s="202" t="str">
        <f t="shared" si="174"/>
        <v>0175-1160</v>
      </c>
    </row>
    <row r="1162" spans="1:59">
      <c r="A1162" s="405">
        <v>4936</v>
      </c>
      <c r="B1162" s="406">
        <v>4936</v>
      </c>
      <c r="C1162" s="261" t="str">
        <f t="shared" si="175"/>
        <v>0016-0176</v>
      </c>
      <c r="D1162" s="261" t="str">
        <f t="shared" si="176"/>
        <v>0016-0176-0001</v>
      </c>
      <c r="E1162" s="407" t="s">
        <v>1680</v>
      </c>
      <c r="F1162" s="261" t="str">
        <f>TEXT(VLOOKUP(J1162,'[3]1'!$B$2:$D$37,2,0),"0000")</f>
        <v>0016</v>
      </c>
      <c r="G1162" s="261" t="str">
        <f t="shared" si="177"/>
        <v>0176</v>
      </c>
      <c r="H1162" s="408">
        <f t="shared" si="178"/>
        <v>1</v>
      </c>
      <c r="I1162" s="407" t="s">
        <v>1680</v>
      </c>
      <c r="J1162" s="258" t="s">
        <v>169</v>
      </c>
      <c r="K1162" s="258" t="s">
        <v>170</v>
      </c>
      <c r="L1162" s="258" t="s">
        <v>3786</v>
      </c>
      <c r="M1162" s="316">
        <v>37400000</v>
      </c>
      <c r="N1162" s="258">
        <v>1498</v>
      </c>
      <c r="O1162" s="258" t="s">
        <v>77</v>
      </c>
      <c r="P1162" s="258" t="s">
        <v>73</v>
      </c>
      <c r="Q1162" s="258" t="s">
        <v>72</v>
      </c>
      <c r="R1162" s="258">
        <v>5</v>
      </c>
      <c r="S1162" s="410">
        <v>8</v>
      </c>
      <c r="T1162" s="261">
        <v>6</v>
      </c>
      <c r="U1162" s="261">
        <v>6</v>
      </c>
      <c r="V1162" s="258" t="s">
        <v>71</v>
      </c>
      <c r="W1162" s="261" t="str">
        <f t="shared" si="180"/>
        <v>HONDAACCORD1.5 터보37400000</v>
      </c>
      <c r="X1162" s="411">
        <f t="shared" si="181"/>
        <v>4936</v>
      </c>
      <c r="Y1162" s="261">
        <v>6</v>
      </c>
      <c r="Z1162" s="261">
        <v>6</v>
      </c>
      <c r="AA1162" s="407" t="s">
        <v>1680</v>
      </c>
      <c r="AB1162" s="258" t="s">
        <v>73</v>
      </c>
      <c r="AC1162" s="258"/>
      <c r="AD1162" s="258">
        <v>5</v>
      </c>
      <c r="AE1162" s="258">
        <v>2</v>
      </c>
      <c r="AF1162" s="259"/>
      <c r="AG1162" s="260"/>
      <c r="AH1162" s="259"/>
      <c r="AI1162" s="259"/>
      <c r="AJ1162" s="260"/>
      <c r="AK1162" s="259">
        <v>17</v>
      </c>
      <c r="AL1162" s="259"/>
      <c r="AM1162" s="259" t="s">
        <v>3787</v>
      </c>
      <c r="AN1162" s="449"/>
      <c r="AO1162" s="449"/>
      <c r="AP1162" s="449"/>
      <c r="AQ1162" s="392" t="str">
        <f>IFERROR(VLOOKUP(BG1162,#REF!,1,0),"")</f>
        <v/>
      </c>
      <c r="AS1162" s="259" t="s">
        <v>3231</v>
      </c>
      <c r="BD1162" s="202" t="str">
        <f t="shared" si="173"/>
        <v>ACCORD1.5 터보</v>
      </c>
      <c r="BE1162" s="261" t="str">
        <f t="shared" si="179"/>
        <v>0176</v>
      </c>
      <c r="BF1162" s="407" t="s">
        <v>1680</v>
      </c>
      <c r="BG1162" s="202" t="str">
        <f t="shared" si="174"/>
        <v>0176-1161</v>
      </c>
    </row>
    <row r="1163" spans="1:59">
      <c r="A1163" s="405">
        <v>4937</v>
      </c>
      <c r="B1163" s="406">
        <v>4937</v>
      </c>
      <c r="C1163" s="261" t="str">
        <f t="shared" si="175"/>
        <v>0016-0176</v>
      </c>
      <c r="D1163" s="261" t="str">
        <f t="shared" si="176"/>
        <v>0016-0176-0002</v>
      </c>
      <c r="E1163" s="407" t="s">
        <v>1681</v>
      </c>
      <c r="F1163" s="261" t="str">
        <f>TEXT(VLOOKUP(J1163,'[3]1'!$B$2:$D$37,2,0),"0000")</f>
        <v>0016</v>
      </c>
      <c r="G1163" s="261" t="str">
        <f t="shared" si="177"/>
        <v>0176</v>
      </c>
      <c r="H1163" s="408">
        <f t="shared" si="178"/>
        <v>2</v>
      </c>
      <c r="I1163" s="407" t="s">
        <v>1681</v>
      </c>
      <c r="J1163" s="258" t="s">
        <v>169</v>
      </c>
      <c r="K1163" s="258" t="s">
        <v>170</v>
      </c>
      <c r="L1163" s="258" t="s">
        <v>3021</v>
      </c>
      <c r="M1163" s="409">
        <v>45700000</v>
      </c>
      <c r="N1163" s="258">
        <v>1993</v>
      </c>
      <c r="O1163" s="258" t="s">
        <v>74</v>
      </c>
      <c r="P1163" s="258" t="s">
        <v>73</v>
      </c>
      <c r="Q1163" s="258" t="s">
        <v>72</v>
      </c>
      <c r="R1163" s="258">
        <v>5</v>
      </c>
      <c r="S1163" s="410">
        <v>18</v>
      </c>
      <c r="T1163" s="261">
        <v>6</v>
      </c>
      <c r="U1163" s="261">
        <v>6</v>
      </c>
      <c r="V1163" s="258" t="s">
        <v>1914</v>
      </c>
      <c r="W1163" s="261" t="str">
        <f t="shared" si="180"/>
        <v>HONDAACCORD2.0 하이브리드 투어링45700000</v>
      </c>
      <c r="X1163" s="411">
        <f t="shared" si="181"/>
        <v>4937</v>
      </c>
      <c r="Y1163" s="261">
        <v>6</v>
      </c>
      <c r="Z1163" s="261">
        <v>6</v>
      </c>
      <c r="AA1163" s="407" t="s">
        <v>1681</v>
      </c>
      <c r="AB1163" s="258" t="s">
        <v>73</v>
      </c>
      <c r="AC1163" s="258"/>
      <c r="AD1163" s="258">
        <v>5</v>
      </c>
      <c r="AE1163" s="258">
        <v>0</v>
      </c>
      <c r="AF1163" s="259"/>
      <c r="AG1163" s="260"/>
      <c r="AH1163" s="259"/>
      <c r="AI1163" s="259"/>
      <c r="AJ1163" s="260"/>
      <c r="AK1163" s="259">
        <v>17</v>
      </c>
      <c r="AL1163" s="259"/>
      <c r="AM1163" s="259" t="s">
        <v>3787</v>
      </c>
      <c r="AN1163" s="449"/>
      <c r="AO1163" s="449"/>
      <c r="AP1163" s="449"/>
      <c r="AQ1163" s="392" t="str">
        <f>IFERROR(VLOOKUP(BG1163,#REF!,1,0),"")</f>
        <v/>
      </c>
      <c r="AS1163" s="259" t="s">
        <v>3235</v>
      </c>
      <c r="BD1163" s="202" t="str">
        <f t="shared" si="173"/>
        <v>ACCORD2.0 하이브리드 투어링</v>
      </c>
      <c r="BE1163" s="261" t="str">
        <f t="shared" si="179"/>
        <v>0176</v>
      </c>
      <c r="BF1163" s="407" t="s">
        <v>1681</v>
      </c>
      <c r="BG1163" s="202" t="str">
        <f t="shared" si="174"/>
        <v>0176-1162</v>
      </c>
    </row>
    <row r="1164" spans="1:59">
      <c r="A1164" s="405">
        <v>4938</v>
      </c>
      <c r="B1164" s="406">
        <v>4938</v>
      </c>
      <c r="C1164" s="261" t="str">
        <f t="shared" si="175"/>
        <v>0016-0177</v>
      </c>
      <c r="D1164" s="261" t="str">
        <f t="shared" si="176"/>
        <v>0016-0177-0001</v>
      </c>
      <c r="E1164" s="407" t="s">
        <v>1682</v>
      </c>
      <c r="F1164" s="261" t="str">
        <f>TEXT(VLOOKUP(J1164,'[3]1'!$B$2:$D$37,2,0),"0000")</f>
        <v>0016</v>
      </c>
      <c r="G1164" s="261" t="str">
        <f t="shared" si="177"/>
        <v>0177</v>
      </c>
      <c r="H1164" s="408">
        <f t="shared" si="178"/>
        <v>1</v>
      </c>
      <c r="I1164" s="407" t="s">
        <v>1682</v>
      </c>
      <c r="J1164" s="258" t="s">
        <v>169</v>
      </c>
      <c r="K1164" s="258" t="s">
        <v>3784</v>
      </c>
      <c r="L1164" s="258" t="s">
        <v>3782</v>
      </c>
      <c r="M1164" s="316">
        <v>45100000</v>
      </c>
      <c r="N1164" s="266">
        <v>1993</v>
      </c>
      <c r="O1164" s="258" t="s">
        <v>74</v>
      </c>
      <c r="P1164" s="258" t="s">
        <v>70</v>
      </c>
      <c r="Q1164" s="258" t="s">
        <v>72</v>
      </c>
      <c r="R1164" s="258">
        <v>5</v>
      </c>
      <c r="S1164" s="410">
        <v>20</v>
      </c>
      <c r="T1164" s="261">
        <v>6</v>
      </c>
      <c r="U1164" s="261">
        <v>6</v>
      </c>
      <c r="V1164" s="258" t="s">
        <v>1914</v>
      </c>
      <c r="W1164" s="261" t="str">
        <f t="shared" si="180"/>
        <v>HONDACR-V2WD 하이브리드 투어링45100000</v>
      </c>
      <c r="X1164" s="411">
        <f t="shared" si="181"/>
        <v>4938</v>
      </c>
      <c r="Y1164" s="261">
        <v>6</v>
      </c>
      <c r="Z1164" s="261">
        <v>6</v>
      </c>
      <c r="AA1164" s="407" t="s">
        <v>1682</v>
      </c>
      <c r="AB1164" s="258" t="s">
        <v>70</v>
      </c>
      <c r="AC1164" s="258"/>
      <c r="AD1164" s="272">
        <v>4</v>
      </c>
      <c r="AE1164" s="258">
        <v>0</v>
      </c>
      <c r="AF1164" s="259"/>
      <c r="AG1164" s="260"/>
      <c r="AH1164" s="259"/>
      <c r="AI1164" s="259"/>
      <c r="AJ1164" s="260"/>
      <c r="AK1164" s="259">
        <v>10</v>
      </c>
      <c r="AL1164" s="259"/>
      <c r="AM1164" s="259" t="s">
        <v>3785</v>
      </c>
      <c r="AN1164" s="449"/>
      <c r="AO1164" s="449"/>
      <c r="AP1164" s="449"/>
      <c r="AQ1164" s="392" t="str">
        <f>IFERROR(VLOOKUP(BG1164,#REF!,1,0),"")</f>
        <v/>
      </c>
      <c r="AS1164" s="259" t="s">
        <v>3234</v>
      </c>
      <c r="BD1164" s="202" t="str">
        <f t="shared" si="173"/>
        <v>CR-V2WD 하이브리드 투어링</v>
      </c>
      <c r="BE1164" s="261" t="str">
        <f t="shared" si="179"/>
        <v>0177</v>
      </c>
      <c r="BF1164" s="407" t="s">
        <v>1682</v>
      </c>
      <c r="BG1164" s="202" t="str">
        <f t="shared" si="174"/>
        <v>0177-1163</v>
      </c>
    </row>
    <row r="1165" spans="1:59">
      <c r="A1165" s="405">
        <v>4939</v>
      </c>
      <c r="B1165" s="406">
        <v>4939</v>
      </c>
      <c r="C1165" s="261" t="str">
        <f t="shared" si="175"/>
        <v>0016-0177</v>
      </c>
      <c r="D1165" s="261" t="str">
        <f t="shared" si="176"/>
        <v>0016-0177-0002</v>
      </c>
      <c r="E1165" s="407" t="s">
        <v>1683</v>
      </c>
      <c r="F1165" s="261" t="str">
        <f>TEXT(VLOOKUP(J1165,'[3]1'!$B$2:$D$37,2,0),"0000")</f>
        <v>0016</v>
      </c>
      <c r="G1165" s="261" t="str">
        <f t="shared" si="177"/>
        <v>0177</v>
      </c>
      <c r="H1165" s="408">
        <f t="shared" si="178"/>
        <v>2</v>
      </c>
      <c r="I1165" s="407" t="s">
        <v>1683</v>
      </c>
      <c r="J1165" s="258" t="s">
        <v>169</v>
      </c>
      <c r="K1165" s="258" t="s">
        <v>3784</v>
      </c>
      <c r="L1165" s="258" t="s">
        <v>3783</v>
      </c>
      <c r="M1165" s="316">
        <v>47700000</v>
      </c>
      <c r="N1165" s="266">
        <v>1993</v>
      </c>
      <c r="O1165" s="258" t="s">
        <v>74</v>
      </c>
      <c r="P1165" s="258" t="s">
        <v>70</v>
      </c>
      <c r="Q1165" s="258" t="s">
        <v>72</v>
      </c>
      <c r="R1165" s="258">
        <v>5</v>
      </c>
      <c r="S1165" s="410">
        <v>15</v>
      </c>
      <c r="T1165" s="261">
        <v>6</v>
      </c>
      <c r="U1165" s="261">
        <v>6</v>
      </c>
      <c r="V1165" s="258" t="s">
        <v>1914</v>
      </c>
      <c r="W1165" s="261" t="str">
        <f t="shared" si="180"/>
        <v>HONDACR-V4WD 하이브리드 투어링47700000</v>
      </c>
      <c r="X1165" s="411">
        <f t="shared" si="181"/>
        <v>4939</v>
      </c>
      <c r="Y1165" s="261">
        <v>6</v>
      </c>
      <c r="Z1165" s="261">
        <v>6</v>
      </c>
      <c r="AA1165" s="407" t="s">
        <v>1683</v>
      </c>
      <c r="AB1165" s="258" t="s">
        <v>70</v>
      </c>
      <c r="AC1165" s="258"/>
      <c r="AD1165" s="272">
        <v>4</v>
      </c>
      <c r="AE1165" s="258">
        <v>0</v>
      </c>
      <c r="AF1165" s="259"/>
      <c r="AG1165" s="260"/>
      <c r="AH1165" s="259"/>
      <c r="AI1165" s="259"/>
      <c r="AJ1165" s="260"/>
      <c r="AK1165" s="259">
        <v>10</v>
      </c>
      <c r="AL1165" s="259"/>
      <c r="AM1165" s="259" t="s">
        <v>3785</v>
      </c>
      <c r="AN1165" s="449"/>
      <c r="AO1165" s="449"/>
      <c r="AP1165" s="449"/>
      <c r="AQ1165" s="392" t="str">
        <f>IFERROR(VLOOKUP(BG1165,#REF!,1,0),"")</f>
        <v/>
      </c>
      <c r="AS1165" s="259" t="s">
        <v>3465</v>
      </c>
      <c r="AX1165" s="392">
        <v>2024.03</v>
      </c>
      <c r="BB1165" s="202" t="s">
        <v>3466</v>
      </c>
      <c r="BD1165" s="202" t="str">
        <f t="shared" si="173"/>
        <v>CR-V4WD 하이브리드 투어링</v>
      </c>
      <c r="BE1165" s="261" t="str">
        <f t="shared" si="179"/>
        <v>0177</v>
      </c>
      <c r="BF1165" s="407" t="s">
        <v>1683</v>
      </c>
      <c r="BG1165" s="202" t="str">
        <f t="shared" si="174"/>
        <v>0177-1164</v>
      </c>
    </row>
    <row r="1166" spans="1:59">
      <c r="A1166" s="405">
        <v>4940</v>
      </c>
      <c r="B1166" s="406">
        <v>4940</v>
      </c>
      <c r="C1166" s="261" t="str">
        <f t="shared" si="175"/>
        <v>0016-0178</v>
      </c>
      <c r="D1166" s="261" t="str">
        <f t="shared" si="176"/>
        <v>0016-0178-0001</v>
      </c>
      <c r="E1166" s="407" t="s">
        <v>1684</v>
      </c>
      <c r="F1166" s="261" t="str">
        <f>TEXT(VLOOKUP(J1166,'[3]1'!$B$2:$D$37,2,0),"0000")</f>
        <v>0016</v>
      </c>
      <c r="G1166" s="261" t="str">
        <f t="shared" si="177"/>
        <v>0178</v>
      </c>
      <c r="H1166" s="408">
        <f t="shared" si="178"/>
        <v>1</v>
      </c>
      <c r="I1166" s="407" t="s">
        <v>1684</v>
      </c>
      <c r="J1166" s="258" t="s">
        <v>169</v>
      </c>
      <c r="K1166" s="258" t="s">
        <v>3140</v>
      </c>
      <c r="L1166" s="258">
        <v>3.5</v>
      </c>
      <c r="M1166" s="409">
        <v>57100000</v>
      </c>
      <c r="N1166" s="258">
        <v>3471</v>
      </c>
      <c r="O1166" s="258" t="s">
        <v>77</v>
      </c>
      <c r="P1166" s="258" t="s">
        <v>70</v>
      </c>
      <c r="Q1166" s="258" t="s">
        <v>72</v>
      </c>
      <c r="R1166" s="258">
        <v>8</v>
      </c>
      <c r="S1166" s="410">
        <v>15</v>
      </c>
      <c r="T1166" s="261">
        <v>6</v>
      </c>
      <c r="U1166" s="261">
        <v>6</v>
      </c>
      <c r="V1166" s="258" t="s">
        <v>71</v>
      </c>
      <c r="W1166" s="261" t="str">
        <f t="shared" si="180"/>
        <v>HONDAODYSSEY3.557100000</v>
      </c>
      <c r="X1166" s="411">
        <f t="shared" si="181"/>
        <v>4940</v>
      </c>
      <c r="Y1166" s="261">
        <v>6</v>
      </c>
      <c r="Z1166" s="261">
        <v>6</v>
      </c>
      <c r="AA1166" s="407" t="s">
        <v>1684</v>
      </c>
      <c r="AB1166" s="258" t="s">
        <v>70</v>
      </c>
      <c r="AC1166" s="258"/>
      <c r="AD1166" s="258">
        <v>6</v>
      </c>
      <c r="AE1166" s="258">
        <v>0</v>
      </c>
      <c r="AF1166" s="259"/>
      <c r="AG1166" s="260"/>
      <c r="AH1166" s="259"/>
      <c r="AI1166" s="259"/>
      <c r="AJ1166" s="260"/>
      <c r="AK1166" s="259">
        <v>22</v>
      </c>
      <c r="AL1166" s="259"/>
      <c r="AM1166" s="259" t="s">
        <v>3732</v>
      </c>
      <c r="AN1166" s="449"/>
      <c r="AO1166" s="449"/>
      <c r="AP1166" s="449"/>
      <c r="AQ1166" s="392" t="str">
        <f>IFERROR(VLOOKUP(BG1166,#REF!,1,0),"")</f>
        <v/>
      </c>
      <c r="AS1166" s="259" t="s">
        <v>3233</v>
      </c>
      <c r="BD1166" s="202" t="str">
        <f t="shared" si="173"/>
        <v>ODYSSEY3.5</v>
      </c>
      <c r="BE1166" s="261" t="str">
        <f t="shared" si="179"/>
        <v>0178</v>
      </c>
      <c r="BF1166" s="407" t="s">
        <v>1684</v>
      </c>
      <c r="BG1166" s="202" t="str">
        <f t="shared" si="174"/>
        <v>0178-1165</v>
      </c>
    </row>
    <row r="1167" spans="1:59">
      <c r="A1167" s="405">
        <v>4941</v>
      </c>
      <c r="B1167" s="406">
        <v>4941</v>
      </c>
      <c r="C1167" s="261" t="str">
        <f t="shared" si="175"/>
        <v>0016-0179</v>
      </c>
      <c r="D1167" s="261" t="str">
        <f t="shared" si="176"/>
        <v>0016-0179-0001</v>
      </c>
      <c r="E1167" s="407" t="s">
        <v>1685</v>
      </c>
      <c r="F1167" s="261" t="str">
        <f>TEXT(VLOOKUP(J1167,'[3]1'!$B$2:$D$37,2,0),"0000")</f>
        <v>0016</v>
      </c>
      <c r="G1167" s="261" t="str">
        <f t="shared" si="177"/>
        <v>0179</v>
      </c>
      <c r="H1167" s="408">
        <f t="shared" si="178"/>
        <v>1</v>
      </c>
      <c r="I1167" s="407" t="s">
        <v>1685</v>
      </c>
      <c r="J1167" s="258" t="s">
        <v>169</v>
      </c>
      <c r="K1167" s="258" t="s">
        <v>3141</v>
      </c>
      <c r="L1167" s="258" t="s">
        <v>3788</v>
      </c>
      <c r="M1167" s="409">
        <v>54900000</v>
      </c>
      <c r="N1167" s="258">
        <v>3471</v>
      </c>
      <c r="O1167" s="258" t="s">
        <v>77</v>
      </c>
      <c r="P1167" s="258" t="s">
        <v>70</v>
      </c>
      <c r="Q1167" s="258" t="s">
        <v>72</v>
      </c>
      <c r="R1167" s="258">
        <v>8</v>
      </c>
      <c r="S1167" s="410">
        <v>12</v>
      </c>
      <c r="T1167" s="261">
        <v>6</v>
      </c>
      <c r="U1167" s="261">
        <v>6</v>
      </c>
      <c r="V1167" s="258" t="s">
        <v>71</v>
      </c>
      <c r="W1167" s="261" t="str">
        <f t="shared" si="180"/>
        <v>HONDAPILOT엘리트54900000</v>
      </c>
      <c r="X1167" s="411">
        <f t="shared" si="181"/>
        <v>4941</v>
      </c>
      <c r="Y1167" s="261">
        <v>6</v>
      </c>
      <c r="Z1167" s="261">
        <v>6</v>
      </c>
      <c r="AA1167" s="407" t="s">
        <v>1685</v>
      </c>
      <c r="AB1167" s="258" t="s">
        <v>70</v>
      </c>
      <c r="AC1167" s="258"/>
      <c r="AD1167" s="258">
        <v>5</v>
      </c>
      <c r="AE1167" s="258">
        <v>0</v>
      </c>
      <c r="AF1167" s="259"/>
      <c r="AG1167" s="260"/>
      <c r="AH1167" s="259"/>
      <c r="AI1167" s="259"/>
      <c r="AJ1167" s="260"/>
      <c r="AK1167" s="259">
        <v>22</v>
      </c>
      <c r="AL1167" s="259"/>
      <c r="AM1167" s="259" t="s">
        <v>3732</v>
      </c>
      <c r="AN1167" s="449"/>
      <c r="AO1167" s="449"/>
      <c r="AP1167" s="449"/>
      <c r="AQ1167" s="392" t="str">
        <f>IFERROR(VLOOKUP(BG1167,#REF!,1,0),"")</f>
        <v/>
      </c>
      <c r="AS1167" s="259" t="s">
        <v>3228</v>
      </c>
      <c r="BD1167" s="202" t="str">
        <f t="shared" si="173"/>
        <v>PILOT엘리트</v>
      </c>
      <c r="BE1167" s="261" t="str">
        <f t="shared" si="179"/>
        <v>0179</v>
      </c>
      <c r="BF1167" s="407" t="s">
        <v>1685</v>
      </c>
      <c r="BG1167" s="202" t="str">
        <f t="shared" si="174"/>
        <v>0179-1166</v>
      </c>
    </row>
    <row r="1168" spans="1:59">
      <c r="A1168" s="405">
        <v>4942</v>
      </c>
      <c r="B1168" s="406">
        <v>4942</v>
      </c>
      <c r="C1168" s="261" t="str">
        <f t="shared" si="175"/>
        <v>0014-0180</v>
      </c>
      <c r="D1168" s="261" t="str">
        <f t="shared" si="176"/>
        <v>0014-0180-0001</v>
      </c>
      <c r="E1168" s="407" t="s">
        <v>1686</v>
      </c>
      <c r="F1168" s="261" t="str">
        <f>TEXT(VLOOKUP(J1168,'[3]1'!$B$2:$D$37,2,0),"0000")</f>
        <v>0014</v>
      </c>
      <c r="G1168" s="261" t="str">
        <f t="shared" si="177"/>
        <v>0180</v>
      </c>
      <c r="H1168" s="408">
        <f t="shared" si="178"/>
        <v>1</v>
      </c>
      <c r="I1168" s="407" t="s">
        <v>1686</v>
      </c>
      <c r="J1168" s="413" t="s">
        <v>171</v>
      </c>
      <c r="K1168" s="413" t="s">
        <v>3025</v>
      </c>
      <c r="L1168" s="413" t="s">
        <v>3026</v>
      </c>
      <c r="M1168" s="415">
        <v>82400000</v>
      </c>
      <c r="N1168" s="416">
        <v>3496</v>
      </c>
      <c r="O1168" s="258" t="s">
        <v>77</v>
      </c>
      <c r="P1168" s="258" t="s">
        <v>70</v>
      </c>
      <c r="Q1168" s="413" t="s">
        <v>72</v>
      </c>
      <c r="R1168" s="416">
        <v>5</v>
      </c>
      <c r="S1168" s="410">
        <v>20</v>
      </c>
      <c r="T1168" s="261">
        <v>6</v>
      </c>
      <c r="U1168" s="261">
        <v>6</v>
      </c>
      <c r="V1168" s="258" t="s">
        <v>71</v>
      </c>
      <c r="W1168" s="261" t="str">
        <f t="shared" si="180"/>
        <v>FORDEXPEDITON가솔린 터보 3.582400000</v>
      </c>
      <c r="X1168" s="411">
        <f t="shared" si="181"/>
        <v>4942</v>
      </c>
      <c r="Y1168" s="261">
        <v>6</v>
      </c>
      <c r="Z1168" s="261">
        <v>6</v>
      </c>
      <c r="AA1168" s="407" t="s">
        <v>1686</v>
      </c>
      <c r="AB1168" s="258" t="s">
        <v>70</v>
      </c>
      <c r="AC1168" s="258"/>
      <c r="AD1168" s="258">
        <v>5</v>
      </c>
      <c r="AE1168" s="258">
        <v>0</v>
      </c>
      <c r="AF1168" s="259"/>
      <c r="AG1168" s="260"/>
      <c r="AH1168" s="259"/>
      <c r="AI1168" s="259"/>
      <c r="AJ1168" s="260"/>
      <c r="AK1168" s="259">
        <v>22</v>
      </c>
      <c r="AL1168" s="259"/>
      <c r="AM1168" s="259" t="s">
        <v>3732</v>
      </c>
      <c r="AN1168" s="449"/>
      <c r="AO1168" s="449"/>
      <c r="AP1168" s="449"/>
      <c r="AQ1168" s="392" t="str">
        <f>IFERROR(VLOOKUP(BG1168,#REF!,1,0),"")</f>
        <v/>
      </c>
      <c r="AS1168" s="259" t="s">
        <v>3234</v>
      </c>
      <c r="BD1168" s="202" t="str">
        <f t="shared" si="173"/>
        <v>EXPEDITON가솔린 터보 3.5</v>
      </c>
      <c r="BE1168" s="261" t="str">
        <f t="shared" si="179"/>
        <v>0180</v>
      </c>
      <c r="BF1168" s="407" t="s">
        <v>1686</v>
      </c>
      <c r="BG1168" s="202" t="str">
        <f t="shared" si="174"/>
        <v>0180-1167</v>
      </c>
    </row>
    <row r="1169" spans="1:59">
      <c r="A1169" s="405">
        <v>4943</v>
      </c>
      <c r="B1169" s="406">
        <v>4943</v>
      </c>
      <c r="C1169" s="261" t="str">
        <f t="shared" si="175"/>
        <v>0014-0180</v>
      </c>
      <c r="D1169" s="261" t="str">
        <f t="shared" si="176"/>
        <v>0014-0180-0002</v>
      </c>
      <c r="E1169" s="407" t="s">
        <v>1687</v>
      </c>
      <c r="F1169" s="261" t="str">
        <f>TEXT(VLOOKUP(J1169,'[3]1'!$B$2:$D$37,2,0),"0000")</f>
        <v>0014</v>
      </c>
      <c r="G1169" s="261" t="str">
        <f t="shared" si="177"/>
        <v>0180</v>
      </c>
      <c r="H1169" s="408">
        <f t="shared" si="178"/>
        <v>2</v>
      </c>
      <c r="I1169" s="407" t="s">
        <v>1687</v>
      </c>
      <c r="J1169" s="413" t="s">
        <v>171</v>
      </c>
      <c r="K1169" s="413" t="s">
        <v>3025</v>
      </c>
      <c r="L1169" s="413" t="s">
        <v>3026</v>
      </c>
      <c r="M1169" s="415">
        <v>82400000</v>
      </c>
      <c r="N1169" s="416">
        <v>3496</v>
      </c>
      <c r="O1169" s="258" t="s">
        <v>77</v>
      </c>
      <c r="P1169" s="258" t="s">
        <v>70</v>
      </c>
      <c r="Q1169" s="413" t="s">
        <v>72</v>
      </c>
      <c r="R1169" s="416">
        <v>5</v>
      </c>
      <c r="S1169" s="410">
        <v>20</v>
      </c>
      <c r="T1169" s="261">
        <v>6</v>
      </c>
      <c r="U1169" s="261">
        <v>6</v>
      </c>
      <c r="V1169" s="258" t="s">
        <v>71</v>
      </c>
      <c r="W1169" s="261" t="str">
        <f t="shared" si="180"/>
        <v>FORDEXPEDITON가솔린 터보 3.582400000</v>
      </c>
      <c r="X1169" s="411">
        <f t="shared" si="181"/>
        <v>4943</v>
      </c>
      <c r="Y1169" s="261">
        <v>6</v>
      </c>
      <c r="Z1169" s="261">
        <v>6</v>
      </c>
      <c r="AA1169" s="407" t="s">
        <v>1687</v>
      </c>
      <c r="AB1169" s="258" t="s">
        <v>70</v>
      </c>
      <c r="AC1169" s="258"/>
      <c r="AD1169" s="258">
        <v>5</v>
      </c>
      <c r="AE1169" s="258">
        <v>0</v>
      </c>
      <c r="AF1169" s="259"/>
      <c r="AG1169" s="260"/>
      <c r="AH1169" s="259"/>
      <c r="AI1169" s="259"/>
      <c r="AJ1169" s="260"/>
      <c r="AK1169" s="259">
        <v>22</v>
      </c>
      <c r="AL1169" s="259"/>
      <c r="AM1169" s="259" t="s">
        <v>3732</v>
      </c>
      <c r="AN1169" s="449"/>
      <c r="AO1169" s="449"/>
      <c r="AP1169" s="449"/>
      <c r="AQ1169" s="392" t="str">
        <f>IFERROR(VLOOKUP(BG1169,#REF!,1,0),"")</f>
        <v/>
      </c>
      <c r="AS1169" s="259" t="s">
        <v>3234</v>
      </c>
      <c r="BD1169" s="202" t="str">
        <f t="shared" si="173"/>
        <v>EXPEDITON가솔린 터보 3.5</v>
      </c>
      <c r="BE1169" s="261" t="str">
        <f t="shared" si="179"/>
        <v>0180</v>
      </c>
      <c r="BF1169" s="407" t="s">
        <v>1687</v>
      </c>
      <c r="BG1169" s="202" t="str">
        <f t="shared" si="174"/>
        <v>0180-1168</v>
      </c>
    </row>
    <row r="1170" spans="1:59">
      <c r="A1170" s="405">
        <v>4944</v>
      </c>
      <c r="B1170" s="406">
        <v>4944</v>
      </c>
      <c r="C1170" s="261" t="str">
        <f t="shared" si="175"/>
        <v>0014-0181</v>
      </c>
      <c r="D1170" s="261" t="str">
        <f t="shared" si="176"/>
        <v>0014-0181-0001</v>
      </c>
      <c r="E1170" s="407" t="s">
        <v>1688</v>
      </c>
      <c r="F1170" s="261" t="str">
        <f>TEXT(VLOOKUP(J1170,'[3]1'!$B$2:$D$37,2,0),"0000")</f>
        <v>0014</v>
      </c>
      <c r="G1170" s="261" t="str">
        <f t="shared" si="177"/>
        <v>0181</v>
      </c>
      <c r="H1170" s="408">
        <f t="shared" si="178"/>
        <v>1</v>
      </c>
      <c r="I1170" s="407" t="s">
        <v>1688</v>
      </c>
      <c r="J1170" s="258" t="s">
        <v>171</v>
      </c>
      <c r="K1170" s="258" t="s">
        <v>177</v>
      </c>
      <c r="L1170" s="258" t="s">
        <v>178</v>
      </c>
      <c r="M1170" s="409">
        <v>60200000</v>
      </c>
      <c r="N1170" s="258">
        <v>2261</v>
      </c>
      <c r="O1170" s="258" t="s">
        <v>77</v>
      </c>
      <c r="P1170" s="258" t="s">
        <v>73</v>
      </c>
      <c r="Q1170" s="258" t="s">
        <v>72</v>
      </c>
      <c r="R1170" s="258">
        <v>7</v>
      </c>
      <c r="S1170" s="410">
        <v>11</v>
      </c>
      <c r="T1170" s="261">
        <v>6</v>
      </c>
      <c r="U1170" s="261">
        <v>6</v>
      </c>
      <c r="V1170" s="258" t="s">
        <v>71</v>
      </c>
      <c r="W1170" s="261" t="str">
        <f t="shared" si="180"/>
        <v>FORDEXPLORER2.3 L LTD AWD60200000</v>
      </c>
      <c r="X1170" s="411">
        <f t="shared" si="181"/>
        <v>4944</v>
      </c>
      <c r="Y1170" s="261">
        <v>6</v>
      </c>
      <c r="Z1170" s="261">
        <v>6</v>
      </c>
      <c r="AA1170" s="407" t="s">
        <v>1688</v>
      </c>
      <c r="AB1170" s="258" t="s">
        <v>70</v>
      </c>
      <c r="AC1170" s="258"/>
      <c r="AD1170" s="258">
        <v>3</v>
      </c>
      <c r="AE1170" s="258">
        <v>0</v>
      </c>
      <c r="AF1170" s="259"/>
      <c r="AG1170" s="260"/>
      <c r="AH1170" s="259"/>
      <c r="AI1170" s="259"/>
      <c r="AJ1170" s="260"/>
      <c r="AK1170" s="259">
        <v>14</v>
      </c>
      <c r="AL1170" s="259"/>
      <c r="AM1170" s="259" t="s">
        <v>3728</v>
      </c>
      <c r="AN1170" s="449"/>
      <c r="AO1170" s="449"/>
      <c r="AP1170" s="449"/>
      <c r="AQ1170" s="392" t="str">
        <f>IFERROR(VLOOKUP(BG1170,#REF!,1,0),"")</f>
        <v/>
      </c>
      <c r="AS1170" s="259" t="s">
        <v>3232</v>
      </c>
      <c r="BD1170" s="202" t="str">
        <f t="shared" si="173"/>
        <v>EXPLORER2.3 L LTD AWD</v>
      </c>
      <c r="BE1170" s="261" t="str">
        <f t="shared" si="179"/>
        <v>0181</v>
      </c>
      <c r="BF1170" s="407" t="s">
        <v>1688</v>
      </c>
      <c r="BG1170" s="202" t="str">
        <f t="shared" si="174"/>
        <v>0181-1169</v>
      </c>
    </row>
    <row r="1171" spans="1:59">
      <c r="A1171" s="405">
        <v>4945</v>
      </c>
      <c r="B1171" s="406">
        <v>4945</v>
      </c>
      <c r="C1171" s="261" t="str">
        <f t="shared" si="175"/>
        <v>0014-0181</v>
      </c>
      <c r="D1171" s="261" t="str">
        <f t="shared" si="176"/>
        <v>0014-0181-0002</v>
      </c>
      <c r="E1171" s="407" t="s">
        <v>1689</v>
      </c>
      <c r="F1171" s="261" t="str">
        <f>TEXT(VLOOKUP(J1171,'[3]1'!$B$2:$D$37,2,0),"0000")</f>
        <v>0014</v>
      </c>
      <c r="G1171" s="261" t="str">
        <f t="shared" si="177"/>
        <v>0181</v>
      </c>
      <c r="H1171" s="408">
        <f t="shared" si="178"/>
        <v>2</v>
      </c>
      <c r="I1171" s="407" t="s">
        <v>1689</v>
      </c>
      <c r="J1171" s="258" t="s">
        <v>171</v>
      </c>
      <c r="K1171" s="258" t="s">
        <v>177</v>
      </c>
      <c r="L1171" s="258" t="s">
        <v>2902</v>
      </c>
      <c r="M1171" s="409">
        <v>67600000</v>
      </c>
      <c r="N1171" s="258">
        <v>2956</v>
      </c>
      <c r="O1171" s="258" t="s">
        <v>77</v>
      </c>
      <c r="P1171" s="258" t="s">
        <v>73</v>
      </c>
      <c r="Q1171" s="258" t="s">
        <v>72</v>
      </c>
      <c r="R1171" s="258">
        <v>7</v>
      </c>
      <c r="S1171" s="410">
        <v>13</v>
      </c>
      <c r="T1171" s="261">
        <v>6</v>
      </c>
      <c r="U1171" s="261">
        <v>6</v>
      </c>
      <c r="V1171" s="258" t="s">
        <v>71</v>
      </c>
      <c r="W1171" s="261" t="str">
        <f t="shared" si="180"/>
        <v>FORDEXPLORER3.0 가솔린 3.0 platinum67600000</v>
      </c>
      <c r="X1171" s="411">
        <f t="shared" si="181"/>
        <v>4945</v>
      </c>
      <c r="Y1171" s="261">
        <v>6</v>
      </c>
      <c r="Z1171" s="261">
        <v>6</v>
      </c>
      <c r="AA1171" s="407" t="s">
        <v>1689</v>
      </c>
      <c r="AB1171" s="258" t="s">
        <v>70</v>
      </c>
      <c r="AC1171" s="258"/>
      <c r="AD1171" s="258">
        <v>3</v>
      </c>
      <c r="AE1171" s="258">
        <v>0</v>
      </c>
      <c r="AF1171" s="259"/>
      <c r="AG1171" s="260"/>
      <c r="AH1171" s="259"/>
      <c r="AI1171" s="259"/>
      <c r="AJ1171" s="260"/>
      <c r="AK1171" s="259">
        <v>14</v>
      </c>
      <c r="AL1171" s="259"/>
      <c r="AM1171" s="259" t="s">
        <v>3728</v>
      </c>
      <c r="AN1171" s="449"/>
      <c r="AO1171" s="449"/>
      <c r="AP1171" s="449"/>
      <c r="AQ1171" s="392" t="str">
        <f>IFERROR(VLOOKUP(BG1171,#REF!,1,0),"")</f>
        <v/>
      </c>
      <c r="AS1171" s="259" t="s">
        <v>3227</v>
      </c>
      <c r="BD1171" s="202" t="str">
        <f t="shared" si="173"/>
        <v>EXPLORER3.0 가솔린 3.0 platinum</v>
      </c>
      <c r="BE1171" s="261" t="str">
        <f t="shared" si="179"/>
        <v>0181</v>
      </c>
      <c r="BF1171" s="407" t="s">
        <v>1689</v>
      </c>
      <c r="BG1171" s="202" t="str">
        <f t="shared" si="174"/>
        <v>0181-1170</v>
      </c>
    </row>
    <row r="1172" spans="1:59">
      <c r="A1172" s="405">
        <v>4946</v>
      </c>
      <c r="B1172" s="406">
        <v>4946</v>
      </c>
      <c r="C1172" s="261" t="str">
        <f t="shared" si="175"/>
        <v>0014-0182</v>
      </c>
      <c r="D1172" s="261" t="str">
        <f t="shared" si="176"/>
        <v>0014-0182-0001</v>
      </c>
      <c r="E1172" s="407" t="s">
        <v>1690</v>
      </c>
      <c r="F1172" s="261" t="str">
        <f>TEXT(VLOOKUP(J1172,'[3]1'!$B$2:$D$37,2,0),"0000")</f>
        <v>0014</v>
      </c>
      <c r="G1172" s="261" t="str">
        <f t="shared" si="177"/>
        <v>0182</v>
      </c>
      <c r="H1172" s="408">
        <f t="shared" si="178"/>
        <v>1</v>
      </c>
      <c r="I1172" s="407" t="s">
        <v>1690</v>
      </c>
      <c r="J1172" s="413" t="s">
        <v>171</v>
      </c>
      <c r="K1172" s="413" t="s">
        <v>3773</v>
      </c>
      <c r="L1172" s="413" t="s">
        <v>3774</v>
      </c>
      <c r="M1172" s="415">
        <v>81950000</v>
      </c>
      <c r="N1172" s="416">
        <v>3339</v>
      </c>
      <c r="O1172" s="413" t="s">
        <v>74</v>
      </c>
      <c r="P1172" s="258" t="s">
        <v>70</v>
      </c>
      <c r="Q1172" s="413" t="s">
        <v>72</v>
      </c>
      <c r="R1172" s="416">
        <v>7</v>
      </c>
      <c r="S1172" s="410">
        <v>11</v>
      </c>
      <c r="T1172" s="261">
        <v>6</v>
      </c>
      <c r="U1172" s="261">
        <v>6</v>
      </c>
      <c r="V1172" s="258" t="s">
        <v>1969</v>
      </c>
      <c r="W1172" s="261" t="str">
        <f t="shared" si="180"/>
        <v>FORDExPlorer FHEV3.3 FHEV81950000</v>
      </c>
      <c r="X1172" s="411">
        <f t="shared" si="181"/>
        <v>4946</v>
      </c>
      <c r="Y1172" s="261">
        <v>6</v>
      </c>
      <c r="Z1172" s="261">
        <v>6</v>
      </c>
      <c r="AA1172" s="407" t="s">
        <v>1690</v>
      </c>
      <c r="AB1172" s="258" t="s">
        <v>70</v>
      </c>
      <c r="AC1172" s="258"/>
      <c r="AD1172" s="258">
        <v>6</v>
      </c>
      <c r="AE1172" s="258">
        <v>0</v>
      </c>
      <c r="AF1172" s="259"/>
      <c r="AG1172" s="260"/>
      <c r="AH1172" s="259"/>
      <c r="AI1172" s="259"/>
      <c r="AJ1172" s="260"/>
      <c r="AK1172" s="259">
        <v>15</v>
      </c>
      <c r="AL1172" s="259"/>
      <c r="AM1172" s="259" t="s">
        <v>3725</v>
      </c>
      <c r="AN1172" s="449"/>
      <c r="AO1172" s="449"/>
      <c r="AP1172" s="449"/>
      <c r="AQ1172" s="392" t="str">
        <f>IFERROR(VLOOKUP(BG1172,#REF!,1,0),"")</f>
        <v/>
      </c>
      <c r="AS1172" s="259" t="s">
        <v>3232</v>
      </c>
      <c r="BD1172" s="202" t="str">
        <f t="shared" si="173"/>
        <v>ExPlorer FHEV3.3 FHEV</v>
      </c>
      <c r="BE1172" s="261" t="str">
        <f t="shared" si="179"/>
        <v>0182</v>
      </c>
      <c r="BF1172" s="407" t="s">
        <v>1690</v>
      </c>
      <c r="BG1172" s="202" t="str">
        <f t="shared" si="174"/>
        <v>0182-1171</v>
      </c>
    </row>
    <row r="1173" spans="1:59">
      <c r="A1173" s="405">
        <v>4947</v>
      </c>
      <c r="B1173" s="406">
        <v>4947</v>
      </c>
      <c r="C1173" s="261" t="str">
        <f t="shared" si="175"/>
        <v>0014-0183</v>
      </c>
      <c r="D1173" s="261" t="str">
        <f t="shared" si="176"/>
        <v>0014-0183-0001</v>
      </c>
      <c r="E1173" s="407" t="s">
        <v>1691</v>
      </c>
      <c r="F1173" s="261" t="str">
        <f>TEXT(VLOOKUP(J1173,'[3]1'!$B$2:$D$37,2,0),"0000")</f>
        <v>0014</v>
      </c>
      <c r="G1173" s="261" t="str">
        <f t="shared" si="177"/>
        <v>0183</v>
      </c>
      <c r="H1173" s="408">
        <f t="shared" si="178"/>
        <v>1</v>
      </c>
      <c r="I1173" s="407" t="s">
        <v>1691</v>
      </c>
      <c r="J1173" s="258" t="s">
        <v>171</v>
      </c>
      <c r="K1173" s="258" t="s">
        <v>173</v>
      </c>
      <c r="L1173" s="258" t="s">
        <v>176</v>
      </c>
      <c r="M1173" s="409">
        <v>53700000</v>
      </c>
      <c r="N1173" s="258">
        <v>2261</v>
      </c>
      <c r="O1173" s="258" t="s">
        <v>77</v>
      </c>
      <c r="P1173" s="258" t="s">
        <v>73</v>
      </c>
      <c r="Q1173" s="258" t="s">
        <v>72</v>
      </c>
      <c r="R1173" s="258">
        <v>4</v>
      </c>
      <c r="S1173" s="410">
        <v>15</v>
      </c>
      <c r="T1173" s="261">
        <v>6</v>
      </c>
      <c r="U1173" s="261">
        <v>6</v>
      </c>
      <c r="V1173" s="258" t="s">
        <v>71</v>
      </c>
      <c r="W1173" s="261" t="str">
        <f t="shared" si="180"/>
        <v>FORDMUSTANG2.3L EcoBoost Premium (convertible)53700000</v>
      </c>
      <c r="X1173" s="411">
        <f t="shared" si="181"/>
        <v>4947</v>
      </c>
      <c r="Y1173" s="261">
        <v>6</v>
      </c>
      <c r="Z1173" s="261">
        <v>6</v>
      </c>
      <c r="AA1173" s="407" t="s">
        <v>1691</v>
      </c>
      <c r="AB1173" s="258" t="s">
        <v>3772</v>
      </c>
      <c r="AC1173" s="258"/>
      <c r="AD1173" s="258">
        <v>5</v>
      </c>
      <c r="AE1173" s="258">
        <v>0</v>
      </c>
      <c r="AF1173" s="259"/>
      <c r="AG1173" s="260"/>
      <c r="AH1173" s="259"/>
      <c r="AI1173" s="259"/>
      <c r="AJ1173" s="260"/>
      <c r="AK1173" s="259">
        <v>22</v>
      </c>
      <c r="AL1173" s="259"/>
      <c r="AM1173" s="259" t="s">
        <v>3732</v>
      </c>
      <c r="AN1173" s="449"/>
      <c r="AO1173" s="449"/>
      <c r="AP1173" s="449"/>
      <c r="AQ1173" s="392" t="str">
        <f>IFERROR(VLOOKUP(BG1173,#REF!,1,0),"")</f>
        <v/>
      </c>
      <c r="AS1173" s="259" t="s">
        <v>3233</v>
      </c>
      <c r="BD1173" s="202" t="str">
        <f t="shared" si="173"/>
        <v>MUSTANG2.3L EcoBoost Premium (convertible)</v>
      </c>
      <c r="BE1173" s="261" t="str">
        <f t="shared" si="179"/>
        <v>0183</v>
      </c>
      <c r="BF1173" s="407" t="s">
        <v>1691</v>
      </c>
      <c r="BG1173" s="202" t="str">
        <f t="shared" si="174"/>
        <v>0183-1172</v>
      </c>
    </row>
    <row r="1174" spans="1:59">
      <c r="A1174" s="405">
        <v>4948</v>
      </c>
      <c r="B1174" s="406">
        <v>4948</v>
      </c>
      <c r="C1174" s="261" t="str">
        <f t="shared" si="175"/>
        <v>0014-0183</v>
      </c>
      <c r="D1174" s="261" t="str">
        <f t="shared" si="176"/>
        <v>0014-0183-0002</v>
      </c>
      <c r="E1174" s="407" t="s">
        <v>1692</v>
      </c>
      <c r="F1174" s="261" t="str">
        <f>TEXT(VLOOKUP(J1174,'[3]1'!$B$2:$D$37,2,0),"0000")</f>
        <v>0014</v>
      </c>
      <c r="G1174" s="261" t="str">
        <f t="shared" si="177"/>
        <v>0183</v>
      </c>
      <c r="H1174" s="408">
        <f t="shared" si="178"/>
        <v>2</v>
      </c>
      <c r="I1174" s="407" t="s">
        <v>1692</v>
      </c>
      <c r="J1174" s="258" t="s">
        <v>171</v>
      </c>
      <c r="K1174" s="258" t="s">
        <v>173</v>
      </c>
      <c r="L1174" s="258" t="s">
        <v>175</v>
      </c>
      <c r="M1174" s="409">
        <v>48000000</v>
      </c>
      <c r="N1174" s="258">
        <v>2261</v>
      </c>
      <c r="O1174" s="258" t="s">
        <v>77</v>
      </c>
      <c r="P1174" s="258" t="s">
        <v>73</v>
      </c>
      <c r="Q1174" s="258" t="s">
        <v>72</v>
      </c>
      <c r="R1174" s="258">
        <v>4</v>
      </c>
      <c r="S1174" s="410">
        <v>15</v>
      </c>
      <c r="T1174" s="261">
        <v>6</v>
      </c>
      <c r="U1174" s="261">
        <v>6</v>
      </c>
      <c r="V1174" s="258" t="s">
        <v>71</v>
      </c>
      <c r="W1174" s="261" t="str">
        <f t="shared" si="180"/>
        <v>FORDMUSTANG2.3L EcoBoost Premium (coupe)48000000</v>
      </c>
      <c r="X1174" s="411">
        <f t="shared" si="181"/>
        <v>4948</v>
      </c>
      <c r="Y1174" s="261">
        <v>6</v>
      </c>
      <c r="Z1174" s="261">
        <v>6</v>
      </c>
      <c r="AA1174" s="407" t="s">
        <v>1692</v>
      </c>
      <c r="AB1174" s="258" t="s">
        <v>3772</v>
      </c>
      <c r="AC1174" s="258"/>
      <c r="AD1174" s="258">
        <v>5</v>
      </c>
      <c r="AE1174" s="258">
        <v>0</v>
      </c>
      <c r="AF1174" s="259"/>
      <c r="AG1174" s="260"/>
      <c r="AH1174" s="259"/>
      <c r="AI1174" s="259"/>
      <c r="AJ1174" s="260"/>
      <c r="AK1174" s="259">
        <v>22</v>
      </c>
      <c r="AL1174" s="259"/>
      <c r="AM1174" s="259" t="s">
        <v>3732</v>
      </c>
      <c r="AN1174" s="449"/>
      <c r="AO1174" s="449"/>
      <c r="AP1174" s="449"/>
      <c r="AQ1174" s="392" t="str">
        <f>IFERROR(VLOOKUP(BG1174,#REF!,1,0),"")</f>
        <v/>
      </c>
      <c r="AS1174" s="259" t="s">
        <v>3233</v>
      </c>
      <c r="BD1174" s="202" t="str">
        <f t="shared" si="173"/>
        <v>MUSTANG2.3L EcoBoost Premium (coupe)</v>
      </c>
      <c r="BE1174" s="261" t="str">
        <f t="shared" si="179"/>
        <v>0183</v>
      </c>
      <c r="BF1174" s="407" t="s">
        <v>1692</v>
      </c>
      <c r="BG1174" s="202" t="str">
        <f t="shared" si="174"/>
        <v>0183-1173</v>
      </c>
    </row>
    <row r="1175" spans="1:59">
      <c r="A1175" s="405">
        <v>4949</v>
      </c>
      <c r="B1175" s="406">
        <v>4949</v>
      </c>
      <c r="C1175" s="261" t="str">
        <f t="shared" si="175"/>
        <v>0014-0183</v>
      </c>
      <c r="D1175" s="261" t="str">
        <f t="shared" si="176"/>
        <v>0014-0183-0003</v>
      </c>
      <c r="E1175" s="407" t="s">
        <v>1693</v>
      </c>
      <c r="F1175" s="261" t="str">
        <f>TEXT(VLOOKUP(J1175,'[3]1'!$B$2:$D$37,2,0),"0000")</f>
        <v>0014</v>
      </c>
      <c r="G1175" s="261" t="str">
        <f t="shared" si="177"/>
        <v>0183</v>
      </c>
      <c r="H1175" s="408">
        <f t="shared" si="178"/>
        <v>3</v>
      </c>
      <c r="I1175" s="407" t="s">
        <v>1693</v>
      </c>
      <c r="J1175" s="258" t="s">
        <v>171</v>
      </c>
      <c r="K1175" s="258" t="s">
        <v>173</v>
      </c>
      <c r="L1175" s="258" t="s">
        <v>174</v>
      </c>
      <c r="M1175" s="409">
        <v>69200000</v>
      </c>
      <c r="N1175" s="258">
        <v>4951</v>
      </c>
      <c r="O1175" s="258" t="s">
        <v>77</v>
      </c>
      <c r="P1175" s="258" t="s">
        <v>73</v>
      </c>
      <c r="Q1175" s="258" t="s">
        <v>72</v>
      </c>
      <c r="R1175" s="258">
        <v>4</v>
      </c>
      <c r="S1175" s="410">
        <v>15</v>
      </c>
      <c r="T1175" s="261">
        <v>6</v>
      </c>
      <c r="U1175" s="261">
        <v>6</v>
      </c>
      <c r="V1175" s="258" t="s">
        <v>71</v>
      </c>
      <c r="W1175" s="261" t="str">
        <f t="shared" si="180"/>
        <v>FORDMUSTANG5.0L GT Premium (convertible)69200000</v>
      </c>
      <c r="X1175" s="411">
        <f t="shared" si="181"/>
        <v>4949</v>
      </c>
      <c r="Y1175" s="261">
        <v>6</v>
      </c>
      <c r="Z1175" s="261">
        <v>6</v>
      </c>
      <c r="AA1175" s="407" t="s">
        <v>1693</v>
      </c>
      <c r="AB1175" s="258" t="s">
        <v>3772</v>
      </c>
      <c r="AC1175" s="258"/>
      <c r="AD1175" s="258">
        <v>5</v>
      </c>
      <c r="AE1175" s="258">
        <v>0</v>
      </c>
      <c r="AF1175" s="259"/>
      <c r="AG1175" s="260"/>
      <c r="AH1175" s="259"/>
      <c r="AI1175" s="259"/>
      <c r="AJ1175" s="260"/>
      <c r="AK1175" s="259">
        <v>22</v>
      </c>
      <c r="AL1175" s="259"/>
      <c r="AM1175" s="259" t="s">
        <v>3732</v>
      </c>
      <c r="AN1175" s="449"/>
      <c r="AO1175" s="449"/>
      <c r="AP1175" s="449"/>
      <c r="AQ1175" s="392" t="str">
        <f>IFERROR(VLOOKUP(BG1175,#REF!,1,0),"")</f>
        <v/>
      </c>
      <c r="AS1175" s="259" t="s">
        <v>3233</v>
      </c>
      <c r="BD1175" s="202" t="str">
        <f t="shared" si="173"/>
        <v>MUSTANG5.0L GT Premium (convertible)</v>
      </c>
      <c r="BE1175" s="261" t="str">
        <f t="shared" si="179"/>
        <v>0183</v>
      </c>
      <c r="BF1175" s="407" t="s">
        <v>1693</v>
      </c>
      <c r="BG1175" s="202" t="str">
        <f t="shared" si="174"/>
        <v>0183-1174</v>
      </c>
    </row>
    <row r="1176" spans="1:59">
      <c r="A1176" s="405">
        <v>4950</v>
      </c>
      <c r="B1176" s="406">
        <v>4950</v>
      </c>
      <c r="C1176" s="261" t="str">
        <f t="shared" si="175"/>
        <v>0014-0183</v>
      </c>
      <c r="D1176" s="261" t="str">
        <f t="shared" si="176"/>
        <v>0014-0183-0004</v>
      </c>
      <c r="E1176" s="407" t="s">
        <v>1694</v>
      </c>
      <c r="F1176" s="261" t="str">
        <f>TEXT(VLOOKUP(J1176,'[3]1'!$B$2:$D$37,2,0),"0000")</f>
        <v>0014</v>
      </c>
      <c r="G1176" s="261" t="str">
        <f t="shared" si="177"/>
        <v>0183</v>
      </c>
      <c r="H1176" s="408">
        <f t="shared" si="178"/>
        <v>4</v>
      </c>
      <c r="I1176" s="407" t="s">
        <v>1694</v>
      </c>
      <c r="J1176" s="258" t="s">
        <v>171</v>
      </c>
      <c r="K1176" s="258" t="s">
        <v>173</v>
      </c>
      <c r="L1176" s="258" t="s">
        <v>172</v>
      </c>
      <c r="M1176" s="409">
        <v>64300000</v>
      </c>
      <c r="N1176" s="258">
        <v>4951</v>
      </c>
      <c r="O1176" s="258" t="s">
        <v>77</v>
      </c>
      <c r="P1176" s="258" t="s">
        <v>73</v>
      </c>
      <c r="Q1176" s="258" t="s">
        <v>72</v>
      </c>
      <c r="R1176" s="258">
        <v>4</v>
      </c>
      <c r="S1176" s="410">
        <v>15</v>
      </c>
      <c r="T1176" s="261">
        <v>6</v>
      </c>
      <c r="U1176" s="261">
        <v>6</v>
      </c>
      <c r="V1176" s="258" t="s">
        <v>71</v>
      </c>
      <c r="W1176" s="261" t="str">
        <f t="shared" si="180"/>
        <v>FORDMUSTANG5.0L GT Premium (coupe)64300000</v>
      </c>
      <c r="X1176" s="411">
        <f t="shared" si="181"/>
        <v>4950</v>
      </c>
      <c r="Y1176" s="261">
        <v>6</v>
      </c>
      <c r="Z1176" s="261">
        <v>6</v>
      </c>
      <c r="AA1176" s="407" t="s">
        <v>1694</v>
      </c>
      <c r="AB1176" s="258" t="s">
        <v>3772</v>
      </c>
      <c r="AC1176" s="258"/>
      <c r="AD1176" s="258">
        <v>5</v>
      </c>
      <c r="AE1176" s="258">
        <v>0</v>
      </c>
      <c r="AF1176" s="259"/>
      <c r="AG1176" s="260"/>
      <c r="AH1176" s="259"/>
      <c r="AI1176" s="259"/>
      <c r="AJ1176" s="260"/>
      <c r="AK1176" s="259">
        <v>22</v>
      </c>
      <c r="AL1176" s="259"/>
      <c r="AM1176" s="259" t="s">
        <v>3732</v>
      </c>
      <c r="AN1176" s="449"/>
      <c r="AO1176" s="449"/>
      <c r="AP1176" s="449"/>
      <c r="AQ1176" s="392" t="str">
        <f>IFERROR(VLOOKUP(BG1176,#REF!,1,0),"")</f>
        <v/>
      </c>
      <c r="AS1176" s="259" t="s">
        <v>3233</v>
      </c>
      <c r="BD1176" s="202" t="str">
        <f t="shared" si="173"/>
        <v>MUSTANG5.0L GT Premium (coupe)</v>
      </c>
      <c r="BE1176" s="261" t="str">
        <f t="shared" si="179"/>
        <v>0183</v>
      </c>
      <c r="BF1176" s="407" t="s">
        <v>1694</v>
      </c>
      <c r="BG1176" s="202" t="str">
        <f t="shared" si="174"/>
        <v>0183-1175</v>
      </c>
    </row>
    <row r="1177" spans="1:59">
      <c r="A1177" s="405">
        <v>4951</v>
      </c>
      <c r="B1177" s="406">
        <v>4951</v>
      </c>
      <c r="C1177" s="261" t="str">
        <f t="shared" si="175"/>
        <v>0014-0184</v>
      </c>
      <c r="D1177" s="261" t="str">
        <f t="shared" si="176"/>
        <v>0014-0184-0001</v>
      </c>
      <c r="E1177" s="407" t="s">
        <v>1695</v>
      </c>
      <c r="F1177" s="261" t="str">
        <f>TEXT(VLOOKUP(J1177,'[3]1'!$B$2:$D$37,2,0),"0000")</f>
        <v>0014</v>
      </c>
      <c r="G1177" s="261" t="str">
        <f t="shared" si="177"/>
        <v>0184</v>
      </c>
      <c r="H1177" s="408">
        <f t="shared" si="178"/>
        <v>1</v>
      </c>
      <c r="I1177" s="407" t="s">
        <v>1695</v>
      </c>
      <c r="J1177" s="413" t="s">
        <v>171</v>
      </c>
      <c r="K1177" s="413" t="s">
        <v>3027</v>
      </c>
      <c r="L1177" s="422" t="s">
        <v>3768</v>
      </c>
      <c r="M1177" s="415">
        <v>49900000</v>
      </c>
      <c r="N1177" s="416">
        <v>1996</v>
      </c>
      <c r="O1177" s="413" t="s">
        <v>1961</v>
      </c>
      <c r="P1177" s="258" t="s">
        <v>86</v>
      </c>
      <c r="Q1177" s="413" t="s">
        <v>72</v>
      </c>
      <c r="R1177" s="416">
        <v>5</v>
      </c>
      <c r="S1177" s="410">
        <v>20</v>
      </c>
      <c r="T1177" s="261">
        <v>6</v>
      </c>
      <c r="U1177" s="261">
        <v>6</v>
      </c>
      <c r="V1177" s="258" t="s">
        <v>71</v>
      </c>
      <c r="W1177" s="261" t="str">
        <f t="shared" si="180"/>
        <v>FORDranger랩터49900000</v>
      </c>
      <c r="X1177" s="411">
        <f t="shared" si="181"/>
        <v>4951</v>
      </c>
      <c r="Y1177" s="261">
        <v>6</v>
      </c>
      <c r="Z1177" s="261">
        <v>6</v>
      </c>
      <c r="AA1177" s="407" t="s">
        <v>1695</v>
      </c>
      <c r="AB1177" s="258" t="s">
        <v>86</v>
      </c>
      <c r="AC1177" s="258"/>
      <c r="AD1177" s="258">
        <v>5</v>
      </c>
      <c r="AE1177" s="258">
        <v>0</v>
      </c>
      <c r="AF1177" s="259"/>
      <c r="AG1177" s="260"/>
      <c r="AH1177" s="259"/>
      <c r="AI1177" s="259"/>
      <c r="AJ1177" s="260"/>
      <c r="AK1177" s="259">
        <v>18</v>
      </c>
      <c r="AL1177" s="259"/>
      <c r="AM1177" s="259" t="s">
        <v>3770</v>
      </c>
      <c r="AN1177" s="449"/>
      <c r="AO1177" s="449"/>
      <c r="AP1177" s="449"/>
      <c r="AQ1177" s="392" t="str">
        <f>IFERROR(VLOOKUP(BG1177,#REF!,1,0),"")</f>
        <v/>
      </c>
      <c r="AS1177" s="259" t="s">
        <v>3234</v>
      </c>
      <c r="BD1177" s="202" t="str">
        <f t="shared" si="173"/>
        <v>ranger랩터</v>
      </c>
      <c r="BE1177" s="261" t="str">
        <f t="shared" si="179"/>
        <v>0184</v>
      </c>
      <c r="BF1177" s="407" t="s">
        <v>1695</v>
      </c>
      <c r="BG1177" s="202" t="str">
        <f t="shared" si="174"/>
        <v>0184-1176</v>
      </c>
    </row>
    <row r="1178" spans="1:59">
      <c r="A1178" s="405">
        <v>4952</v>
      </c>
      <c r="B1178" s="406">
        <v>4952</v>
      </c>
      <c r="C1178" s="261" t="str">
        <f t="shared" si="175"/>
        <v>0014-0184</v>
      </c>
      <c r="D1178" s="261" t="str">
        <f t="shared" si="176"/>
        <v>0014-0184-0002</v>
      </c>
      <c r="E1178" s="407" t="s">
        <v>1696</v>
      </c>
      <c r="F1178" s="261" t="str">
        <f>TEXT(VLOOKUP(J1178,'[3]1'!$B$2:$D$37,2,0),"0000")</f>
        <v>0014</v>
      </c>
      <c r="G1178" s="261" t="str">
        <f t="shared" si="177"/>
        <v>0184</v>
      </c>
      <c r="H1178" s="408">
        <f t="shared" si="178"/>
        <v>2</v>
      </c>
      <c r="I1178" s="407" t="s">
        <v>1696</v>
      </c>
      <c r="J1178" s="413" t="s">
        <v>171</v>
      </c>
      <c r="K1178" s="413" t="s">
        <v>3027</v>
      </c>
      <c r="L1178" s="422" t="s">
        <v>3769</v>
      </c>
      <c r="M1178" s="415">
        <v>49900000</v>
      </c>
      <c r="N1178" s="416">
        <v>1996</v>
      </c>
      <c r="O1178" s="413" t="s">
        <v>3028</v>
      </c>
      <c r="P1178" s="258" t="s">
        <v>86</v>
      </c>
      <c r="Q1178" s="413" t="s">
        <v>72</v>
      </c>
      <c r="R1178" s="416">
        <v>5</v>
      </c>
      <c r="S1178" s="410">
        <v>20</v>
      </c>
      <c r="T1178" s="261">
        <v>6</v>
      </c>
      <c r="U1178" s="261">
        <v>6</v>
      </c>
      <c r="V1178" s="258" t="s">
        <v>71</v>
      </c>
      <c r="W1178" s="261" t="str">
        <f t="shared" si="180"/>
        <v>FORDranger와일드트랙49900000</v>
      </c>
      <c r="X1178" s="411">
        <f t="shared" si="181"/>
        <v>4952</v>
      </c>
      <c r="Y1178" s="261">
        <v>6</v>
      </c>
      <c r="Z1178" s="261">
        <v>6</v>
      </c>
      <c r="AA1178" s="407" t="s">
        <v>1696</v>
      </c>
      <c r="AB1178" s="258" t="s">
        <v>86</v>
      </c>
      <c r="AC1178" s="258"/>
      <c r="AD1178" s="258">
        <v>5</v>
      </c>
      <c r="AE1178" s="258">
        <v>0</v>
      </c>
      <c r="AF1178" s="259"/>
      <c r="AG1178" s="260"/>
      <c r="AH1178" s="259"/>
      <c r="AI1178" s="259"/>
      <c r="AJ1178" s="260"/>
      <c r="AK1178" s="259">
        <v>18</v>
      </c>
      <c r="AL1178" s="259"/>
      <c r="AM1178" s="259" t="s">
        <v>3770</v>
      </c>
      <c r="AN1178" s="449"/>
      <c r="AO1178" s="449"/>
      <c r="AP1178" s="449"/>
      <c r="AQ1178" s="392" t="str">
        <f>IFERROR(VLOOKUP(BG1178,#REF!,1,0),"")</f>
        <v/>
      </c>
      <c r="AS1178" s="259" t="s">
        <v>3234</v>
      </c>
      <c r="BD1178" s="202" t="str">
        <f t="shared" si="173"/>
        <v>ranger와일드트랙</v>
      </c>
      <c r="BE1178" s="261" t="str">
        <f t="shared" si="179"/>
        <v>0184</v>
      </c>
      <c r="BF1178" s="407" t="s">
        <v>1696</v>
      </c>
      <c r="BG1178" s="202" t="str">
        <f t="shared" si="174"/>
        <v>0184-1177</v>
      </c>
    </row>
    <row r="1179" spans="1:59">
      <c r="A1179" s="405">
        <v>4953</v>
      </c>
      <c r="B1179" s="406">
        <v>4953</v>
      </c>
      <c r="C1179" s="261" t="str">
        <f t="shared" si="175"/>
        <v>0014-0185</v>
      </c>
      <c r="D1179" s="261" t="str">
        <f t="shared" si="176"/>
        <v>0014-0185-0001</v>
      </c>
      <c r="E1179" s="407" t="s">
        <v>1697</v>
      </c>
      <c r="F1179" s="261" t="str">
        <f>TEXT(VLOOKUP(J1179,'[3]1'!$B$2:$D$37,2,0),"0000")</f>
        <v>0014</v>
      </c>
      <c r="G1179" s="261" t="str">
        <f t="shared" si="177"/>
        <v>0185</v>
      </c>
      <c r="H1179" s="408">
        <f t="shared" si="178"/>
        <v>1</v>
      </c>
      <c r="I1179" s="407" t="s">
        <v>1697</v>
      </c>
      <c r="J1179" s="413" t="s">
        <v>171</v>
      </c>
      <c r="K1179" s="413" t="s">
        <v>3307</v>
      </c>
      <c r="L1179" s="413" t="s">
        <v>3308</v>
      </c>
      <c r="M1179" s="415">
        <v>80400000</v>
      </c>
      <c r="N1179" s="416">
        <v>2694</v>
      </c>
      <c r="O1179" s="258" t="s">
        <v>77</v>
      </c>
      <c r="P1179" s="258" t="s">
        <v>70</v>
      </c>
      <c r="Q1179" s="413" t="s">
        <v>72</v>
      </c>
      <c r="R1179" s="416">
        <v>5</v>
      </c>
      <c r="S1179" s="410">
        <v>15</v>
      </c>
      <c r="T1179" s="261">
        <v>6</v>
      </c>
      <c r="U1179" s="261">
        <v>6</v>
      </c>
      <c r="V1179" s="258" t="s">
        <v>71</v>
      </c>
      <c r="W1179" s="261" t="str">
        <f t="shared" si="180"/>
        <v>FORD Bronco4 Door Outer Banks80400000</v>
      </c>
      <c r="X1179" s="411">
        <f t="shared" si="181"/>
        <v>4953</v>
      </c>
      <c r="Y1179" s="261">
        <v>6</v>
      </c>
      <c r="Z1179" s="261">
        <v>6</v>
      </c>
      <c r="AA1179" s="407" t="s">
        <v>1697</v>
      </c>
      <c r="AB1179" s="258" t="s">
        <v>70</v>
      </c>
      <c r="AC1179" s="258"/>
      <c r="AD1179" s="258">
        <v>7</v>
      </c>
      <c r="AE1179" s="258">
        <v>0</v>
      </c>
      <c r="AF1179" s="259"/>
      <c r="AG1179" s="260"/>
      <c r="AH1179" s="259"/>
      <c r="AI1179" s="259"/>
      <c r="AJ1179" s="260"/>
      <c r="AK1179" s="259">
        <v>14</v>
      </c>
      <c r="AL1179" s="259"/>
      <c r="AM1179" s="259" t="s">
        <v>3771</v>
      </c>
      <c r="AN1179" s="449"/>
      <c r="AO1179" s="449"/>
      <c r="AP1179" s="449"/>
      <c r="AQ1179" s="392" t="str">
        <f>IFERROR(VLOOKUP(BG1179,#REF!,1,0),"")</f>
        <v/>
      </c>
      <c r="AS1179" s="259" t="s">
        <v>3233</v>
      </c>
      <c r="BD1179" s="202" t="str">
        <f t="shared" si="173"/>
        <v xml:space="preserve"> Bronco4 Door Outer Banks</v>
      </c>
      <c r="BE1179" s="261" t="str">
        <f t="shared" si="179"/>
        <v>0185</v>
      </c>
      <c r="BF1179" s="407" t="s">
        <v>1697</v>
      </c>
      <c r="BG1179" s="202" t="str">
        <f t="shared" si="174"/>
        <v>0185-1178</v>
      </c>
    </row>
    <row r="1180" spans="1:59">
      <c r="A1180" s="405">
        <v>4954</v>
      </c>
      <c r="B1180" s="406">
        <v>4954</v>
      </c>
      <c r="C1180" s="261" t="str">
        <f t="shared" si="175"/>
        <v>0014-0185</v>
      </c>
      <c r="D1180" s="261" t="str">
        <f t="shared" si="176"/>
        <v>0014-0185-0002</v>
      </c>
      <c r="E1180" s="407" t="s">
        <v>1698</v>
      </c>
      <c r="F1180" s="261" t="str">
        <f>TEXT(VLOOKUP(J1180,'[3]1'!$B$2:$D$37,2,0),"0000")</f>
        <v>0014</v>
      </c>
      <c r="G1180" s="261" t="str">
        <f t="shared" si="177"/>
        <v>0185</v>
      </c>
      <c r="H1180" s="408">
        <f t="shared" si="178"/>
        <v>2</v>
      </c>
      <c r="I1180" s="407" t="s">
        <v>1698</v>
      </c>
      <c r="J1180" s="413" t="s">
        <v>171</v>
      </c>
      <c r="K1180" s="413" t="s">
        <v>3307</v>
      </c>
      <c r="L1180" s="413" t="s">
        <v>3308</v>
      </c>
      <c r="M1180" s="415">
        <v>80400000</v>
      </c>
      <c r="N1180" s="416">
        <v>2694</v>
      </c>
      <c r="O1180" s="258" t="s">
        <v>77</v>
      </c>
      <c r="P1180" s="258" t="s">
        <v>70</v>
      </c>
      <c r="Q1180" s="413" t="s">
        <v>72</v>
      </c>
      <c r="R1180" s="416">
        <v>5</v>
      </c>
      <c r="S1180" s="410">
        <v>15</v>
      </c>
      <c r="T1180" s="261">
        <v>6</v>
      </c>
      <c r="U1180" s="261">
        <v>6</v>
      </c>
      <c r="V1180" s="258" t="s">
        <v>71</v>
      </c>
      <c r="W1180" s="261" t="str">
        <f t="shared" si="180"/>
        <v>FORD Bronco4 Door Outer Banks80400000</v>
      </c>
      <c r="X1180" s="411">
        <f t="shared" si="181"/>
        <v>4954</v>
      </c>
      <c r="Y1180" s="261">
        <v>6</v>
      </c>
      <c r="Z1180" s="261">
        <v>6</v>
      </c>
      <c r="AA1180" s="407" t="s">
        <v>1698</v>
      </c>
      <c r="AB1180" s="258" t="s">
        <v>70</v>
      </c>
      <c r="AC1180" s="258"/>
      <c r="AD1180" s="258">
        <v>7</v>
      </c>
      <c r="AE1180" s="258">
        <v>0</v>
      </c>
      <c r="AF1180" s="259"/>
      <c r="AG1180" s="260"/>
      <c r="AH1180" s="259"/>
      <c r="AI1180" s="259"/>
      <c r="AJ1180" s="260"/>
      <c r="AK1180" s="259">
        <v>14</v>
      </c>
      <c r="AL1180" s="259"/>
      <c r="AM1180" s="259" t="s">
        <v>3771</v>
      </c>
      <c r="AN1180" s="449"/>
      <c r="AO1180" s="449"/>
      <c r="AP1180" s="449"/>
      <c r="AQ1180" s="392" t="str">
        <f>IFERROR(VLOOKUP(BG1180,#REF!,1,0),"")</f>
        <v/>
      </c>
      <c r="AS1180" s="259" t="s">
        <v>3233</v>
      </c>
      <c r="BD1180" s="202" t="str">
        <f t="shared" si="173"/>
        <v xml:space="preserve"> Bronco4 Door Outer Banks</v>
      </c>
      <c r="BE1180" s="261" t="str">
        <f t="shared" si="179"/>
        <v>0185</v>
      </c>
      <c r="BF1180" s="407" t="s">
        <v>1698</v>
      </c>
      <c r="BG1180" s="202" t="str">
        <f t="shared" si="174"/>
        <v>0185-1179</v>
      </c>
    </row>
    <row r="1181" spans="1:59">
      <c r="A1181" s="405">
        <v>4955</v>
      </c>
      <c r="B1181" s="406">
        <v>4955</v>
      </c>
      <c r="C1181" s="261" t="str">
        <f t="shared" si="175"/>
        <v>0012-0186</v>
      </c>
      <c r="D1181" s="261" t="str">
        <f t="shared" si="176"/>
        <v>0012-0186-0001</v>
      </c>
      <c r="E1181" s="407" t="s">
        <v>1699</v>
      </c>
      <c r="F1181" s="261" t="str">
        <f>TEXT(VLOOKUP(J1181,'[3]1'!$B$2:$D$37,2,0),"0000")</f>
        <v>0012</v>
      </c>
      <c r="G1181" s="261" t="str">
        <f t="shared" si="177"/>
        <v>0186</v>
      </c>
      <c r="H1181" s="408">
        <f t="shared" si="178"/>
        <v>1</v>
      </c>
      <c r="I1181" s="407" t="s">
        <v>1699</v>
      </c>
      <c r="J1181" s="258" t="s">
        <v>3260</v>
      </c>
      <c r="K1181" s="258" t="s">
        <v>3577</v>
      </c>
      <c r="L1181" s="258" t="s">
        <v>3046</v>
      </c>
      <c r="M1181" s="409">
        <v>314350000</v>
      </c>
      <c r="N1181" s="258">
        <v>3855</v>
      </c>
      <c r="O1181" s="258" t="s">
        <v>77</v>
      </c>
      <c r="P1181" s="258" t="s">
        <v>73</v>
      </c>
      <c r="Q1181" s="258" t="s">
        <v>72</v>
      </c>
      <c r="R1181" s="258">
        <v>2</v>
      </c>
      <c r="S1181" s="410">
        <v>13</v>
      </c>
      <c r="T1181" s="261">
        <v>6</v>
      </c>
      <c r="U1181" s="261">
        <v>6</v>
      </c>
      <c r="V1181" s="258" t="s">
        <v>71</v>
      </c>
      <c r="W1181" s="261" t="str">
        <f t="shared" si="180"/>
        <v>Ferrari로마V8314350000</v>
      </c>
      <c r="X1181" s="411">
        <f t="shared" si="181"/>
        <v>4955</v>
      </c>
      <c r="Y1181" s="261">
        <v>6</v>
      </c>
      <c r="Z1181" s="261">
        <v>6</v>
      </c>
      <c r="AA1181" s="407" t="s">
        <v>1699</v>
      </c>
      <c r="AB1181" s="258" t="s">
        <v>3827</v>
      </c>
      <c r="AC1181" s="258"/>
      <c r="AD1181" s="258">
        <v>6</v>
      </c>
      <c r="AE1181" s="258">
        <v>0</v>
      </c>
      <c r="AF1181" s="259"/>
      <c r="AG1181" s="260"/>
      <c r="AH1181" s="259"/>
      <c r="AI1181" s="259"/>
      <c r="AJ1181" s="260"/>
      <c r="AK1181" s="259">
        <v>18</v>
      </c>
      <c r="AL1181" s="259"/>
      <c r="AM1181" s="259" t="s">
        <v>3667</v>
      </c>
      <c r="AN1181" s="449"/>
      <c r="AO1181" s="449"/>
      <c r="AP1181" s="449"/>
      <c r="AQ1181" s="392" t="str">
        <f>IFERROR(VLOOKUP(BG1181,#REF!,1,0),"")</f>
        <v/>
      </c>
      <c r="AS1181" s="259" t="s">
        <v>3227</v>
      </c>
      <c r="BD1181" s="202" t="str">
        <f t="shared" si="173"/>
        <v>로마V8</v>
      </c>
      <c r="BE1181" s="261" t="str">
        <f t="shared" si="179"/>
        <v>0186</v>
      </c>
      <c r="BF1181" s="407" t="s">
        <v>1699</v>
      </c>
      <c r="BG1181" s="202" t="str">
        <f t="shared" si="174"/>
        <v>0186-1180</v>
      </c>
    </row>
    <row r="1182" spans="1:59">
      <c r="A1182" s="405">
        <v>4956</v>
      </c>
      <c r="B1182" s="406">
        <v>4956</v>
      </c>
      <c r="C1182" s="261" t="str">
        <f t="shared" si="175"/>
        <v>0012-0187</v>
      </c>
      <c r="D1182" s="261" t="str">
        <f t="shared" si="176"/>
        <v>0012-0187-0001</v>
      </c>
      <c r="E1182" s="407" t="s">
        <v>1700</v>
      </c>
      <c r="F1182" s="261" t="str">
        <f>TEXT(VLOOKUP(J1182,'[3]1'!$B$2:$D$37,2,0),"0000")</f>
        <v>0012</v>
      </c>
      <c r="G1182" s="261" t="str">
        <f t="shared" si="177"/>
        <v>0187</v>
      </c>
      <c r="H1182" s="408">
        <f t="shared" si="178"/>
        <v>1</v>
      </c>
      <c r="I1182" s="407" t="s">
        <v>1700</v>
      </c>
      <c r="J1182" s="258" t="s">
        <v>180</v>
      </c>
      <c r="K1182" s="258">
        <v>812</v>
      </c>
      <c r="L1182" s="258" t="s">
        <v>3580</v>
      </c>
      <c r="M1182" s="409">
        <v>640000000</v>
      </c>
      <c r="N1182" s="258">
        <v>6496</v>
      </c>
      <c r="O1182" s="258" t="s">
        <v>77</v>
      </c>
      <c r="P1182" s="258" t="s">
        <v>73</v>
      </c>
      <c r="Q1182" s="258" t="s">
        <v>72</v>
      </c>
      <c r="R1182" s="258">
        <v>4</v>
      </c>
      <c r="S1182" s="410">
        <v>13</v>
      </c>
      <c r="T1182" s="261">
        <v>6</v>
      </c>
      <c r="U1182" s="261">
        <v>6</v>
      </c>
      <c r="V1182" s="258" t="s">
        <v>71</v>
      </c>
      <c r="W1182" s="261" t="str">
        <f t="shared" si="180"/>
        <v>Ferrari812V12640000000</v>
      </c>
      <c r="X1182" s="411">
        <f t="shared" si="181"/>
        <v>4956</v>
      </c>
      <c r="Y1182" s="261">
        <v>6</v>
      </c>
      <c r="Z1182" s="261">
        <v>6</v>
      </c>
      <c r="AA1182" s="407" t="s">
        <v>1700</v>
      </c>
      <c r="AB1182" s="258" t="s">
        <v>73</v>
      </c>
      <c r="AC1182" s="258"/>
      <c r="AD1182" s="258">
        <v>6</v>
      </c>
      <c r="AE1182" s="258">
        <v>0</v>
      </c>
      <c r="AF1182" s="259"/>
      <c r="AG1182" s="260"/>
      <c r="AH1182" s="259"/>
      <c r="AI1182" s="259"/>
      <c r="AJ1182" s="260"/>
      <c r="AK1182" s="259">
        <v>18</v>
      </c>
      <c r="AL1182" s="259"/>
      <c r="AM1182" s="259" t="s">
        <v>3667</v>
      </c>
      <c r="AN1182" s="449"/>
      <c r="AO1182" s="449"/>
      <c r="AP1182" s="449"/>
      <c r="AQ1182" s="392" t="str">
        <f>IFERROR(VLOOKUP(BG1182,#REF!,1,0),"")</f>
        <v/>
      </c>
      <c r="AS1182" s="259" t="s">
        <v>3227</v>
      </c>
      <c r="BD1182" s="202" t="str">
        <f t="shared" si="173"/>
        <v>812V12</v>
      </c>
      <c r="BE1182" s="261" t="str">
        <f t="shared" si="179"/>
        <v>0187</v>
      </c>
      <c r="BF1182" s="407" t="s">
        <v>1700</v>
      </c>
      <c r="BG1182" s="202" t="str">
        <f t="shared" si="174"/>
        <v>0187-1181</v>
      </c>
    </row>
    <row r="1183" spans="1:59">
      <c r="A1183" s="405">
        <v>4957</v>
      </c>
      <c r="B1183" s="406">
        <v>4957</v>
      </c>
      <c r="C1183" s="261" t="str">
        <f t="shared" si="175"/>
        <v>0012-0188</v>
      </c>
      <c r="D1183" s="261" t="str">
        <f t="shared" si="176"/>
        <v>0012-0188-0001</v>
      </c>
      <c r="E1183" s="407" t="s">
        <v>1701</v>
      </c>
      <c r="F1183" s="261" t="str">
        <f>TEXT(VLOOKUP(J1183,'[3]1'!$B$2:$D$37,2,0),"0000")</f>
        <v>0012</v>
      </c>
      <c r="G1183" s="261" t="str">
        <f t="shared" si="177"/>
        <v>0188</v>
      </c>
      <c r="H1183" s="408">
        <f t="shared" si="178"/>
        <v>1</v>
      </c>
      <c r="I1183" s="407" t="s">
        <v>1701</v>
      </c>
      <c r="J1183" s="258" t="s">
        <v>180</v>
      </c>
      <c r="K1183" s="258" t="s">
        <v>3581</v>
      </c>
      <c r="L1183" s="258" t="s">
        <v>3046</v>
      </c>
      <c r="M1183" s="409">
        <v>402970000</v>
      </c>
      <c r="N1183" s="258">
        <v>3902</v>
      </c>
      <c r="O1183" s="258" t="s">
        <v>77</v>
      </c>
      <c r="P1183" s="258" t="s">
        <v>73</v>
      </c>
      <c r="Q1183" s="258" t="s">
        <v>72</v>
      </c>
      <c r="R1183" s="258">
        <v>4</v>
      </c>
      <c r="S1183" s="410">
        <v>13</v>
      </c>
      <c r="T1183" s="261">
        <v>6</v>
      </c>
      <c r="U1183" s="261">
        <v>6</v>
      </c>
      <c r="V1183" s="258" t="s">
        <v>71</v>
      </c>
      <c r="W1183" s="261" t="str">
        <f t="shared" si="180"/>
        <v>FerrariF8 스파이더V8402970000</v>
      </c>
      <c r="X1183" s="411">
        <f t="shared" si="181"/>
        <v>4957</v>
      </c>
      <c r="Y1183" s="261">
        <v>6</v>
      </c>
      <c r="Z1183" s="261">
        <v>6</v>
      </c>
      <c r="AA1183" s="407" t="s">
        <v>1701</v>
      </c>
      <c r="AB1183" s="258" t="s">
        <v>73</v>
      </c>
      <c r="AC1183" s="258"/>
      <c r="AD1183" s="258">
        <v>6</v>
      </c>
      <c r="AE1183" s="258">
        <v>0</v>
      </c>
      <c r="AF1183" s="259"/>
      <c r="AG1183" s="260"/>
      <c r="AH1183" s="259"/>
      <c r="AI1183" s="259"/>
      <c r="AJ1183" s="260"/>
      <c r="AK1183" s="259">
        <v>18</v>
      </c>
      <c r="AL1183" s="259"/>
      <c r="AM1183" s="259" t="s">
        <v>3667</v>
      </c>
      <c r="AN1183" s="449"/>
      <c r="AO1183" s="449"/>
      <c r="AP1183" s="449"/>
      <c r="AQ1183" s="392" t="str">
        <f>IFERROR(VLOOKUP(BG1183,#REF!,1,0),"")</f>
        <v/>
      </c>
      <c r="AS1183" s="259" t="s">
        <v>3227</v>
      </c>
      <c r="BD1183" s="202" t="str">
        <f t="shared" si="173"/>
        <v>F8 스파이더V8</v>
      </c>
      <c r="BE1183" s="261" t="str">
        <f t="shared" si="179"/>
        <v>0188</v>
      </c>
      <c r="BF1183" s="407" t="s">
        <v>1701</v>
      </c>
      <c r="BG1183" s="202" t="str">
        <f t="shared" si="174"/>
        <v>0188-1182</v>
      </c>
    </row>
    <row r="1184" spans="1:59">
      <c r="A1184" s="405">
        <v>4958</v>
      </c>
      <c r="B1184" s="406">
        <v>4958</v>
      </c>
      <c r="C1184" s="261" t="str">
        <f t="shared" si="175"/>
        <v>0012-0189</v>
      </c>
      <c r="D1184" s="261" t="str">
        <f t="shared" si="176"/>
        <v>0012-0189-0001</v>
      </c>
      <c r="E1184" s="407" t="s">
        <v>1702</v>
      </c>
      <c r="F1184" s="261" t="str">
        <f>TEXT(VLOOKUP(J1184,'[3]1'!$B$2:$D$37,2,0),"0000")</f>
        <v>0012</v>
      </c>
      <c r="G1184" s="261" t="str">
        <f t="shared" si="177"/>
        <v>0189</v>
      </c>
      <c r="H1184" s="408">
        <f t="shared" si="178"/>
        <v>1</v>
      </c>
      <c r="I1184" s="407" t="s">
        <v>1702</v>
      </c>
      <c r="J1184" s="258" t="s">
        <v>180</v>
      </c>
      <c r="K1184" s="258" t="s">
        <v>3579</v>
      </c>
      <c r="L1184" s="258" t="s">
        <v>3046</v>
      </c>
      <c r="M1184" s="409">
        <v>640000000</v>
      </c>
      <c r="N1184" s="258">
        <v>3990</v>
      </c>
      <c r="O1184" s="258" t="s">
        <v>1173</v>
      </c>
      <c r="P1184" s="258" t="s">
        <v>73</v>
      </c>
      <c r="Q1184" s="258" t="s">
        <v>72</v>
      </c>
      <c r="R1184" s="258">
        <v>4</v>
      </c>
      <c r="S1184" s="410">
        <v>13</v>
      </c>
      <c r="T1184" s="261">
        <v>6</v>
      </c>
      <c r="U1184" s="261">
        <v>6</v>
      </c>
      <c r="V1184" s="258" t="s">
        <v>71</v>
      </c>
      <c r="W1184" s="261" t="str">
        <f t="shared" si="180"/>
        <v>FerrariSF90 스트라달레V8640000000</v>
      </c>
      <c r="X1184" s="411">
        <f t="shared" si="181"/>
        <v>4958</v>
      </c>
      <c r="Y1184" s="261">
        <v>6</v>
      </c>
      <c r="Z1184" s="261">
        <v>6</v>
      </c>
      <c r="AA1184" s="407" t="s">
        <v>1702</v>
      </c>
      <c r="AB1184" s="258" t="s">
        <v>73</v>
      </c>
      <c r="AC1184" s="258"/>
      <c r="AD1184" s="258">
        <v>6</v>
      </c>
      <c r="AE1184" s="258">
        <v>0</v>
      </c>
      <c r="AF1184" s="259"/>
      <c r="AG1184" s="260"/>
      <c r="AH1184" s="259"/>
      <c r="AI1184" s="259"/>
      <c r="AJ1184" s="260"/>
      <c r="AK1184" s="259">
        <v>21</v>
      </c>
      <c r="AL1184" s="259"/>
      <c r="AM1184" s="259" t="s">
        <v>3670</v>
      </c>
      <c r="AN1184" s="449"/>
      <c r="AO1184" s="449"/>
      <c r="AP1184" s="449"/>
      <c r="AQ1184" s="392" t="str">
        <f>IFERROR(VLOOKUP(BG1184,#REF!,1,0),"")</f>
        <v/>
      </c>
      <c r="AS1184" s="259" t="s">
        <v>3227</v>
      </c>
      <c r="BD1184" s="202" t="str">
        <f t="shared" si="173"/>
        <v>SF90 스트라달레V8</v>
      </c>
      <c r="BE1184" s="261" t="str">
        <f t="shared" si="179"/>
        <v>0189</v>
      </c>
      <c r="BF1184" s="407" t="s">
        <v>1702</v>
      </c>
      <c r="BG1184" s="202" t="str">
        <f t="shared" si="174"/>
        <v>0189-1183</v>
      </c>
    </row>
    <row r="1185" spans="1:59">
      <c r="A1185" s="405">
        <v>4959</v>
      </c>
      <c r="B1185" s="406">
        <v>4959</v>
      </c>
      <c r="C1185" s="261" t="str">
        <f t="shared" si="175"/>
        <v>0012-0190</v>
      </c>
      <c r="D1185" s="261" t="str">
        <f t="shared" si="176"/>
        <v>0012-0190-0001</v>
      </c>
      <c r="E1185" s="407" t="s">
        <v>1703</v>
      </c>
      <c r="F1185" s="261" t="str">
        <f>TEXT(VLOOKUP(J1185,'[3]1'!$B$2:$D$37,2,0),"0000")</f>
        <v>0012</v>
      </c>
      <c r="G1185" s="261" t="str">
        <f t="shared" si="177"/>
        <v>0190</v>
      </c>
      <c r="H1185" s="408">
        <f t="shared" si="178"/>
        <v>1</v>
      </c>
      <c r="I1185" s="407" t="s">
        <v>1703</v>
      </c>
      <c r="J1185" s="258" t="s">
        <v>180</v>
      </c>
      <c r="K1185" s="258" t="s">
        <v>3146</v>
      </c>
      <c r="L1185" s="258" t="s">
        <v>3578</v>
      </c>
      <c r="M1185" s="409">
        <v>283790000</v>
      </c>
      <c r="N1185" s="258">
        <v>3855</v>
      </c>
      <c r="O1185" s="258" t="s">
        <v>77</v>
      </c>
      <c r="P1185" s="258" t="s">
        <v>73</v>
      </c>
      <c r="Q1185" s="258" t="s">
        <v>72</v>
      </c>
      <c r="R1185" s="258">
        <v>4</v>
      </c>
      <c r="S1185" s="410">
        <v>13</v>
      </c>
      <c r="T1185" s="261">
        <v>6</v>
      </c>
      <c r="U1185" s="261">
        <v>6</v>
      </c>
      <c r="V1185" s="258" t="s">
        <v>71</v>
      </c>
      <c r="W1185" s="261" t="str">
        <f t="shared" si="180"/>
        <v>Ferrari포르토피노컨버터블 GT283790000</v>
      </c>
      <c r="X1185" s="411">
        <f t="shared" si="181"/>
        <v>4959</v>
      </c>
      <c r="Y1185" s="261">
        <v>6</v>
      </c>
      <c r="Z1185" s="261">
        <v>6</v>
      </c>
      <c r="AA1185" s="407" t="s">
        <v>1703</v>
      </c>
      <c r="AB1185" s="258" t="s">
        <v>73</v>
      </c>
      <c r="AC1185" s="258"/>
      <c r="AD1185" s="258">
        <v>6</v>
      </c>
      <c r="AE1185" s="258">
        <v>0</v>
      </c>
      <c r="AF1185" s="259"/>
      <c r="AG1185" s="260"/>
      <c r="AH1185" s="259"/>
      <c r="AI1185" s="259"/>
      <c r="AJ1185" s="260"/>
      <c r="AK1185" s="259">
        <v>21</v>
      </c>
      <c r="AL1185" s="259"/>
      <c r="AM1185" s="259" t="s">
        <v>3670</v>
      </c>
      <c r="AN1185" s="449"/>
      <c r="AO1185" s="449"/>
      <c r="AP1185" s="449"/>
      <c r="AQ1185" s="392" t="str">
        <f>IFERROR(VLOOKUP(BG1185,#REF!,1,0),"")</f>
        <v/>
      </c>
      <c r="AS1185" s="259" t="s">
        <v>3227</v>
      </c>
      <c r="BD1185" s="202" t="str">
        <f t="shared" si="173"/>
        <v>포르토피노컨버터블 GT</v>
      </c>
      <c r="BE1185" s="261" t="str">
        <f t="shared" si="179"/>
        <v>0190</v>
      </c>
      <c r="BF1185" s="407" t="s">
        <v>1703</v>
      </c>
      <c r="BG1185" s="202" t="str">
        <f t="shared" si="174"/>
        <v>0190-1184</v>
      </c>
    </row>
    <row r="1186" spans="1:59">
      <c r="A1186" s="405">
        <v>4960</v>
      </c>
      <c r="B1186" s="406">
        <v>4960</v>
      </c>
      <c r="C1186" s="261" t="str">
        <f t="shared" si="175"/>
        <v>0009-0191</v>
      </c>
      <c r="D1186" s="261" t="str">
        <f t="shared" si="176"/>
        <v>0009-0191-0001</v>
      </c>
      <c r="E1186" s="407" t="s">
        <v>1704</v>
      </c>
      <c r="F1186" s="261" t="str">
        <f>TEXT(VLOOKUP(J1186,'[3]1'!$B$2:$D$37,2,0),"0000")</f>
        <v>0009</v>
      </c>
      <c r="G1186" s="261" t="str">
        <f t="shared" si="177"/>
        <v>0191</v>
      </c>
      <c r="H1186" s="408">
        <f t="shared" si="178"/>
        <v>1</v>
      </c>
      <c r="I1186" s="407" t="s">
        <v>1704</v>
      </c>
      <c r="J1186" s="258" t="s">
        <v>183</v>
      </c>
      <c r="K1186" s="258" t="s">
        <v>3775</v>
      </c>
      <c r="L1186" s="258" t="s">
        <v>3776</v>
      </c>
      <c r="M1186" s="409">
        <v>98800000</v>
      </c>
      <c r="N1186" s="258">
        <v>1998</v>
      </c>
      <c r="O1186" s="258" t="s">
        <v>77</v>
      </c>
      <c r="P1186" s="258" t="s">
        <v>73</v>
      </c>
      <c r="Q1186" s="258" t="s">
        <v>72</v>
      </c>
      <c r="R1186" s="258">
        <v>5</v>
      </c>
      <c r="S1186" s="410">
        <v>16</v>
      </c>
      <c r="T1186" s="261">
        <v>6</v>
      </c>
      <c r="U1186" s="261">
        <v>6</v>
      </c>
      <c r="V1186" s="258" t="s">
        <v>71</v>
      </c>
      <c r="W1186" s="261" t="str">
        <f t="shared" si="180"/>
        <v>CADILLACCT5스포츠98800000</v>
      </c>
      <c r="X1186" s="411">
        <f t="shared" si="181"/>
        <v>4960</v>
      </c>
      <c r="Y1186" s="261">
        <v>6</v>
      </c>
      <c r="Z1186" s="261">
        <v>6</v>
      </c>
      <c r="AA1186" s="407" t="s">
        <v>1704</v>
      </c>
      <c r="AB1186" s="258" t="s">
        <v>3772</v>
      </c>
      <c r="AC1186" s="258"/>
      <c r="AD1186" s="258">
        <v>5</v>
      </c>
      <c r="AE1186" s="258">
        <v>0</v>
      </c>
      <c r="AF1186" s="259"/>
      <c r="AG1186" s="260"/>
      <c r="AH1186" s="259"/>
      <c r="AI1186" s="259"/>
      <c r="AJ1186" s="260"/>
      <c r="AK1186" s="259">
        <v>11</v>
      </c>
      <c r="AL1186" s="259"/>
      <c r="AM1186" s="259" t="s">
        <v>3733</v>
      </c>
      <c r="AN1186" s="449"/>
      <c r="AO1186" s="449"/>
      <c r="AP1186" s="449"/>
      <c r="AQ1186" s="392" t="str">
        <f>IFERROR(VLOOKUP(BG1186,#REF!,1,0),"")</f>
        <v/>
      </c>
      <c r="AS1186" s="259" t="s">
        <v>3230</v>
      </c>
      <c r="BD1186" s="202" t="str">
        <f t="shared" si="173"/>
        <v>CT5스포츠</v>
      </c>
      <c r="BE1186" s="261" t="str">
        <f t="shared" si="179"/>
        <v>0191</v>
      </c>
      <c r="BF1186" s="407" t="s">
        <v>1704</v>
      </c>
      <c r="BG1186" s="202" t="str">
        <f t="shared" si="174"/>
        <v>0191-1185</v>
      </c>
    </row>
    <row r="1187" spans="1:59">
      <c r="A1187" s="405">
        <v>4961</v>
      </c>
      <c r="B1187" s="406">
        <v>4961</v>
      </c>
      <c r="C1187" s="261" t="str">
        <f t="shared" si="175"/>
        <v>0009-0191</v>
      </c>
      <c r="D1187" s="261" t="str">
        <f t="shared" si="176"/>
        <v>0009-0191-0002</v>
      </c>
      <c r="E1187" s="407" t="s">
        <v>1705</v>
      </c>
      <c r="F1187" s="261" t="str">
        <f>TEXT(VLOOKUP(J1187,'[3]1'!$B$2:$D$37,2,0),"0000")</f>
        <v>0009</v>
      </c>
      <c r="G1187" s="261" t="str">
        <f t="shared" si="177"/>
        <v>0191</v>
      </c>
      <c r="H1187" s="408">
        <f t="shared" si="178"/>
        <v>2</v>
      </c>
      <c r="I1187" s="407" t="s">
        <v>1705</v>
      </c>
      <c r="J1187" s="258" t="s">
        <v>183</v>
      </c>
      <c r="K1187" s="258" t="s">
        <v>3775</v>
      </c>
      <c r="L1187" s="258" t="s">
        <v>3777</v>
      </c>
      <c r="M1187" s="409">
        <v>89800000</v>
      </c>
      <c r="N1187" s="258">
        <v>1998</v>
      </c>
      <c r="O1187" s="258" t="s">
        <v>77</v>
      </c>
      <c r="P1187" s="258" t="s">
        <v>73</v>
      </c>
      <c r="Q1187" s="258" t="s">
        <v>72</v>
      </c>
      <c r="R1187" s="258">
        <v>5</v>
      </c>
      <c r="S1187" s="410">
        <v>16</v>
      </c>
      <c r="T1187" s="261">
        <v>6</v>
      </c>
      <c r="U1187" s="261">
        <v>6</v>
      </c>
      <c r="V1187" s="258" t="s">
        <v>71</v>
      </c>
      <c r="W1187" s="261" t="str">
        <f t="shared" si="180"/>
        <v>CADILLACCT5프리미엄 럭셔리89800000</v>
      </c>
      <c r="X1187" s="411">
        <f t="shared" si="181"/>
        <v>4961</v>
      </c>
      <c r="Y1187" s="261">
        <v>6</v>
      </c>
      <c r="Z1187" s="261">
        <v>6</v>
      </c>
      <c r="AA1187" s="407" t="s">
        <v>1705</v>
      </c>
      <c r="AB1187" s="258" t="s">
        <v>3772</v>
      </c>
      <c r="AC1187" s="258"/>
      <c r="AD1187" s="258">
        <v>5</v>
      </c>
      <c r="AE1187" s="258">
        <v>0</v>
      </c>
      <c r="AF1187" s="259"/>
      <c r="AG1187" s="260"/>
      <c r="AH1187" s="259"/>
      <c r="AI1187" s="259"/>
      <c r="AJ1187" s="260"/>
      <c r="AK1187" s="259">
        <v>11</v>
      </c>
      <c r="AL1187" s="259"/>
      <c r="AM1187" s="259" t="s">
        <v>3733</v>
      </c>
      <c r="AN1187" s="449"/>
      <c r="AO1187" s="449"/>
      <c r="AP1187" s="449"/>
      <c r="AQ1187" s="392" t="str">
        <f>IFERROR(VLOOKUP(BG1187,#REF!,1,0),"")</f>
        <v/>
      </c>
      <c r="AS1187" s="259" t="s">
        <v>3230</v>
      </c>
      <c r="BD1187" s="202" t="str">
        <f t="shared" si="173"/>
        <v>CT5프리미엄 럭셔리</v>
      </c>
      <c r="BE1187" s="261" t="str">
        <f t="shared" si="179"/>
        <v>0191</v>
      </c>
      <c r="BF1187" s="407" t="s">
        <v>1705</v>
      </c>
      <c r="BG1187" s="202" t="str">
        <f t="shared" si="174"/>
        <v>0191-1186</v>
      </c>
    </row>
    <row r="1188" spans="1:59">
      <c r="A1188" s="405">
        <v>4962</v>
      </c>
      <c r="B1188" s="406">
        <v>4962</v>
      </c>
      <c r="C1188" s="261" t="str">
        <f t="shared" si="175"/>
        <v>0009-0192</v>
      </c>
      <c r="D1188" s="261" t="str">
        <f t="shared" si="176"/>
        <v>0009-0192-0001</v>
      </c>
      <c r="E1188" s="407" t="s">
        <v>1706</v>
      </c>
      <c r="F1188" s="261" t="str">
        <f>TEXT(VLOOKUP(J1188,'[3]1'!$B$2:$D$37,2,0),"0000")</f>
        <v>0009</v>
      </c>
      <c r="G1188" s="261" t="str">
        <f t="shared" si="177"/>
        <v>0192</v>
      </c>
      <c r="H1188" s="408">
        <f t="shared" si="178"/>
        <v>1</v>
      </c>
      <c r="I1188" s="407" t="s">
        <v>1706</v>
      </c>
      <c r="J1188" s="258" t="s">
        <v>183</v>
      </c>
      <c r="K1188" s="258" t="s">
        <v>1214</v>
      </c>
      <c r="L1188" s="258" t="s">
        <v>1928</v>
      </c>
      <c r="M1188" s="409">
        <v>139800000</v>
      </c>
      <c r="N1188" s="258">
        <v>6162</v>
      </c>
      <c r="O1188" s="258" t="s">
        <v>77</v>
      </c>
      <c r="P1188" s="258" t="s">
        <v>3781</v>
      </c>
      <c r="Q1188" s="258" t="s">
        <v>72</v>
      </c>
      <c r="R1188" s="258">
        <v>7</v>
      </c>
      <c r="S1188" s="410">
        <v>13</v>
      </c>
      <c r="T1188" s="261">
        <v>6</v>
      </c>
      <c r="U1188" s="261">
        <v>6</v>
      </c>
      <c r="V1188" s="258" t="s">
        <v>71</v>
      </c>
      <c r="W1188" s="261" t="str">
        <f t="shared" si="180"/>
        <v>CADILLACEscalade6.2 Platinum A/T139800000</v>
      </c>
      <c r="X1188" s="411">
        <f t="shared" si="181"/>
        <v>4962</v>
      </c>
      <c r="Y1188" s="261">
        <v>6</v>
      </c>
      <c r="Z1188" s="261">
        <v>6</v>
      </c>
      <c r="AA1188" s="407" t="s">
        <v>1706</v>
      </c>
      <c r="AB1188" s="258" t="s">
        <v>70</v>
      </c>
      <c r="AC1188" s="258"/>
      <c r="AD1188" s="258">
        <v>5</v>
      </c>
      <c r="AE1188" s="258">
        <v>0</v>
      </c>
      <c r="AF1188" s="259"/>
      <c r="AG1188" s="260"/>
      <c r="AH1188" s="259"/>
      <c r="AI1188" s="259"/>
      <c r="AJ1188" s="260"/>
      <c r="AK1188" s="259">
        <v>17</v>
      </c>
      <c r="AL1188" s="259"/>
      <c r="AM1188" s="259" t="s">
        <v>3719</v>
      </c>
      <c r="AN1188" s="449"/>
      <c r="AO1188" s="449"/>
      <c r="AP1188" s="449"/>
      <c r="AQ1188" s="392" t="str">
        <f>IFERROR(VLOOKUP(BG1188,#REF!,1,0),"")</f>
        <v/>
      </c>
      <c r="AS1188" s="259" t="s">
        <v>1991</v>
      </c>
      <c r="AX1188" s="392">
        <v>24.02</v>
      </c>
      <c r="BB1188" s="202" t="s">
        <v>3399</v>
      </c>
      <c r="BD1188" s="202" t="str">
        <f t="shared" si="173"/>
        <v>Escalade6.2 Platinum A/T</v>
      </c>
      <c r="BE1188" s="261" t="str">
        <f t="shared" si="179"/>
        <v>0192</v>
      </c>
      <c r="BF1188" s="407" t="s">
        <v>1706</v>
      </c>
      <c r="BG1188" s="202" t="str">
        <f t="shared" si="174"/>
        <v>0192-1187</v>
      </c>
    </row>
    <row r="1189" spans="1:59">
      <c r="A1189" s="405">
        <v>4963</v>
      </c>
      <c r="B1189" s="406">
        <v>4963</v>
      </c>
      <c r="C1189" s="261" t="str">
        <f t="shared" si="175"/>
        <v>0009-0192</v>
      </c>
      <c r="D1189" s="261" t="str">
        <f t="shared" si="176"/>
        <v>0009-0192-0002</v>
      </c>
      <c r="E1189" s="407" t="s">
        <v>1707</v>
      </c>
      <c r="F1189" s="261" t="str">
        <f>TEXT(VLOOKUP(J1189,'[3]1'!$B$2:$D$37,2,0),"0000")</f>
        <v>0009</v>
      </c>
      <c r="G1189" s="261" t="str">
        <f t="shared" si="177"/>
        <v>0192</v>
      </c>
      <c r="H1189" s="408">
        <f t="shared" si="178"/>
        <v>2</v>
      </c>
      <c r="I1189" s="407" t="s">
        <v>1707</v>
      </c>
      <c r="J1189" s="258" t="s">
        <v>183</v>
      </c>
      <c r="K1189" s="258" t="s">
        <v>1214</v>
      </c>
      <c r="L1189" s="258" t="s">
        <v>1929</v>
      </c>
      <c r="M1189" s="409">
        <v>132500000</v>
      </c>
      <c r="N1189" s="258">
        <v>6162</v>
      </c>
      <c r="O1189" s="258" t="s">
        <v>77</v>
      </c>
      <c r="P1189" s="258" t="s">
        <v>3781</v>
      </c>
      <c r="Q1189" s="258" t="s">
        <v>72</v>
      </c>
      <c r="R1189" s="258">
        <v>7</v>
      </c>
      <c r="S1189" s="410">
        <v>13</v>
      </c>
      <c r="T1189" s="261">
        <v>6</v>
      </c>
      <c r="U1189" s="261">
        <v>6</v>
      </c>
      <c r="V1189" s="258" t="s">
        <v>71</v>
      </c>
      <c r="W1189" s="261" t="str">
        <f t="shared" si="180"/>
        <v>CADILLACEscaladeKona brown132500000</v>
      </c>
      <c r="X1189" s="411">
        <f t="shared" si="181"/>
        <v>4963</v>
      </c>
      <c r="Y1189" s="261">
        <v>6</v>
      </c>
      <c r="Z1189" s="261">
        <v>6</v>
      </c>
      <c r="AA1189" s="407" t="s">
        <v>1707</v>
      </c>
      <c r="AB1189" s="258" t="s">
        <v>70</v>
      </c>
      <c r="AC1189" s="258"/>
      <c r="AD1189" s="258">
        <v>5</v>
      </c>
      <c r="AE1189" s="258">
        <v>0</v>
      </c>
      <c r="AF1189" s="259"/>
      <c r="AG1189" s="260"/>
      <c r="AH1189" s="259"/>
      <c r="AI1189" s="259"/>
      <c r="AJ1189" s="260"/>
      <c r="AK1189" s="259">
        <v>17</v>
      </c>
      <c r="AL1189" s="259"/>
      <c r="AM1189" s="259" t="s">
        <v>3719</v>
      </c>
      <c r="AN1189" s="449"/>
      <c r="AO1189" s="449"/>
      <c r="AP1189" s="449"/>
      <c r="AQ1189" s="392" t="str">
        <f>IFERROR(VLOOKUP(BG1189,#REF!,1,0),"")</f>
        <v/>
      </c>
      <c r="AS1189" s="259" t="s">
        <v>1991</v>
      </c>
      <c r="AX1189" s="392">
        <v>24.02</v>
      </c>
      <c r="BB1189" s="202" t="s">
        <v>3399</v>
      </c>
      <c r="BD1189" s="202" t="str">
        <f t="shared" si="173"/>
        <v>EscaladeKona brown</v>
      </c>
      <c r="BE1189" s="261" t="str">
        <f t="shared" si="179"/>
        <v>0192</v>
      </c>
      <c r="BF1189" s="407" t="s">
        <v>1707</v>
      </c>
      <c r="BG1189" s="202" t="str">
        <f t="shared" si="174"/>
        <v>0192-1188</v>
      </c>
    </row>
    <row r="1190" spans="1:59">
      <c r="A1190" s="405">
        <v>4964</v>
      </c>
      <c r="B1190" s="406">
        <v>4964</v>
      </c>
      <c r="C1190" s="261" t="str">
        <f t="shared" si="175"/>
        <v>0009-0192</v>
      </c>
      <c r="D1190" s="261" t="str">
        <f t="shared" si="176"/>
        <v>0009-0192-0003</v>
      </c>
      <c r="E1190" s="407" t="s">
        <v>1708</v>
      </c>
      <c r="F1190" s="261" t="str">
        <f>TEXT(VLOOKUP(J1190,'[3]1'!$B$2:$D$37,2,0),"0000")</f>
        <v>0009</v>
      </c>
      <c r="G1190" s="261" t="str">
        <f t="shared" si="177"/>
        <v>0192</v>
      </c>
      <c r="H1190" s="408">
        <f t="shared" si="178"/>
        <v>3</v>
      </c>
      <c r="I1190" s="407" t="s">
        <v>1708</v>
      </c>
      <c r="J1190" s="258" t="s">
        <v>183</v>
      </c>
      <c r="K1190" s="258" t="s">
        <v>1214</v>
      </c>
      <c r="L1190" s="258" t="s">
        <v>1930</v>
      </c>
      <c r="M1190" s="409">
        <v>129800000</v>
      </c>
      <c r="N1190" s="258">
        <v>6162</v>
      </c>
      <c r="O1190" s="258" t="s">
        <v>77</v>
      </c>
      <c r="P1190" s="258" t="s">
        <v>3781</v>
      </c>
      <c r="Q1190" s="258" t="s">
        <v>72</v>
      </c>
      <c r="R1190" s="258">
        <v>7</v>
      </c>
      <c r="S1190" s="410">
        <v>13</v>
      </c>
      <c r="T1190" s="261">
        <v>6</v>
      </c>
      <c r="U1190" s="261">
        <v>6</v>
      </c>
      <c r="V1190" s="258" t="s">
        <v>71</v>
      </c>
      <c r="W1190" s="261" t="str">
        <f t="shared" si="180"/>
        <v>CADILLACEscaladeLuxury V8 A/T129800000</v>
      </c>
      <c r="X1190" s="411">
        <f t="shared" si="181"/>
        <v>4964</v>
      </c>
      <c r="Y1190" s="261">
        <v>6</v>
      </c>
      <c r="Z1190" s="261">
        <v>6</v>
      </c>
      <c r="AA1190" s="407" t="s">
        <v>1708</v>
      </c>
      <c r="AB1190" s="258" t="s">
        <v>70</v>
      </c>
      <c r="AC1190" s="258"/>
      <c r="AD1190" s="258">
        <v>5</v>
      </c>
      <c r="AE1190" s="258">
        <v>0</v>
      </c>
      <c r="AF1190" s="259"/>
      <c r="AG1190" s="260"/>
      <c r="AH1190" s="259"/>
      <c r="AI1190" s="259"/>
      <c r="AJ1190" s="260"/>
      <c r="AK1190" s="259">
        <v>17</v>
      </c>
      <c r="AL1190" s="259"/>
      <c r="AM1190" s="259" t="s">
        <v>3719</v>
      </c>
      <c r="AN1190" s="449"/>
      <c r="AO1190" s="449"/>
      <c r="AP1190" s="449"/>
      <c r="AQ1190" s="392" t="str">
        <f>IFERROR(VLOOKUP(BG1190,#REF!,1,0),"")</f>
        <v/>
      </c>
      <c r="AS1190" s="259" t="s">
        <v>1991</v>
      </c>
      <c r="AX1190" s="392">
        <v>24.02</v>
      </c>
      <c r="BB1190" s="202" t="s">
        <v>3399</v>
      </c>
      <c r="BD1190" s="202" t="str">
        <f t="shared" si="173"/>
        <v>EscaladeLuxury V8 A/T</v>
      </c>
      <c r="BE1190" s="261" t="str">
        <f t="shared" si="179"/>
        <v>0192</v>
      </c>
      <c r="BF1190" s="407" t="s">
        <v>1708</v>
      </c>
      <c r="BG1190" s="202" t="str">
        <f t="shared" si="174"/>
        <v>0192-1189</v>
      </c>
    </row>
    <row r="1191" spans="1:59">
      <c r="A1191" s="405">
        <v>4965</v>
      </c>
      <c r="B1191" s="406">
        <v>4965</v>
      </c>
      <c r="C1191" s="261" t="str">
        <f t="shared" si="175"/>
        <v>0009-0193</v>
      </c>
      <c r="D1191" s="261" t="str">
        <f t="shared" si="176"/>
        <v>0009-0193-0001</v>
      </c>
      <c r="E1191" s="407" t="s">
        <v>1709</v>
      </c>
      <c r="F1191" s="261" t="str">
        <f>TEXT(VLOOKUP(J1191,'[3]1'!$B$2:$D$37,2,0),"0000")</f>
        <v>0009</v>
      </c>
      <c r="G1191" s="261" t="str">
        <f t="shared" si="177"/>
        <v>0193</v>
      </c>
      <c r="H1191" s="408">
        <f t="shared" si="178"/>
        <v>1</v>
      </c>
      <c r="I1191" s="407" t="s">
        <v>1709</v>
      </c>
      <c r="J1191" s="258" t="s">
        <v>183</v>
      </c>
      <c r="K1191" s="258" t="s">
        <v>3966</v>
      </c>
      <c r="L1191" s="258" t="s">
        <v>3967</v>
      </c>
      <c r="M1191" s="409">
        <v>10000000</v>
      </c>
      <c r="N1191" s="258">
        <v>0</v>
      </c>
      <c r="O1191" s="258" t="s">
        <v>3968</v>
      </c>
      <c r="P1191" s="258" t="s">
        <v>1965</v>
      </c>
      <c r="Q1191" s="258" t="s">
        <v>72</v>
      </c>
      <c r="R1191" s="258">
        <v>5</v>
      </c>
      <c r="S1191" s="410">
        <v>16</v>
      </c>
      <c r="T1191" s="261">
        <v>6</v>
      </c>
      <c r="U1191" s="261">
        <v>6</v>
      </c>
      <c r="V1191" s="258" t="s">
        <v>71</v>
      </c>
      <c r="W1191" s="261" t="str">
        <f t="shared" si="180"/>
        <v>CADILLAC리릭스포츠10000000</v>
      </c>
      <c r="X1191" s="411">
        <f t="shared" si="181"/>
        <v>4965</v>
      </c>
      <c r="Y1191" s="261">
        <v>6</v>
      </c>
      <c r="Z1191" s="261">
        <v>6</v>
      </c>
      <c r="AA1191" s="407" t="s">
        <v>1709</v>
      </c>
      <c r="AB1191" s="258" t="s">
        <v>70</v>
      </c>
      <c r="AC1191" s="258"/>
      <c r="AD1191" s="258">
        <v>5</v>
      </c>
      <c r="AE1191" s="258">
        <v>0</v>
      </c>
      <c r="AF1191" s="259"/>
      <c r="AG1191" s="260"/>
      <c r="AH1191" s="259"/>
      <c r="AI1191" s="259"/>
      <c r="AJ1191" s="260"/>
      <c r="AK1191" s="259">
        <v>26</v>
      </c>
      <c r="AL1191" s="259"/>
      <c r="AM1191" s="259" t="s">
        <v>3072</v>
      </c>
      <c r="AN1191" s="449"/>
      <c r="AO1191" s="449"/>
      <c r="AP1191" s="449"/>
      <c r="AQ1191" s="392" t="str">
        <f>IFERROR(VLOOKUP(BG1191,#REF!,1,0),"")</f>
        <v/>
      </c>
      <c r="AS1191" s="259" t="s">
        <v>1993</v>
      </c>
      <c r="AX1191" s="392">
        <v>24.02</v>
      </c>
      <c r="BB1191" s="202" t="s">
        <v>3399</v>
      </c>
      <c r="BD1191" s="202" t="str">
        <f t="shared" si="173"/>
        <v>리릭스포츠</v>
      </c>
      <c r="BE1191" s="261" t="str">
        <f t="shared" si="179"/>
        <v>0193</v>
      </c>
      <c r="BF1191" s="407" t="s">
        <v>1709</v>
      </c>
      <c r="BG1191" s="202" t="str">
        <f t="shared" si="174"/>
        <v>0193-1190</v>
      </c>
    </row>
    <row r="1192" spans="1:59">
      <c r="A1192" s="405">
        <v>4966</v>
      </c>
      <c r="B1192" s="406">
        <v>4966</v>
      </c>
      <c r="C1192" s="261" t="str">
        <f t="shared" si="175"/>
        <v>0009-0194</v>
      </c>
      <c r="D1192" s="261" t="str">
        <f t="shared" si="176"/>
        <v>0009-0194-0001</v>
      </c>
      <c r="E1192" s="407" t="s">
        <v>1710</v>
      </c>
      <c r="F1192" s="261" t="str">
        <f>TEXT(VLOOKUP(J1192,'[3]1'!$B$2:$D$37,2,0),"0000")</f>
        <v>0009</v>
      </c>
      <c r="G1192" s="261" t="str">
        <f t="shared" si="177"/>
        <v>0194</v>
      </c>
      <c r="H1192" s="408">
        <f t="shared" si="178"/>
        <v>1</v>
      </c>
      <c r="I1192" s="407" t="s">
        <v>1710</v>
      </c>
      <c r="J1192" s="258" t="s">
        <v>183</v>
      </c>
      <c r="K1192" s="258" t="s">
        <v>3778</v>
      </c>
      <c r="L1192" s="258" t="s">
        <v>3776</v>
      </c>
      <c r="M1192" s="409">
        <v>74800000</v>
      </c>
      <c r="N1192" s="258">
        <v>3649</v>
      </c>
      <c r="O1192" s="258" t="s">
        <v>77</v>
      </c>
      <c r="P1192" s="258" t="s">
        <v>3781</v>
      </c>
      <c r="Q1192" s="258" t="s">
        <v>72</v>
      </c>
      <c r="R1192" s="258">
        <v>5</v>
      </c>
      <c r="S1192" s="410">
        <v>16</v>
      </c>
      <c r="T1192" s="261">
        <v>6</v>
      </c>
      <c r="U1192" s="261">
        <v>6</v>
      </c>
      <c r="V1192" s="258" t="s">
        <v>71</v>
      </c>
      <c r="W1192" s="261" t="str">
        <f t="shared" si="180"/>
        <v>CADILLACXT4스포츠74800000</v>
      </c>
      <c r="X1192" s="411">
        <f t="shared" si="181"/>
        <v>4966</v>
      </c>
      <c r="Y1192" s="261">
        <v>6</v>
      </c>
      <c r="Z1192" s="261">
        <v>6</v>
      </c>
      <c r="AA1192" s="407" t="s">
        <v>1710</v>
      </c>
      <c r="AB1192" s="258" t="s">
        <v>70</v>
      </c>
      <c r="AC1192" s="258"/>
      <c r="AD1192" s="258">
        <v>4</v>
      </c>
      <c r="AE1192" s="258">
        <v>0</v>
      </c>
      <c r="AF1192" s="259"/>
      <c r="AG1192" s="260"/>
      <c r="AH1192" s="259"/>
      <c r="AI1192" s="259"/>
      <c r="AJ1192" s="260"/>
      <c r="AK1192" s="259">
        <v>13</v>
      </c>
      <c r="AL1192" s="259"/>
      <c r="AM1192" s="259" t="s">
        <v>3780</v>
      </c>
      <c r="AN1192" s="449"/>
      <c r="AO1192" s="449"/>
      <c r="AP1192" s="449"/>
      <c r="AQ1192" s="392" t="str">
        <f>IFERROR(VLOOKUP(BG1192,#REF!,1,0),"")</f>
        <v/>
      </c>
      <c r="AS1192" s="259" t="s">
        <v>3230</v>
      </c>
      <c r="BD1192" s="202" t="str">
        <f t="shared" si="173"/>
        <v>XT4스포츠</v>
      </c>
      <c r="BE1192" s="261" t="str">
        <f t="shared" si="179"/>
        <v>0194</v>
      </c>
      <c r="BF1192" s="407" t="s">
        <v>1710</v>
      </c>
      <c r="BG1192" s="202" t="str">
        <f t="shared" si="174"/>
        <v>0194-1191</v>
      </c>
    </row>
    <row r="1193" spans="1:59">
      <c r="A1193" s="405">
        <v>4967</v>
      </c>
      <c r="B1193" s="406">
        <v>4967</v>
      </c>
      <c r="C1193" s="261" t="str">
        <f t="shared" si="175"/>
        <v>0009-0195</v>
      </c>
      <c r="D1193" s="261" t="str">
        <f t="shared" si="176"/>
        <v>0009-0195-0001</v>
      </c>
      <c r="E1193" s="407" t="s">
        <v>1711</v>
      </c>
      <c r="F1193" s="261" t="str">
        <f>TEXT(VLOOKUP(J1193,'[3]1'!$B$2:$D$37,2,0),"0000")</f>
        <v>0009</v>
      </c>
      <c r="G1193" s="261" t="str">
        <f t="shared" si="177"/>
        <v>0195</v>
      </c>
      <c r="H1193" s="408">
        <f t="shared" si="178"/>
        <v>1</v>
      </c>
      <c r="I1193" s="407" t="s">
        <v>1711</v>
      </c>
      <c r="J1193" s="258" t="s">
        <v>183</v>
      </c>
      <c r="K1193" s="258" t="s">
        <v>1971</v>
      </c>
      <c r="L1193" s="258" t="s">
        <v>1972</v>
      </c>
      <c r="M1193" s="409">
        <v>83470000</v>
      </c>
      <c r="N1193" s="258">
        <v>3649</v>
      </c>
      <c r="O1193" s="258" t="s">
        <v>77</v>
      </c>
      <c r="P1193" s="258" t="s">
        <v>3781</v>
      </c>
      <c r="Q1193" s="258" t="s">
        <v>72</v>
      </c>
      <c r="R1193" s="258">
        <v>5</v>
      </c>
      <c r="S1193" s="410">
        <v>16</v>
      </c>
      <c r="T1193" s="261">
        <v>6</v>
      </c>
      <c r="U1193" s="261">
        <v>6</v>
      </c>
      <c r="V1193" s="258" t="s">
        <v>71</v>
      </c>
      <c r="W1193" s="261" t="str">
        <f t="shared" si="180"/>
        <v>CADILLACXT63.6 sport(6인승)83470000</v>
      </c>
      <c r="X1193" s="411">
        <f t="shared" si="181"/>
        <v>4967</v>
      </c>
      <c r="Y1193" s="261">
        <v>6</v>
      </c>
      <c r="Z1193" s="261">
        <v>6</v>
      </c>
      <c r="AA1193" s="407" t="s">
        <v>1711</v>
      </c>
      <c r="AB1193" s="258" t="s">
        <v>70</v>
      </c>
      <c r="AC1193" s="258"/>
      <c r="AD1193" s="258">
        <v>5</v>
      </c>
      <c r="AE1193" s="258">
        <v>2</v>
      </c>
      <c r="AF1193" s="259"/>
      <c r="AG1193" s="260"/>
      <c r="AH1193" s="259"/>
      <c r="AI1193" s="259"/>
      <c r="AJ1193" s="260"/>
      <c r="AK1193" s="259">
        <v>13</v>
      </c>
      <c r="AL1193" s="259"/>
      <c r="AM1193" s="259" t="s">
        <v>3780</v>
      </c>
      <c r="AN1193" s="449"/>
      <c r="AO1193" s="449"/>
      <c r="AP1193" s="449"/>
      <c r="AQ1193" s="392" t="str">
        <f>IFERROR(VLOOKUP(BG1193,#REF!,1,0),"")</f>
        <v/>
      </c>
      <c r="AS1193" s="259" t="s">
        <v>3230</v>
      </c>
      <c r="BD1193" s="202" t="str">
        <f t="shared" si="173"/>
        <v>XT63.6 sport(6인승)</v>
      </c>
      <c r="BE1193" s="261" t="str">
        <f t="shared" si="179"/>
        <v>0195</v>
      </c>
      <c r="BF1193" s="407" t="s">
        <v>1711</v>
      </c>
      <c r="BG1193" s="202" t="str">
        <f t="shared" si="174"/>
        <v>0195-1192</v>
      </c>
    </row>
    <row r="1194" spans="1:59">
      <c r="A1194" s="405">
        <v>4968</v>
      </c>
      <c r="B1194" s="406">
        <v>4968</v>
      </c>
      <c r="C1194" s="261" t="str">
        <f t="shared" si="175"/>
        <v>0009-0195</v>
      </c>
      <c r="D1194" s="261" t="str">
        <f t="shared" si="176"/>
        <v>0009-0195-0002</v>
      </c>
      <c r="E1194" s="407" t="s">
        <v>1712</v>
      </c>
      <c r="F1194" s="261" t="str">
        <f>TEXT(VLOOKUP(J1194,'[3]1'!$B$2:$D$37,2,0),"0000")</f>
        <v>0009</v>
      </c>
      <c r="G1194" s="261" t="str">
        <f t="shared" si="177"/>
        <v>0195</v>
      </c>
      <c r="H1194" s="408">
        <f t="shared" si="178"/>
        <v>2</v>
      </c>
      <c r="I1194" s="407" t="s">
        <v>1712</v>
      </c>
      <c r="J1194" s="258" t="s">
        <v>183</v>
      </c>
      <c r="K1194" s="258" t="s">
        <v>1971</v>
      </c>
      <c r="L1194" s="258" t="s">
        <v>1973</v>
      </c>
      <c r="M1194" s="409">
        <v>83470000</v>
      </c>
      <c r="N1194" s="258">
        <v>3649</v>
      </c>
      <c r="O1194" s="258" t="s">
        <v>77</v>
      </c>
      <c r="P1194" s="258" t="s">
        <v>3781</v>
      </c>
      <c r="Q1194" s="258" t="s">
        <v>72</v>
      </c>
      <c r="R1194" s="258">
        <v>5</v>
      </c>
      <c r="S1194" s="410">
        <v>16</v>
      </c>
      <c r="T1194" s="261">
        <v>6</v>
      </c>
      <c r="U1194" s="261">
        <v>6</v>
      </c>
      <c r="V1194" s="258" t="s">
        <v>71</v>
      </c>
      <c r="W1194" s="261" t="str">
        <f t="shared" si="180"/>
        <v>CADILLACXT63.6 sport(7인승)83470000</v>
      </c>
      <c r="X1194" s="411">
        <f t="shared" si="181"/>
        <v>4968</v>
      </c>
      <c r="Y1194" s="261">
        <v>6</v>
      </c>
      <c r="Z1194" s="261">
        <v>6</v>
      </c>
      <c r="AA1194" s="407" t="s">
        <v>1712</v>
      </c>
      <c r="AB1194" s="258" t="s">
        <v>70</v>
      </c>
      <c r="AC1194" s="258"/>
      <c r="AD1194" s="258">
        <v>5</v>
      </c>
      <c r="AE1194" s="258">
        <v>2</v>
      </c>
      <c r="AF1194" s="259"/>
      <c r="AG1194" s="260"/>
      <c r="AH1194" s="259"/>
      <c r="AI1194" s="259"/>
      <c r="AJ1194" s="260"/>
      <c r="AK1194" s="259">
        <v>13</v>
      </c>
      <c r="AL1194" s="259"/>
      <c r="AM1194" s="259" t="s">
        <v>3780</v>
      </c>
      <c r="AN1194" s="449"/>
      <c r="AO1194" s="449"/>
      <c r="AP1194" s="449"/>
      <c r="AQ1194" s="392" t="str">
        <f>IFERROR(VLOOKUP(BG1194,#REF!,1,0),"")</f>
        <v/>
      </c>
      <c r="AS1194" s="259" t="s">
        <v>3230</v>
      </c>
      <c r="BD1194" s="202" t="str">
        <f t="shared" si="173"/>
        <v>XT63.6 sport(7인승)</v>
      </c>
      <c r="BE1194" s="261" t="str">
        <f t="shared" si="179"/>
        <v>0195</v>
      </c>
      <c r="BF1194" s="407" t="s">
        <v>1712</v>
      </c>
      <c r="BG1194" s="202" t="str">
        <f t="shared" si="174"/>
        <v>0195-1193</v>
      </c>
    </row>
    <row r="1195" spans="1:59" s="479" customFormat="1">
      <c r="A1195" s="405">
        <v>4969</v>
      </c>
      <c r="B1195" s="406">
        <v>4969</v>
      </c>
      <c r="C1195" s="261" t="str">
        <f t="shared" si="175"/>
        <v>0008-0196</v>
      </c>
      <c r="D1195" s="261" t="str">
        <f t="shared" si="176"/>
        <v>0008-0196-0001</v>
      </c>
      <c r="E1195" s="407" t="s">
        <v>1713</v>
      </c>
      <c r="F1195" s="261" t="str">
        <f>TEXT(VLOOKUP(J1195,'[3]1'!$B$2:$D$37,2,0),"0000")</f>
        <v>0008</v>
      </c>
      <c r="G1195" s="261" t="str">
        <f t="shared" si="177"/>
        <v>0196</v>
      </c>
      <c r="H1195" s="408">
        <f t="shared" si="178"/>
        <v>1</v>
      </c>
      <c r="I1195" s="407" t="s">
        <v>1713</v>
      </c>
      <c r="J1195" s="596" t="s">
        <v>184</v>
      </c>
      <c r="K1195" s="480" t="s">
        <v>192</v>
      </c>
      <c r="L1195" s="473" t="s">
        <v>3705</v>
      </c>
      <c r="M1195" s="474">
        <v>46000000</v>
      </c>
      <c r="N1195" s="473">
        <v>1998</v>
      </c>
      <c r="O1195" s="258" t="s">
        <v>77</v>
      </c>
      <c r="P1195" s="480" t="s">
        <v>73</v>
      </c>
      <c r="Q1195" s="480" t="s">
        <v>72</v>
      </c>
      <c r="R1195" s="473">
        <v>5</v>
      </c>
      <c r="S1195" s="475">
        <v>5</v>
      </c>
      <c r="T1195" s="261">
        <v>6</v>
      </c>
      <c r="U1195" s="261">
        <v>6</v>
      </c>
      <c r="V1195" s="480" t="s">
        <v>71</v>
      </c>
      <c r="W1195" s="261" t="str">
        <f t="shared" si="180"/>
        <v>BMW1 Series 5-door120i M Sport Package46000000</v>
      </c>
      <c r="X1195" s="411">
        <f t="shared" si="181"/>
        <v>4969</v>
      </c>
      <c r="Y1195" s="261">
        <v>6</v>
      </c>
      <c r="Z1195" s="261">
        <v>6</v>
      </c>
      <c r="AA1195" s="407" t="s">
        <v>1713</v>
      </c>
      <c r="AB1195" s="258" t="s">
        <v>73</v>
      </c>
      <c r="AC1195" s="473"/>
      <c r="AD1195" s="473">
        <v>7</v>
      </c>
      <c r="AE1195" s="473">
        <v>0</v>
      </c>
      <c r="AF1195" s="476"/>
      <c r="AG1195" s="476"/>
      <c r="AH1195" s="476"/>
      <c r="AI1195" s="476"/>
      <c r="AJ1195" s="476"/>
      <c r="AK1195" s="259">
        <v>9</v>
      </c>
      <c r="AL1195" s="259"/>
      <c r="AM1195" s="259" t="s">
        <v>3731</v>
      </c>
      <c r="AN1195" s="477"/>
      <c r="AO1195" s="477"/>
      <c r="AP1195" s="477"/>
      <c r="AQ1195" s="392" t="str">
        <f>IFERROR(VLOOKUP(BG1195,#REF!,1,0),"")</f>
        <v/>
      </c>
      <c r="AR1195" s="478"/>
      <c r="AS1195" s="259" t="s">
        <v>93</v>
      </c>
      <c r="AT1195" s="478" t="s">
        <v>3150</v>
      </c>
      <c r="AU1195" s="478"/>
      <c r="AV1195" s="478"/>
      <c r="AW1195" s="478" t="s">
        <v>3958</v>
      </c>
      <c r="AX1195" s="478"/>
      <c r="AY1195" s="478"/>
      <c r="BD1195" s="202" t="str">
        <f t="shared" si="173"/>
        <v>1 Series 5-door120i M Sport Package</v>
      </c>
      <c r="BE1195" s="261" t="str">
        <f t="shared" si="179"/>
        <v>0196</v>
      </c>
      <c r="BF1195" s="407" t="s">
        <v>1713</v>
      </c>
      <c r="BG1195" s="202" t="str">
        <f t="shared" si="174"/>
        <v>0196-1194</v>
      </c>
    </row>
    <row r="1196" spans="1:59" s="479" customFormat="1">
      <c r="A1196" s="405">
        <v>4970</v>
      </c>
      <c r="B1196" s="406">
        <v>4970</v>
      </c>
      <c r="C1196" s="261" t="str">
        <f t="shared" si="175"/>
        <v>0008-0196</v>
      </c>
      <c r="D1196" s="261" t="str">
        <f t="shared" si="176"/>
        <v>0008-0196-0002</v>
      </c>
      <c r="E1196" s="407" t="s">
        <v>1714</v>
      </c>
      <c r="F1196" s="261" t="str">
        <f>TEXT(VLOOKUP(J1196,'[3]1'!$B$2:$D$37,2,0),"0000")</f>
        <v>0008</v>
      </c>
      <c r="G1196" s="261" t="str">
        <f t="shared" si="177"/>
        <v>0196</v>
      </c>
      <c r="H1196" s="408">
        <f t="shared" si="178"/>
        <v>2</v>
      </c>
      <c r="I1196" s="407" t="s">
        <v>1714</v>
      </c>
      <c r="J1196" s="258" t="s">
        <v>184</v>
      </c>
      <c r="K1196" s="258" t="s">
        <v>192</v>
      </c>
      <c r="L1196" s="521" t="s">
        <v>3753</v>
      </c>
      <c r="M1196" s="522">
        <v>40000000</v>
      </c>
      <c r="N1196" s="261">
        <v>1998</v>
      </c>
      <c r="O1196" s="258" t="s">
        <v>77</v>
      </c>
      <c r="P1196" s="258" t="s">
        <v>73</v>
      </c>
      <c r="Q1196" s="258" t="s">
        <v>72</v>
      </c>
      <c r="R1196" s="261">
        <v>5</v>
      </c>
      <c r="S1196" s="475">
        <v>5</v>
      </c>
      <c r="T1196" s="261">
        <v>6</v>
      </c>
      <c r="U1196" s="261">
        <v>6</v>
      </c>
      <c r="V1196" s="480" t="s">
        <v>71</v>
      </c>
      <c r="W1196" s="261" t="str">
        <f t="shared" si="180"/>
        <v>BMW1 Series 5-door120i Sport40000000</v>
      </c>
      <c r="X1196" s="411">
        <f t="shared" si="181"/>
        <v>4970</v>
      </c>
      <c r="Y1196" s="261">
        <v>6</v>
      </c>
      <c r="Z1196" s="261">
        <v>6</v>
      </c>
      <c r="AA1196" s="407" t="s">
        <v>1714</v>
      </c>
      <c r="AB1196" s="258" t="s">
        <v>73</v>
      </c>
      <c r="AC1196" s="473"/>
      <c r="AD1196" s="473">
        <v>7</v>
      </c>
      <c r="AE1196" s="473">
        <v>0</v>
      </c>
      <c r="AF1196" s="476"/>
      <c r="AG1196" s="476"/>
      <c r="AH1196" s="476"/>
      <c r="AI1196" s="476"/>
      <c r="AJ1196" s="476"/>
      <c r="AK1196" s="259">
        <v>9</v>
      </c>
      <c r="AL1196" s="259"/>
      <c r="AM1196" s="259" t="s">
        <v>3731</v>
      </c>
      <c r="AN1196" s="477"/>
      <c r="AO1196" s="477"/>
      <c r="AP1196" s="477"/>
      <c r="AQ1196" s="392" t="str">
        <f>IFERROR(VLOOKUP(BG1196,#REF!,1,0),"")</f>
        <v/>
      </c>
      <c r="AR1196" s="478"/>
      <c r="AS1196" s="259" t="s">
        <v>3239</v>
      </c>
      <c r="AT1196" s="478"/>
      <c r="AU1196" s="478"/>
      <c r="AV1196" s="478"/>
      <c r="AW1196" s="478" t="s">
        <v>3958</v>
      </c>
      <c r="AX1196" s="478"/>
      <c r="AY1196" s="478"/>
      <c r="BD1196" s="202" t="str">
        <f t="shared" si="173"/>
        <v>1 Series 5-door120i Sport</v>
      </c>
      <c r="BE1196" s="261" t="str">
        <f t="shared" si="179"/>
        <v>0196</v>
      </c>
      <c r="BF1196" s="407" t="s">
        <v>1714</v>
      </c>
      <c r="BG1196" s="202" t="str">
        <f t="shared" si="174"/>
        <v>0196-1195</v>
      </c>
    </row>
    <row r="1197" spans="1:59">
      <c r="A1197" s="405">
        <v>4971</v>
      </c>
      <c r="B1197" s="406">
        <v>4971</v>
      </c>
      <c r="C1197" s="261" t="str">
        <f t="shared" si="175"/>
        <v>0008-0196</v>
      </c>
      <c r="D1197" s="261" t="str">
        <f t="shared" si="176"/>
        <v>0008-0196-0003</v>
      </c>
      <c r="E1197" s="407" t="s">
        <v>1715</v>
      </c>
      <c r="F1197" s="261" t="str">
        <f>TEXT(VLOOKUP(J1197,'[3]1'!$B$2:$D$37,2,0),"0000")</f>
        <v>0008</v>
      </c>
      <c r="G1197" s="261" t="str">
        <f t="shared" si="177"/>
        <v>0196</v>
      </c>
      <c r="H1197" s="408">
        <f t="shared" si="178"/>
        <v>3</v>
      </c>
      <c r="I1197" s="407" t="s">
        <v>1715</v>
      </c>
      <c r="J1197" s="260" t="s">
        <v>3152</v>
      </c>
      <c r="K1197" s="258" t="s">
        <v>192</v>
      </c>
      <c r="L1197" s="260" t="s">
        <v>3157</v>
      </c>
      <c r="M1197" s="429">
        <v>58300000</v>
      </c>
      <c r="N1197" s="260">
        <v>1998</v>
      </c>
      <c r="O1197" s="258" t="s">
        <v>77</v>
      </c>
      <c r="P1197" s="260" t="s">
        <v>73</v>
      </c>
      <c r="Q1197" s="260" t="s">
        <v>72</v>
      </c>
      <c r="R1197" s="260">
        <v>5</v>
      </c>
      <c r="S1197" s="410">
        <v>5</v>
      </c>
      <c r="T1197" s="261">
        <v>6</v>
      </c>
      <c r="U1197" s="261">
        <v>6</v>
      </c>
      <c r="V1197" s="260" t="s">
        <v>1969</v>
      </c>
      <c r="W1197" s="261" t="str">
        <f t="shared" si="180"/>
        <v>BMW1 Series 5-doorM135i Xdrive58300000</v>
      </c>
      <c r="X1197" s="411">
        <f t="shared" si="181"/>
        <v>4971</v>
      </c>
      <c r="Y1197" s="261">
        <v>6</v>
      </c>
      <c r="Z1197" s="261">
        <v>6</v>
      </c>
      <c r="AA1197" s="407" t="s">
        <v>1715</v>
      </c>
      <c r="AB1197" s="260" t="s">
        <v>73</v>
      </c>
      <c r="AC1197" s="260"/>
      <c r="AD1197" s="260"/>
      <c r="AE1197" s="260"/>
      <c r="AF1197" s="260"/>
      <c r="AG1197" s="260"/>
      <c r="AH1197" s="259"/>
      <c r="AI1197" s="260"/>
      <c r="AJ1197" s="260"/>
      <c r="AK1197" s="259">
        <v>11</v>
      </c>
      <c r="AL1197" s="259"/>
      <c r="AM1197" s="259" t="s">
        <v>3733</v>
      </c>
      <c r="AN1197" s="449"/>
      <c r="AO1197" s="449"/>
      <c r="AP1197" s="449"/>
      <c r="AQ1197" s="392" t="str">
        <f>IFERROR(VLOOKUP(BG1197,#REF!,1,0),"")</f>
        <v/>
      </c>
      <c r="AS1197" s="259" t="s">
        <v>93</v>
      </c>
      <c r="AT1197" s="392" t="s">
        <v>3156</v>
      </c>
      <c r="AW1197" s="392" t="s">
        <v>3958</v>
      </c>
      <c r="BD1197" s="202" t="str">
        <f t="shared" si="173"/>
        <v>1 Series 5-doorM135i Xdrive</v>
      </c>
      <c r="BE1197" s="261" t="str">
        <f t="shared" si="179"/>
        <v>0196</v>
      </c>
      <c r="BF1197" s="407" t="s">
        <v>1715</v>
      </c>
      <c r="BG1197" s="202" t="str">
        <f t="shared" si="174"/>
        <v>0196-1196</v>
      </c>
    </row>
    <row r="1198" spans="1:59">
      <c r="A1198" s="405">
        <v>4972</v>
      </c>
      <c r="B1198" s="406">
        <v>4972</v>
      </c>
      <c r="C1198" s="261" t="str">
        <f t="shared" si="175"/>
        <v>0008-0197</v>
      </c>
      <c r="D1198" s="261" t="str">
        <f t="shared" si="176"/>
        <v>0008-0197-0001</v>
      </c>
      <c r="E1198" s="407" t="s">
        <v>1716</v>
      </c>
      <c r="F1198" s="261" t="str">
        <f>TEXT(VLOOKUP(J1198,'[3]1'!$B$2:$D$37,2,0),"0000")</f>
        <v>0008</v>
      </c>
      <c r="G1198" s="261" t="str">
        <f t="shared" si="177"/>
        <v>0197</v>
      </c>
      <c r="H1198" s="408">
        <f t="shared" si="178"/>
        <v>1</v>
      </c>
      <c r="I1198" s="407" t="s">
        <v>1716</v>
      </c>
      <c r="J1198" s="258" t="s">
        <v>184</v>
      </c>
      <c r="K1198" s="258" t="s">
        <v>3992</v>
      </c>
      <c r="L1198" s="521" t="s">
        <v>3984</v>
      </c>
      <c r="M1198" s="409">
        <v>45900000</v>
      </c>
      <c r="N1198" s="258">
        <v>1995</v>
      </c>
      <c r="O1198" s="258" t="s">
        <v>78</v>
      </c>
      <c r="P1198" s="258" t="s">
        <v>73</v>
      </c>
      <c r="Q1198" s="258" t="s">
        <v>72</v>
      </c>
      <c r="R1198" s="258">
        <v>5</v>
      </c>
      <c r="S1198" s="410">
        <v>5</v>
      </c>
      <c r="T1198" s="261">
        <v>6</v>
      </c>
      <c r="U1198" s="261">
        <v>6</v>
      </c>
      <c r="V1198" s="258" t="s">
        <v>71</v>
      </c>
      <c r="W1198" s="261" t="str">
        <f t="shared" si="180"/>
        <v>BMW2 Series218d 어드밴티지 액티브투어러45900000</v>
      </c>
      <c r="X1198" s="411">
        <f t="shared" si="181"/>
        <v>4972</v>
      </c>
      <c r="Y1198" s="261">
        <v>6</v>
      </c>
      <c r="Z1198" s="261">
        <v>6</v>
      </c>
      <c r="AA1198" s="407" t="s">
        <v>1716</v>
      </c>
      <c r="AB1198" s="258" t="s">
        <v>73</v>
      </c>
      <c r="AC1198" s="258"/>
      <c r="AD1198" s="258">
        <v>7</v>
      </c>
      <c r="AE1198" s="258">
        <v>0</v>
      </c>
      <c r="AF1198" s="259"/>
      <c r="AG1198" s="260"/>
      <c r="AH1198" s="259"/>
      <c r="AI1198" s="259"/>
      <c r="AJ1198" s="260"/>
      <c r="AK1198" s="259">
        <v>9</v>
      </c>
      <c r="AL1198" s="259"/>
      <c r="AM1198" s="259" t="s">
        <v>3731</v>
      </c>
      <c r="AN1198" s="449"/>
      <c r="AO1198" s="449"/>
      <c r="AP1198" s="449"/>
      <c r="AQ1198" s="392" t="str">
        <f>IFERROR(VLOOKUP(BG1198,#REF!,1,0),"")</f>
        <v/>
      </c>
      <c r="AS1198" s="259" t="s">
        <v>93</v>
      </c>
      <c r="AW1198" s="392" t="s">
        <v>3958</v>
      </c>
      <c r="BD1198" s="202" t="str">
        <f t="shared" si="173"/>
        <v>2 Series218d 어드밴티지 액티브투어러</v>
      </c>
      <c r="BE1198" s="261" t="str">
        <f t="shared" si="179"/>
        <v>0197</v>
      </c>
      <c r="BF1198" s="407" t="s">
        <v>1716</v>
      </c>
      <c r="BG1198" s="202" t="str">
        <f t="shared" si="174"/>
        <v>0197-1197</v>
      </c>
    </row>
    <row r="1199" spans="1:59">
      <c r="A1199" s="405">
        <v>4973</v>
      </c>
      <c r="B1199" s="406">
        <v>4973</v>
      </c>
      <c r="C1199" s="261" t="str">
        <f t="shared" si="175"/>
        <v>0008-0197</v>
      </c>
      <c r="D1199" s="261" t="str">
        <f t="shared" si="176"/>
        <v>0008-0197-0002</v>
      </c>
      <c r="E1199" s="407" t="s">
        <v>1717</v>
      </c>
      <c r="F1199" s="261" t="str">
        <f>TEXT(VLOOKUP(J1199,'[3]1'!$B$2:$D$37,2,0),"0000")</f>
        <v>0008</v>
      </c>
      <c r="G1199" s="261" t="str">
        <f t="shared" si="177"/>
        <v>0197</v>
      </c>
      <c r="H1199" s="408">
        <f t="shared" si="178"/>
        <v>2</v>
      </c>
      <c r="I1199" s="407" t="s">
        <v>1717</v>
      </c>
      <c r="J1199" s="258" t="s">
        <v>184</v>
      </c>
      <c r="K1199" s="258" t="s">
        <v>3992</v>
      </c>
      <c r="L1199" s="521" t="s">
        <v>3985</v>
      </c>
      <c r="M1199" s="409">
        <v>45900000</v>
      </c>
      <c r="N1199" s="258">
        <v>1995</v>
      </c>
      <c r="O1199" s="258" t="s">
        <v>78</v>
      </c>
      <c r="P1199" s="258" t="s">
        <v>73</v>
      </c>
      <c r="Q1199" s="258" t="s">
        <v>72</v>
      </c>
      <c r="R1199" s="258">
        <v>5</v>
      </c>
      <c r="S1199" s="410">
        <v>5</v>
      </c>
      <c r="T1199" s="261">
        <v>6</v>
      </c>
      <c r="U1199" s="261">
        <v>6</v>
      </c>
      <c r="V1199" s="258" t="s">
        <v>71</v>
      </c>
      <c r="W1199" s="261" t="str">
        <f t="shared" si="180"/>
        <v>BMW2 Series218d 럭셔리 액티브투어러45900000</v>
      </c>
      <c r="X1199" s="411">
        <f t="shared" si="181"/>
        <v>4973</v>
      </c>
      <c r="Y1199" s="261">
        <v>6</v>
      </c>
      <c r="Z1199" s="261">
        <v>6</v>
      </c>
      <c r="AA1199" s="407" t="s">
        <v>1717</v>
      </c>
      <c r="AB1199" s="258" t="s">
        <v>73</v>
      </c>
      <c r="AC1199" s="258"/>
      <c r="AD1199" s="258">
        <v>7</v>
      </c>
      <c r="AE1199" s="258">
        <v>0</v>
      </c>
      <c r="AF1199" s="259"/>
      <c r="AG1199" s="260"/>
      <c r="AH1199" s="259"/>
      <c r="AI1199" s="259"/>
      <c r="AJ1199" s="260"/>
      <c r="AK1199" s="259">
        <v>9</v>
      </c>
      <c r="AL1199" s="259"/>
      <c r="AM1199" s="259" t="s">
        <v>3731</v>
      </c>
      <c r="AN1199" s="449"/>
      <c r="AO1199" s="449"/>
      <c r="AP1199" s="449"/>
      <c r="AQ1199" s="392" t="str">
        <f>IFERROR(VLOOKUP(BG1199,#REF!,1,0),"")</f>
        <v/>
      </c>
      <c r="AS1199" s="259" t="s">
        <v>93</v>
      </c>
      <c r="AW1199" s="392" t="s">
        <v>3958</v>
      </c>
      <c r="BD1199" s="202" t="str">
        <f t="shared" si="173"/>
        <v>2 Series218d 럭셔리 액티브투어러</v>
      </c>
      <c r="BE1199" s="261" t="str">
        <f t="shared" si="179"/>
        <v>0197</v>
      </c>
      <c r="BF1199" s="407" t="s">
        <v>1717</v>
      </c>
      <c r="BG1199" s="202" t="str">
        <f t="shared" si="174"/>
        <v>0197-1198</v>
      </c>
    </row>
    <row r="1200" spans="1:59">
      <c r="A1200" s="405">
        <v>4974</v>
      </c>
      <c r="B1200" s="406">
        <v>4974</v>
      </c>
      <c r="C1200" s="261" t="str">
        <f t="shared" si="175"/>
        <v>0008-0197</v>
      </c>
      <c r="D1200" s="261" t="str">
        <f t="shared" si="176"/>
        <v>0008-0197-0003</v>
      </c>
      <c r="E1200" s="407" t="s">
        <v>1718</v>
      </c>
      <c r="F1200" s="261" t="str">
        <f>TEXT(VLOOKUP(J1200,'[3]1'!$B$2:$D$37,2,0),"0000")</f>
        <v>0008</v>
      </c>
      <c r="G1200" s="261" t="str">
        <f t="shared" si="177"/>
        <v>0197</v>
      </c>
      <c r="H1200" s="408">
        <f t="shared" si="178"/>
        <v>3</v>
      </c>
      <c r="I1200" s="407" t="s">
        <v>1718</v>
      </c>
      <c r="J1200" s="258" t="s">
        <v>184</v>
      </c>
      <c r="K1200" s="258" t="s">
        <v>3992</v>
      </c>
      <c r="L1200" s="521" t="s">
        <v>3986</v>
      </c>
      <c r="M1200" s="409">
        <v>45800000</v>
      </c>
      <c r="N1200" s="258">
        <v>1998</v>
      </c>
      <c r="O1200" s="258" t="s">
        <v>77</v>
      </c>
      <c r="P1200" s="258" t="s">
        <v>73</v>
      </c>
      <c r="Q1200" s="258" t="s">
        <v>72</v>
      </c>
      <c r="R1200" s="258">
        <v>5</v>
      </c>
      <c r="S1200" s="410">
        <v>5</v>
      </c>
      <c r="T1200" s="261">
        <v>6</v>
      </c>
      <c r="U1200" s="261">
        <v>6</v>
      </c>
      <c r="V1200" s="258" t="s">
        <v>71</v>
      </c>
      <c r="W1200" s="261" t="str">
        <f t="shared" si="180"/>
        <v>BMW2 Series220i 어드밴티지 액티브투어러45800000</v>
      </c>
      <c r="X1200" s="411">
        <f t="shared" si="181"/>
        <v>4974</v>
      </c>
      <c r="Y1200" s="261">
        <v>6</v>
      </c>
      <c r="Z1200" s="261">
        <v>6</v>
      </c>
      <c r="AA1200" s="407" t="s">
        <v>1718</v>
      </c>
      <c r="AB1200" s="258" t="s">
        <v>73</v>
      </c>
      <c r="AC1200" s="258"/>
      <c r="AD1200" s="258"/>
      <c r="AE1200" s="258"/>
      <c r="AF1200" s="259"/>
      <c r="AG1200" s="260"/>
      <c r="AH1200" s="259"/>
      <c r="AI1200" s="259"/>
      <c r="AJ1200" s="260"/>
      <c r="AK1200" s="259">
        <v>9</v>
      </c>
      <c r="AL1200" s="259"/>
      <c r="AM1200" s="259" t="s">
        <v>3731</v>
      </c>
      <c r="AN1200" s="449"/>
      <c r="AO1200" s="449"/>
      <c r="AP1200" s="449"/>
      <c r="AQ1200" s="392" t="str">
        <f>IFERROR(VLOOKUP(BG1200,#REF!,1,0),"")</f>
        <v/>
      </c>
      <c r="AS1200" s="259" t="s">
        <v>93</v>
      </c>
      <c r="AW1200" s="392" t="s">
        <v>3958</v>
      </c>
      <c r="BD1200" s="202" t="str">
        <f t="shared" si="173"/>
        <v>2 Series220i 어드밴티지 액티브투어러</v>
      </c>
      <c r="BE1200" s="261" t="str">
        <f t="shared" si="179"/>
        <v>0197</v>
      </c>
      <c r="BF1200" s="407" t="s">
        <v>1718</v>
      </c>
      <c r="BG1200" s="202" t="str">
        <f t="shared" si="174"/>
        <v>0197-1199</v>
      </c>
    </row>
    <row r="1201" spans="1:59">
      <c r="A1201" s="405">
        <v>4975</v>
      </c>
      <c r="B1201" s="406">
        <v>4975</v>
      </c>
      <c r="C1201" s="261" t="str">
        <f t="shared" si="175"/>
        <v>0008-0197</v>
      </c>
      <c r="D1201" s="261" t="str">
        <f t="shared" si="176"/>
        <v>0008-0197-0004</v>
      </c>
      <c r="E1201" s="407" t="s">
        <v>1719</v>
      </c>
      <c r="F1201" s="261" t="str">
        <f>TEXT(VLOOKUP(J1201,'[3]1'!$B$2:$D$37,2,0),"0000")</f>
        <v>0008</v>
      </c>
      <c r="G1201" s="261" t="str">
        <f t="shared" si="177"/>
        <v>0197</v>
      </c>
      <c r="H1201" s="408">
        <f t="shared" si="178"/>
        <v>4</v>
      </c>
      <c r="I1201" s="407" t="s">
        <v>1719</v>
      </c>
      <c r="J1201" s="258" t="s">
        <v>184</v>
      </c>
      <c r="K1201" s="258" t="s">
        <v>3992</v>
      </c>
      <c r="L1201" s="521" t="s">
        <v>3987</v>
      </c>
      <c r="M1201" s="409">
        <v>45900000</v>
      </c>
      <c r="N1201" s="258">
        <v>1998</v>
      </c>
      <c r="O1201" s="258" t="s">
        <v>77</v>
      </c>
      <c r="P1201" s="258" t="s">
        <v>73</v>
      </c>
      <c r="Q1201" s="258" t="s">
        <v>72</v>
      </c>
      <c r="R1201" s="258">
        <v>5</v>
      </c>
      <c r="S1201" s="410">
        <v>5</v>
      </c>
      <c r="T1201" s="261">
        <v>6</v>
      </c>
      <c r="U1201" s="261">
        <v>6</v>
      </c>
      <c r="V1201" s="258" t="s">
        <v>71</v>
      </c>
      <c r="W1201" s="261" t="str">
        <f t="shared" si="180"/>
        <v>BMW2 Series220i 럭셔리 액티브투어러45900000</v>
      </c>
      <c r="X1201" s="411">
        <f t="shared" si="181"/>
        <v>4975</v>
      </c>
      <c r="Y1201" s="261">
        <v>6</v>
      </c>
      <c r="Z1201" s="261">
        <v>6</v>
      </c>
      <c r="AA1201" s="407" t="s">
        <v>1719</v>
      </c>
      <c r="AB1201" s="258" t="s">
        <v>73</v>
      </c>
      <c r="AC1201" s="258"/>
      <c r="AD1201" s="258">
        <v>7</v>
      </c>
      <c r="AE1201" s="258">
        <v>0</v>
      </c>
      <c r="AF1201" s="259"/>
      <c r="AG1201" s="260"/>
      <c r="AH1201" s="259"/>
      <c r="AI1201" s="259"/>
      <c r="AJ1201" s="260"/>
      <c r="AK1201" s="259">
        <v>9</v>
      </c>
      <c r="AL1201" s="259"/>
      <c r="AM1201" s="259" t="s">
        <v>3731</v>
      </c>
      <c r="AN1201" s="449"/>
      <c r="AO1201" s="449"/>
      <c r="AP1201" s="449"/>
      <c r="AQ1201" s="392" t="str">
        <f>IFERROR(VLOOKUP(BG1201,#REF!,1,0),"")</f>
        <v/>
      </c>
      <c r="AS1201" s="259" t="s">
        <v>93</v>
      </c>
      <c r="AT1201" s="392">
        <v>2024.04</v>
      </c>
      <c r="AW1201" s="392" t="s">
        <v>3958</v>
      </c>
      <c r="BD1201" s="202" t="str">
        <f t="shared" si="173"/>
        <v>2 Series220i 럭셔리 액티브투어러</v>
      </c>
      <c r="BE1201" s="261" t="str">
        <f t="shared" si="179"/>
        <v>0197</v>
      </c>
      <c r="BF1201" s="407" t="s">
        <v>1719</v>
      </c>
      <c r="BG1201" s="202" t="str">
        <f t="shared" si="174"/>
        <v>0197-1200</v>
      </c>
    </row>
    <row r="1202" spans="1:59">
      <c r="A1202" s="405">
        <v>4976</v>
      </c>
      <c r="B1202" s="406">
        <v>4976</v>
      </c>
      <c r="C1202" s="261" t="str">
        <f t="shared" si="175"/>
        <v>0008-0197</v>
      </c>
      <c r="D1202" s="261" t="str">
        <f t="shared" si="176"/>
        <v>0008-0197-0005</v>
      </c>
      <c r="E1202" s="407" t="s">
        <v>1720</v>
      </c>
      <c r="F1202" s="261" t="str">
        <f>TEXT(VLOOKUP(J1202,'[3]1'!$B$2:$D$37,2,0),"0000")</f>
        <v>0008</v>
      </c>
      <c r="G1202" s="261" t="str">
        <f t="shared" si="177"/>
        <v>0197</v>
      </c>
      <c r="H1202" s="408">
        <f t="shared" si="178"/>
        <v>5</v>
      </c>
      <c r="I1202" s="407" t="s">
        <v>1720</v>
      </c>
      <c r="J1202" s="413" t="s">
        <v>184</v>
      </c>
      <c r="K1202" s="258" t="s">
        <v>3992</v>
      </c>
      <c r="L1202" s="413" t="s">
        <v>3988</v>
      </c>
      <c r="M1202" s="429">
        <v>47200000</v>
      </c>
      <c r="N1202" s="435">
        <v>1998</v>
      </c>
      <c r="O1202" s="258" t="s">
        <v>77</v>
      </c>
      <c r="P1202" s="436" t="s">
        <v>73</v>
      </c>
      <c r="Q1202" s="413" t="s">
        <v>72</v>
      </c>
      <c r="R1202" s="435">
        <v>5</v>
      </c>
      <c r="S1202" s="427">
        <v>5</v>
      </c>
      <c r="T1202" s="261">
        <v>6</v>
      </c>
      <c r="U1202" s="261">
        <v>6</v>
      </c>
      <c r="V1202" s="258" t="s">
        <v>3105</v>
      </c>
      <c r="W1202" s="261" t="str">
        <f t="shared" si="180"/>
        <v>BMW2 Series220i M Sport Package 그란쿠페47200000</v>
      </c>
      <c r="X1202" s="411">
        <f t="shared" si="181"/>
        <v>4976</v>
      </c>
      <c r="Y1202" s="261">
        <v>6</v>
      </c>
      <c r="Z1202" s="261">
        <v>6</v>
      </c>
      <c r="AA1202" s="407" t="s">
        <v>1720</v>
      </c>
      <c r="AB1202" s="258" t="s">
        <v>3827</v>
      </c>
      <c r="AC1202" s="258"/>
      <c r="AD1202" s="258">
        <v>7</v>
      </c>
      <c r="AE1202" s="258"/>
      <c r="AF1202" s="259"/>
      <c r="AG1202" s="260"/>
      <c r="AH1202" s="259"/>
      <c r="AI1202" s="259"/>
      <c r="AJ1202" s="260"/>
      <c r="AK1202" s="259">
        <v>9</v>
      </c>
      <c r="AL1202" s="259"/>
      <c r="AM1202" s="259" t="s">
        <v>3731</v>
      </c>
      <c r="AN1202" s="449"/>
      <c r="AO1202" s="449"/>
      <c r="AP1202" s="449"/>
      <c r="AQ1202" s="392" t="str">
        <f>IFERROR(VLOOKUP(BG1202,#REF!,1,0),"")</f>
        <v/>
      </c>
      <c r="AS1202" s="259" t="s">
        <v>93</v>
      </c>
      <c r="AT1202" s="392" t="s">
        <v>3099</v>
      </c>
      <c r="AW1202" s="392" t="s">
        <v>3958</v>
      </c>
      <c r="AY1202" s="312"/>
      <c r="BD1202" s="202" t="str">
        <f t="shared" si="173"/>
        <v>2 Series220i M Sport Package 그란쿠페</v>
      </c>
      <c r="BE1202" s="261" t="str">
        <f t="shared" si="179"/>
        <v>0197</v>
      </c>
      <c r="BF1202" s="407" t="s">
        <v>1720</v>
      </c>
      <c r="BG1202" s="202" t="str">
        <f t="shared" si="174"/>
        <v>0197-1201</v>
      </c>
    </row>
    <row r="1203" spans="1:59">
      <c r="A1203" s="405">
        <v>4977</v>
      </c>
      <c r="B1203" s="406">
        <v>4977</v>
      </c>
      <c r="C1203" s="261" t="str">
        <f t="shared" si="175"/>
        <v>0008-0197</v>
      </c>
      <c r="D1203" s="261" t="str">
        <f t="shared" si="176"/>
        <v>0008-0197-0006</v>
      </c>
      <c r="E1203" s="407" t="s">
        <v>1721</v>
      </c>
      <c r="F1203" s="261" t="str">
        <f>TEXT(VLOOKUP(J1203,'[3]1'!$B$2:$D$37,2,0),"0000")</f>
        <v>0008</v>
      </c>
      <c r="G1203" s="261" t="str">
        <f t="shared" si="177"/>
        <v>0197</v>
      </c>
      <c r="H1203" s="408">
        <f t="shared" si="178"/>
        <v>6</v>
      </c>
      <c r="I1203" s="407" t="s">
        <v>1721</v>
      </c>
      <c r="J1203" s="413" t="s">
        <v>184</v>
      </c>
      <c r="K1203" s="258" t="s">
        <v>3992</v>
      </c>
      <c r="L1203" s="521" t="s">
        <v>3989</v>
      </c>
      <c r="M1203" s="429">
        <v>46100000</v>
      </c>
      <c r="N1203" s="435">
        <v>1998</v>
      </c>
      <c r="O1203" s="258" t="s">
        <v>77</v>
      </c>
      <c r="P1203" s="436" t="s">
        <v>73</v>
      </c>
      <c r="Q1203" s="413" t="s">
        <v>72</v>
      </c>
      <c r="R1203" s="435">
        <v>5</v>
      </c>
      <c r="S1203" s="427">
        <v>5</v>
      </c>
      <c r="T1203" s="261">
        <v>6</v>
      </c>
      <c r="U1203" s="261">
        <v>6</v>
      </c>
      <c r="V1203" s="258" t="s">
        <v>1969</v>
      </c>
      <c r="W1203" s="261" t="str">
        <f t="shared" si="180"/>
        <v>BMW2 Series220i sport  그란쿠페46100000</v>
      </c>
      <c r="X1203" s="411">
        <f t="shared" si="181"/>
        <v>4977</v>
      </c>
      <c r="Y1203" s="261">
        <v>6</v>
      </c>
      <c r="Z1203" s="261">
        <v>6</v>
      </c>
      <c r="AA1203" s="407" t="s">
        <v>1721</v>
      </c>
      <c r="AB1203" s="258" t="s">
        <v>73</v>
      </c>
      <c r="AC1203" s="258"/>
      <c r="AD1203" s="258">
        <v>7</v>
      </c>
      <c r="AE1203" s="258"/>
      <c r="AF1203" s="259"/>
      <c r="AG1203" s="260"/>
      <c r="AH1203" s="259"/>
      <c r="AI1203" s="259"/>
      <c r="AJ1203" s="260"/>
      <c r="AK1203" s="259">
        <v>9</v>
      </c>
      <c r="AL1203" s="259"/>
      <c r="AM1203" s="259" t="s">
        <v>3731</v>
      </c>
      <c r="AN1203" s="449"/>
      <c r="AO1203" s="449"/>
      <c r="AP1203" s="449"/>
      <c r="AQ1203" s="392" t="str">
        <f>IFERROR(VLOOKUP(BG1203,#REF!,1,0),"")</f>
        <v/>
      </c>
      <c r="AS1203" s="259" t="s">
        <v>93</v>
      </c>
      <c r="AW1203" s="392" t="s">
        <v>3958</v>
      </c>
      <c r="AY1203" s="312"/>
      <c r="BD1203" s="202" t="str">
        <f t="shared" si="173"/>
        <v>2 Series220i sport  그란쿠페</v>
      </c>
      <c r="BE1203" s="261" t="str">
        <f t="shared" si="179"/>
        <v>0197</v>
      </c>
      <c r="BF1203" s="407" t="s">
        <v>1721</v>
      </c>
      <c r="BG1203" s="202" t="str">
        <f t="shared" si="174"/>
        <v>0197-1202</v>
      </c>
    </row>
    <row r="1204" spans="1:59">
      <c r="A1204" s="405">
        <v>4978</v>
      </c>
      <c r="B1204" s="406">
        <v>4978</v>
      </c>
      <c r="C1204" s="261" t="str">
        <f t="shared" si="175"/>
        <v>0008-0197</v>
      </c>
      <c r="D1204" s="261" t="str">
        <f t="shared" si="176"/>
        <v>0008-0197-0007</v>
      </c>
      <c r="E1204" s="407" t="s">
        <v>1722</v>
      </c>
      <c r="F1204" s="261" t="str">
        <f>TEXT(VLOOKUP(J1204,'[3]1'!$B$2:$D$37,2,0),"0000")</f>
        <v>0008</v>
      </c>
      <c r="G1204" s="261" t="str">
        <f t="shared" si="177"/>
        <v>0197</v>
      </c>
      <c r="H1204" s="408">
        <f t="shared" si="178"/>
        <v>7</v>
      </c>
      <c r="I1204" s="407" t="s">
        <v>1722</v>
      </c>
      <c r="J1204" s="413" t="s">
        <v>184</v>
      </c>
      <c r="K1204" s="258" t="s">
        <v>3992</v>
      </c>
      <c r="L1204" s="413" t="s">
        <v>3990</v>
      </c>
      <c r="M1204" s="429">
        <v>59900000</v>
      </c>
      <c r="N1204" s="435">
        <v>1998</v>
      </c>
      <c r="O1204" s="258" t="s">
        <v>77</v>
      </c>
      <c r="P1204" s="436" t="s">
        <v>73</v>
      </c>
      <c r="Q1204" s="413" t="s">
        <v>72</v>
      </c>
      <c r="R1204" s="435">
        <v>5</v>
      </c>
      <c r="S1204" s="427">
        <v>5</v>
      </c>
      <c r="T1204" s="261">
        <v>6</v>
      </c>
      <c r="U1204" s="261">
        <v>6</v>
      </c>
      <c r="V1204" s="258" t="s">
        <v>3105</v>
      </c>
      <c r="W1204" s="261" t="str">
        <f t="shared" si="180"/>
        <v>BMW2 SeriesM235i xDrive 그란쿠페59900000</v>
      </c>
      <c r="X1204" s="411">
        <f t="shared" si="181"/>
        <v>4978</v>
      </c>
      <c r="Y1204" s="261">
        <v>6</v>
      </c>
      <c r="Z1204" s="261">
        <v>6</v>
      </c>
      <c r="AA1204" s="407" t="s">
        <v>1722</v>
      </c>
      <c r="AB1204" s="258" t="s">
        <v>3683</v>
      </c>
      <c r="AC1204" s="258"/>
      <c r="AD1204" s="258">
        <v>7</v>
      </c>
      <c r="AE1204" s="258"/>
      <c r="AF1204" s="259"/>
      <c r="AG1204" s="260"/>
      <c r="AH1204" s="259"/>
      <c r="AI1204" s="259"/>
      <c r="AJ1204" s="260"/>
      <c r="AK1204" s="259">
        <v>14</v>
      </c>
      <c r="AL1204" s="259"/>
      <c r="AM1204" s="259" t="s">
        <v>3728</v>
      </c>
      <c r="AN1204" s="449"/>
      <c r="AO1204" s="449"/>
      <c r="AP1204" s="449"/>
      <c r="AQ1204" s="392" t="str">
        <f>IFERROR(VLOOKUP(BG1204,#REF!,1,0),"")</f>
        <v/>
      </c>
      <c r="AS1204" s="259" t="s">
        <v>93</v>
      </c>
      <c r="AT1204" s="392" t="s">
        <v>3099</v>
      </c>
      <c r="AW1204" s="392" t="s">
        <v>3961</v>
      </c>
      <c r="AY1204" s="312"/>
      <c r="BD1204" s="202" t="str">
        <f t="shared" si="173"/>
        <v>2 SeriesM235i xDrive 그란쿠페</v>
      </c>
      <c r="BE1204" s="261" t="str">
        <f t="shared" si="179"/>
        <v>0197</v>
      </c>
      <c r="BF1204" s="407" t="s">
        <v>1722</v>
      </c>
      <c r="BG1204" s="202" t="str">
        <f t="shared" si="174"/>
        <v>0197-1203</v>
      </c>
    </row>
    <row r="1205" spans="1:59">
      <c r="A1205" s="405">
        <v>4979</v>
      </c>
      <c r="B1205" s="406">
        <v>4979</v>
      </c>
      <c r="C1205" s="261" t="str">
        <f t="shared" si="175"/>
        <v>0008-0197</v>
      </c>
      <c r="D1205" s="261" t="str">
        <f t="shared" si="176"/>
        <v>0008-0197-0008</v>
      </c>
      <c r="E1205" s="407" t="s">
        <v>1723</v>
      </c>
      <c r="F1205" s="261" t="str">
        <f>TEXT(VLOOKUP(J1205,'[3]1'!$B$2:$D$37,2,0),"0000")</f>
        <v>0008</v>
      </c>
      <c r="G1205" s="261" t="str">
        <f t="shared" si="177"/>
        <v>0197</v>
      </c>
      <c r="H1205" s="408">
        <f t="shared" si="178"/>
        <v>8</v>
      </c>
      <c r="I1205" s="407" t="s">
        <v>1723</v>
      </c>
      <c r="J1205" s="413" t="s">
        <v>184</v>
      </c>
      <c r="K1205" s="258" t="s">
        <v>3992</v>
      </c>
      <c r="L1205" s="521" t="s">
        <v>3991</v>
      </c>
      <c r="M1205" s="520">
        <v>72700000</v>
      </c>
      <c r="N1205" s="435">
        <v>2998</v>
      </c>
      <c r="O1205" s="258" t="s">
        <v>77</v>
      </c>
      <c r="P1205" s="436" t="s">
        <v>73</v>
      </c>
      <c r="Q1205" s="413" t="s">
        <v>72</v>
      </c>
      <c r="R1205" s="435">
        <v>4</v>
      </c>
      <c r="S1205" s="427">
        <v>7</v>
      </c>
      <c r="T1205" s="261">
        <v>6</v>
      </c>
      <c r="U1205" s="261">
        <v>6</v>
      </c>
      <c r="V1205" s="258" t="s">
        <v>1969</v>
      </c>
      <c r="W1205" s="261" t="str">
        <f t="shared" si="180"/>
        <v>BMW2 Series M240i xDrive  쿠페72700000</v>
      </c>
      <c r="X1205" s="411">
        <f t="shared" si="181"/>
        <v>4979</v>
      </c>
      <c r="Y1205" s="261">
        <v>6</v>
      </c>
      <c r="Z1205" s="261">
        <v>6</v>
      </c>
      <c r="AA1205" s="407" t="s">
        <v>1723</v>
      </c>
      <c r="AB1205" s="258" t="s">
        <v>73</v>
      </c>
      <c r="AC1205" s="258"/>
      <c r="AD1205" s="258">
        <v>7</v>
      </c>
      <c r="AE1205" s="258"/>
      <c r="AF1205" s="259"/>
      <c r="AG1205" s="260"/>
      <c r="AH1205" s="259"/>
      <c r="AI1205" s="259"/>
      <c r="AJ1205" s="260"/>
      <c r="AK1205" s="259">
        <v>14</v>
      </c>
      <c r="AL1205" s="259"/>
      <c r="AM1205" s="259" t="s">
        <v>3728</v>
      </c>
      <c r="AN1205" s="449"/>
      <c r="AO1205" s="449"/>
      <c r="AP1205" s="449"/>
      <c r="AQ1205" s="392" t="str">
        <f>IFERROR(VLOOKUP(BG1205,#REF!,1,0),"")</f>
        <v/>
      </c>
      <c r="AS1205" s="259" t="s">
        <v>3322</v>
      </c>
      <c r="AW1205" s="392" t="s">
        <v>3958</v>
      </c>
      <c r="AY1205" s="312"/>
      <c r="BD1205" s="202" t="str">
        <f t="shared" si="173"/>
        <v>2 Series M240i xDrive  쿠페</v>
      </c>
      <c r="BE1205" s="261" t="str">
        <f t="shared" si="179"/>
        <v>0197</v>
      </c>
      <c r="BF1205" s="407" t="s">
        <v>1723</v>
      </c>
      <c r="BG1205" s="202" t="str">
        <f t="shared" si="174"/>
        <v>0197-1204</v>
      </c>
    </row>
    <row r="1206" spans="1:59">
      <c r="A1206" s="405">
        <v>4980</v>
      </c>
      <c r="B1206" s="406">
        <v>4980</v>
      </c>
      <c r="C1206" s="261" t="str">
        <f t="shared" si="175"/>
        <v>0008-0198</v>
      </c>
      <c r="D1206" s="261" t="str">
        <f t="shared" si="176"/>
        <v>0008-0198-0001</v>
      </c>
      <c r="E1206" s="407" t="s">
        <v>1724</v>
      </c>
      <c r="F1206" s="261" t="str">
        <f>TEXT(VLOOKUP(J1206,'[3]1'!$B$2:$D$37,2,0),"0000")</f>
        <v>0008</v>
      </c>
      <c r="G1206" s="261" t="str">
        <f t="shared" si="177"/>
        <v>0198</v>
      </c>
      <c r="H1206" s="408">
        <f t="shared" si="178"/>
        <v>1</v>
      </c>
      <c r="I1206" s="407" t="s">
        <v>1724</v>
      </c>
      <c r="J1206" s="258" t="s">
        <v>184</v>
      </c>
      <c r="K1206" s="258" t="s">
        <v>3744</v>
      </c>
      <c r="L1206" s="258" t="s">
        <v>3537</v>
      </c>
      <c r="M1206" s="429">
        <v>60000000</v>
      </c>
      <c r="N1206" s="258">
        <v>1995</v>
      </c>
      <c r="O1206" s="258" t="s">
        <v>78</v>
      </c>
      <c r="P1206" s="258" t="s">
        <v>73</v>
      </c>
      <c r="Q1206" s="258" t="s">
        <v>72</v>
      </c>
      <c r="R1206" s="258">
        <v>5</v>
      </c>
      <c r="S1206" s="410">
        <v>1</v>
      </c>
      <c r="T1206" s="261">
        <v>6</v>
      </c>
      <c r="U1206" s="261">
        <v>6</v>
      </c>
      <c r="V1206" s="258" t="s">
        <v>71</v>
      </c>
      <c r="W1206" s="261" t="str">
        <f t="shared" si="180"/>
        <v>BMW3 Series320d60000000</v>
      </c>
      <c r="X1206" s="411">
        <f t="shared" si="181"/>
        <v>4980</v>
      </c>
      <c r="Y1206" s="261">
        <v>6</v>
      </c>
      <c r="Z1206" s="261">
        <v>6</v>
      </c>
      <c r="AA1206" s="407" t="s">
        <v>1724</v>
      </c>
      <c r="AB1206" s="258" t="s">
        <v>3827</v>
      </c>
      <c r="AC1206" s="258"/>
      <c r="AD1206" s="258">
        <v>2</v>
      </c>
      <c r="AE1206" s="258">
        <v>2</v>
      </c>
      <c r="AF1206" s="259"/>
      <c r="AG1206" s="260"/>
      <c r="AH1206" s="259"/>
      <c r="AI1206" s="259"/>
      <c r="AJ1206" s="260"/>
      <c r="AK1206" s="259">
        <v>7</v>
      </c>
      <c r="AL1206" s="259"/>
      <c r="AM1206" s="259" t="s">
        <v>3701</v>
      </c>
      <c r="AN1206" s="449"/>
      <c r="AO1206" s="449"/>
      <c r="AP1206" s="449"/>
      <c r="AQ1206" s="392" t="str">
        <f>IFERROR(VLOOKUP(BG1206,#REF!,1,0),"")</f>
        <v/>
      </c>
      <c r="AS1206" s="259" t="s">
        <v>3189</v>
      </c>
      <c r="AW1206" s="392" t="s">
        <v>3958</v>
      </c>
      <c r="BD1206" s="202" t="str">
        <f t="shared" si="173"/>
        <v>3 Series320d</v>
      </c>
      <c r="BE1206" s="261" t="str">
        <f t="shared" si="179"/>
        <v>0198</v>
      </c>
      <c r="BF1206" s="407" t="s">
        <v>1724</v>
      </c>
      <c r="BG1206" s="202" t="str">
        <f t="shared" si="174"/>
        <v>0198-1205</v>
      </c>
    </row>
    <row r="1207" spans="1:59">
      <c r="A1207" s="405">
        <v>4981</v>
      </c>
      <c r="B1207" s="406">
        <v>4981</v>
      </c>
      <c r="C1207" s="261" t="str">
        <f t="shared" si="175"/>
        <v>0008-0198</v>
      </c>
      <c r="D1207" s="261" t="str">
        <f t="shared" si="176"/>
        <v>0008-0198-0002</v>
      </c>
      <c r="E1207" s="407" t="s">
        <v>1725</v>
      </c>
      <c r="F1207" s="261" t="str">
        <f>TEXT(VLOOKUP(J1207,'[3]1'!$B$2:$D$37,2,0),"0000")</f>
        <v>0008</v>
      </c>
      <c r="G1207" s="261" t="str">
        <f t="shared" si="177"/>
        <v>0198</v>
      </c>
      <c r="H1207" s="408">
        <f t="shared" si="178"/>
        <v>2</v>
      </c>
      <c r="I1207" s="407" t="s">
        <v>1725</v>
      </c>
      <c r="J1207" s="258" t="s">
        <v>184</v>
      </c>
      <c r="K1207" s="258" t="s">
        <v>3744</v>
      </c>
      <c r="L1207" s="258" t="s">
        <v>1351</v>
      </c>
      <c r="M1207" s="429">
        <v>63700000</v>
      </c>
      <c r="N1207" s="258">
        <v>1995</v>
      </c>
      <c r="O1207" s="258" t="s">
        <v>78</v>
      </c>
      <c r="P1207" s="258" t="s">
        <v>73</v>
      </c>
      <c r="Q1207" s="258" t="s">
        <v>72</v>
      </c>
      <c r="R1207" s="258">
        <v>5</v>
      </c>
      <c r="S1207" s="410">
        <v>1</v>
      </c>
      <c r="T1207" s="261">
        <v>6</v>
      </c>
      <c r="U1207" s="261">
        <v>6</v>
      </c>
      <c r="V1207" s="258" t="s">
        <v>71</v>
      </c>
      <c r="W1207" s="261" t="str">
        <f t="shared" si="180"/>
        <v>BMW3 Series320d M Sport 63700000</v>
      </c>
      <c r="X1207" s="411">
        <f t="shared" si="181"/>
        <v>4981</v>
      </c>
      <c r="Y1207" s="261">
        <v>6</v>
      </c>
      <c r="Z1207" s="261">
        <v>6</v>
      </c>
      <c r="AA1207" s="407" t="s">
        <v>1725</v>
      </c>
      <c r="AB1207" s="258" t="s">
        <v>3827</v>
      </c>
      <c r="AC1207" s="258"/>
      <c r="AD1207" s="258">
        <v>2</v>
      </c>
      <c r="AE1207" s="258">
        <v>2</v>
      </c>
      <c r="AF1207" s="259"/>
      <c r="AG1207" s="260"/>
      <c r="AH1207" s="259"/>
      <c r="AI1207" s="259"/>
      <c r="AJ1207" s="260"/>
      <c r="AK1207" s="259">
        <v>7</v>
      </c>
      <c r="AL1207" s="259"/>
      <c r="AM1207" s="259" t="s">
        <v>3701</v>
      </c>
      <c r="AN1207" s="449"/>
      <c r="AO1207" s="449"/>
      <c r="AP1207" s="449"/>
      <c r="AQ1207" s="392" t="str">
        <f>IFERROR(VLOOKUP(BG1207,#REF!,1,0),"")</f>
        <v/>
      </c>
      <c r="AS1207" s="259" t="s">
        <v>3189</v>
      </c>
      <c r="AW1207" s="392" t="s">
        <v>3958</v>
      </c>
      <c r="BD1207" s="202" t="str">
        <f t="shared" si="173"/>
        <v xml:space="preserve">3 Series320d M Sport </v>
      </c>
      <c r="BE1207" s="261" t="str">
        <f t="shared" si="179"/>
        <v>0198</v>
      </c>
      <c r="BF1207" s="407" t="s">
        <v>1725</v>
      </c>
      <c r="BG1207" s="202" t="str">
        <f t="shared" si="174"/>
        <v>0198-1206</v>
      </c>
    </row>
    <row r="1208" spans="1:59">
      <c r="A1208" s="405">
        <v>4982</v>
      </c>
      <c r="B1208" s="406">
        <v>4982</v>
      </c>
      <c r="C1208" s="261" t="str">
        <f t="shared" si="175"/>
        <v>0008-0198</v>
      </c>
      <c r="D1208" s="261" t="str">
        <f t="shared" si="176"/>
        <v>0008-0198-0003</v>
      </c>
      <c r="E1208" s="407" t="s">
        <v>1726</v>
      </c>
      <c r="F1208" s="261" t="str">
        <f>TEXT(VLOOKUP(J1208,'[3]1'!$B$2:$D$37,2,0),"0000")</f>
        <v>0008</v>
      </c>
      <c r="G1208" s="261" t="str">
        <f t="shared" si="177"/>
        <v>0198</v>
      </c>
      <c r="H1208" s="408">
        <f t="shared" si="178"/>
        <v>3</v>
      </c>
      <c r="I1208" s="407" t="s">
        <v>1726</v>
      </c>
      <c r="J1208" s="258" t="s">
        <v>184</v>
      </c>
      <c r="K1208" s="258" t="s">
        <v>3744</v>
      </c>
      <c r="L1208" s="258" t="s">
        <v>1352</v>
      </c>
      <c r="M1208" s="429">
        <v>60000000</v>
      </c>
      <c r="N1208" s="258">
        <v>1995</v>
      </c>
      <c r="O1208" s="258" t="s">
        <v>78</v>
      </c>
      <c r="P1208" s="258" t="s">
        <v>73</v>
      </c>
      <c r="Q1208" s="258" t="s">
        <v>72</v>
      </c>
      <c r="R1208" s="258">
        <v>5</v>
      </c>
      <c r="S1208" s="410">
        <v>1</v>
      </c>
      <c r="T1208" s="261">
        <v>6</v>
      </c>
      <c r="U1208" s="261">
        <v>6</v>
      </c>
      <c r="V1208" s="258" t="s">
        <v>71</v>
      </c>
      <c r="W1208" s="261" t="str">
        <f t="shared" si="180"/>
        <v>BMW3 Series320d xDrive M Sport60000000</v>
      </c>
      <c r="X1208" s="411">
        <f t="shared" si="181"/>
        <v>4982</v>
      </c>
      <c r="Y1208" s="261">
        <v>6</v>
      </c>
      <c r="Z1208" s="261">
        <v>6</v>
      </c>
      <c r="AA1208" s="407" t="s">
        <v>1726</v>
      </c>
      <c r="AB1208" s="258" t="s">
        <v>73</v>
      </c>
      <c r="AC1208" s="258"/>
      <c r="AD1208" s="258">
        <v>2</v>
      </c>
      <c r="AE1208" s="258">
        <v>2</v>
      </c>
      <c r="AF1208" s="259"/>
      <c r="AG1208" s="260"/>
      <c r="AH1208" s="259"/>
      <c r="AI1208" s="259"/>
      <c r="AJ1208" s="260"/>
      <c r="AK1208" s="259">
        <v>7</v>
      </c>
      <c r="AL1208" s="259"/>
      <c r="AM1208" s="259" t="s">
        <v>3701</v>
      </c>
      <c r="AN1208" s="449"/>
      <c r="AO1208" s="449"/>
      <c r="AP1208" s="449"/>
      <c r="AQ1208" s="392" t="str">
        <f>IFERROR(VLOOKUP(BG1208,#REF!,1,0),"")</f>
        <v/>
      </c>
      <c r="AS1208" s="259" t="s">
        <v>3189</v>
      </c>
      <c r="AW1208" s="392" t="s">
        <v>3958</v>
      </c>
      <c r="BD1208" s="202" t="str">
        <f t="shared" si="173"/>
        <v>3 Series320d xDrive M Sport</v>
      </c>
      <c r="BE1208" s="261" t="str">
        <f t="shared" si="179"/>
        <v>0198</v>
      </c>
      <c r="BF1208" s="407" t="s">
        <v>1726</v>
      </c>
      <c r="BG1208" s="202" t="str">
        <f t="shared" si="174"/>
        <v>0198-1207</v>
      </c>
    </row>
    <row r="1209" spans="1:59">
      <c r="A1209" s="405">
        <v>4983</v>
      </c>
      <c r="B1209" s="406">
        <v>4983</v>
      </c>
      <c r="C1209" s="261" t="str">
        <f t="shared" si="175"/>
        <v>0008-0198</v>
      </c>
      <c r="D1209" s="261" t="str">
        <f t="shared" si="176"/>
        <v>0008-0198-0004</v>
      </c>
      <c r="E1209" s="407" t="s">
        <v>1727</v>
      </c>
      <c r="F1209" s="261" t="str">
        <f>TEXT(VLOOKUP(J1209,'[3]1'!$B$2:$D$37,2,0),"0000")</f>
        <v>0008</v>
      </c>
      <c r="G1209" s="261" t="str">
        <f t="shared" si="177"/>
        <v>0198</v>
      </c>
      <c r="H1209" s="408">
        <f t="shared" si="178"/>
        <v>4</v>
      </c>
      <c r="I1209" s="407" t="s">
        <v>1727</v>
      </c>
      <c r="J1209" s="258" t="s">
        <v>184</v>
      </c>
      <c r="K1209" s="258" t="s">
        <v>3744</v>
      </c>
      <c r="L1209" s="258" t="s">
        <v>3747</v>
      </c>
      <c r="M1209" s="429">
        <v>63800000</v>
      </c>
      <c r="N1209" s="258">
        <v>1995</v>
      </c>
      <c r="O1209" s="258" t="s">
        <v>78</v>
      </c>
      <c r="P1209" s="258" t="s">
        <v>73</v>
      </c>
      <c r="Q1209" s="258" t="s">
        <v>72</v>
      </c>
      <c r="R1209" s="258">
        <v>5</v>
      </c>
      <c r="S1209" s="410">
        <v>8</v>
      </c>
      <c r="T1209" s="261">
        <v>6</v>
      </c>
      <c r="U1209" s="261">
        <v>6</v>
      </c>
      <c r="V1209" s="258" t="s">
        <v>71</v>
      </c>
      <c r="W1209" s="261" t="str">
        <f t="shared" si="180"/>
        <v>BMW3 Series320d Touring63800000</v>
      </c>
      <c r="X1209" s="411">
        <f t="shared" si="181"/>
        <v>4983</v>
      </c>
      <c r="Y1209" s="261">
        <v>6</v>
      </c>
      <c r="Z1209" s="261">
        <v>6</v>
      </c>
      <c r="AA1209" s="407" t="s">
        <v>1727</v>
      </c>
      <c r="AB1209" s="258" t="s">
        <v>73</v>
      </c>
      <c r="AC1209" s="258"/>
      <c r="AD1209" s="258">
        <v>2</v>
      </c>
      <c r="AE1209" s="258">
        <v>0</v>
      </c>
      <c r="AF1209" s="259"/>
      <c r="AG1209" s="260"/>
      <c r="AH1209" s="259"/>
      <c r="AI1209" s="259"/>
      <c r="AJ1209" s="260"/>
      <c r="AK1209" s="259">
        <v>7</v>
      </c>
      <c r="AL1209" s="259"/>
      <c r="AM1209" s="259" t="s">
        <v>3701</v>
      </c>
      <c r="AN1209" s="449"/>
      <c r="AO1209" s="449"/>
      <c r="AP1209" s="449"/>
      <c r="AQ1209" s="392" t="str">
        <f>IFERROR(VLOOKUP(BG1209,#REF!,1,0),"")</f>
        <v/>
      </c>
      <c r="AS1209" s="259" t="s">
        <v>3231</v>
      </c>
      <c r="AW1209" s="392" t="s">
        <v>3958</v>
      </c>
      <c r="BD1209" s="202" t="str">
        <f t="shared" si="173"/>
        <v>3 Series320d Touring</v>
      </c>
      <c r="BE1209" s="261" t="str">
        <f t="shared" si="179"/>
        <v>0198</v>
      </c>
      <c r="BF1209" s="407" t="s">
        <v>1727</v>
      </c>
      <c r="BG1209" s="202" t="str">
        <f t="shared" si="174"/>
        <v>0198-1208</v>
      </c>
    </row>
    <row r="1210" spans="1:59">
      <c r="A1210" s="405">
        <v>4984</v>
      </c>
      <c r="B1210" s="406">
        <v>4984</v>
      </c>
      <c r="C1210" s="261" t="str">
        <f t="shared" si="175"/>
        <v>0008-0198</v>
      </c>
      <c r="D1210" s="261" t="str">
        <f t="shared" si="176"/>
        <v>0008-0198-0005</v>
      </c>
      <c r="E1210" s="407" t="s">
        <v>1728</v>
      </c>
      <c r="F1210" s="261" t="str">
        <f>TEXT(VLOOKUP(J1210,'[3]1'!$B$2:$D$37,2,0),"0000")</f>
        <v>0008</v>
      </c>
      <c r="G1210" s="261" t="str">
        <f t="shared" si="177"/>
        <v>0198</v>
      </c>
      <c r="H1210" s="408">
        <f t="shared" si="178"/>
        <v>5</v>
      </c>
      <c r="I1210" s="407" t="s">
        <v>1728</v>
      </c>
      <c r="J1210" s="258" t="s">
        <v>184</v>
      </c>
      <c r="K1210" s="258" t="s">
        <v>3744</v>
      </c>
      <c r="L1210" s="258" t="s">
        <v>3746</v>
      </c>
      <c r="M1210" s="429">
        <v>63800000</v>
      </c>
      <c r="N1210" s="258">
        <v>1995</v>
      </c>
      <c r="O1210" s="258" t="s">
        <v>78</v>
      </c>
      <c r="P1210" s="258" t="s">
        <v>73</v>
      </c>
      <c r="Q1210" s="258" t="s">
        <v>72</v>
      </c>
      <c r="R1210" s="258">
        <v>5</v>
      </c>
      <c r="S1210" s="410">
        <v>8</v>
      </c>
      <c r="T1210" s="261">
        <v>6</v>
      </c>
      <c r="U1210" s="261">
        <v>6</v>
      </c>
      <c r="V1210" s="258" t="s">
        <v>71</v>
      </c>
      <c r="W1210" s="261" t="str">
        <f t="shared" si="180"/>
        <v>BMW3 Series320d Touring M Sport package63800000</v>
      </c>
      <c r="X1210" s="411">
        <f t="shared" si="181"/>
        <v>4984</v>
      </c>
      <c r="Y1210" s="261">
        <v>6</v>
      </c>
      <c r="Z1210" s="261">
        <v>6</v>
      </c>
      <c r="AA1210" s="407" t="s">
        <v>1728</v>
      </c>
      <c r="AB1210" s="258" t="s">
        <v>73</v>
      </c>
      <c r="AC1210" s="258"/>
      <c r="AD1210" s="258">
        <v>2</v>
      </c>
      <c r="AE1210" s="258">
        <v>0</v>
      </c>
      <c r="AF1210" s="259"/>
      <c r="AG1210" s="260"/>
      <c r="AH1210" s="259"/>
      <c r="AI1210" s="259"/>
      <c r="AJ1210" s="260"/>
      <c r="AK1210" s="259">
        <v>7</v>
      </c>
      <c r="AL1210" s="259"/>
      <c r="AM1210" s="259" t="s">
        <v>3701</v>
      </c>
      <c r="AN1210" s="449"/>
      <c r="AO1210" s="449"/>
      <c r="AP1210" s="449"/>
      <c r="AQ1210" s="392" t="str">
        <f>IFERROR(VLOOKUP(BG1210,#REF!,1,0),"")</f>
        <v/>
      </c>
      <c r="AS1210" s="259" t="s">
        <v>3231</v>
      </c>
      <c r="AW1210" s="392" t="s">
        <v>3958</v>
      </c>
      <c r="BD1210" s="202" t="str">
        <f t="shared" si="173"/>
        <v>3 Series320d Touring M Sport package</v>
      </c>
      <c r="BE1210" s="261" t="str">
        <f t="shared" si="179"/>
        <v>0198</v>
      </c>
      <c r="BF1210" s="407" t="s">
        <v>1728</v>
      </c>
      <c r="BG1210" s="202" t="str">
        <f t="shared" si="174"/>
        <v>0198-1209</v>
      </c>
    </row>
    <row r="1211" spans="1:59">
      <c r="A1211" s="405">
        <v>4985</v>
      </c>
      <c r="B1211" s="406">
        <v>4985</v>
      </c>
      <c r="C1211" s="261" t="str">
        <f t="shared" si="175"/>
        <v>0008-0198</v>
      </c>
      <c r="D1211" s="261" t="str">
        <f t="shared" si="176"/>
        <v>0008-0198-0006</v>
      </c>
      <c r="E1211" s="407" t="s">
        <v>1729</v>
      </c>
      <c r="F1211" s="261" t="str">
        <f>TEXT(VLOOKUP(J1211,'[3]1'!$B$2:$D$37,2,0),"0000")</f>
        <v>0008</v>
      </c>
      <c r="G1211" s="261" t="str">
        <f t="shared" si="177"/>
        <v>0198</v>
      </c>
      <c r="H1211" s="408">
        <f t="shared" si="178"/>
        <v>6</v>
      </c>
      <c r="I1211" s="407" t="s">
        <v>1729</v>
      </c>
      <c r="J1211" s="258" t="s">
        <v>184</v>
      </c>
      <c r="K1211" s="258" t="s">
        <v>3744</v>
      </c>
      <c r="L1211" s="258" t="s">
        <v>2039</v>
      </c>
      <c r="M1211" s="409">
        <v>57000000</v>
      </c>
      <c r="N1211" s="258">
        <v>1998</v>
      </c>
      <c r="O1211" s="258" t="s">
        <v>77</v>
      </c>
      <c r="P1211" s="258" t="s">
        <v>1431</v>
      </c>
      <c r="Q1211" s="258" t="s">
        <v>1974</v>
      </c>
      <c r="R1211" s="258">
        <v>5</v>
      </c>
      <c r="S1211" s="410">
        <v>8</v>
      </c>
      <c r="T1211" s="261">
        <v>6</v>
      </c>
      <c r="U1211" s="261">
        <v>6</v>
      </c>
      <c r="V1211" s="258" t="s">
        <v>1969</v>
      </c>
      <c r="W1211" s="261" t="str">
        <f t="shared" si="180"/>
        <v>BMW3 Series320i57000000</v>
      </c>
      <c r="X1211" s="411">
        <f t="shared" si="181"/>
        <v>4985</v>
      </c>
      <c r="Y1211" s="261">
        <v>6</v>
      </c>
      <c r="Z1211" s="261">
        <v>6</v>
      </c>
      <c r="AA1211" s="407" t="s">
        <v>1729</v>
      </c>
      <c r="AB1211" s="258" t="s">
        <v>73</v>
      </c>
      <c r="AC1211" s="258"/>
      <c r="AD1211" s="258">
        <v>2</v>
      </c>
      <c r="AE1211" s="258">
        <v>0</v>
      </c>
      <c r="AF1211" s="259"/>
      <c r="AG1211" s="260"/>
      <c r="AH1211" s="259"/>
      <c r="AI1211" s="259"/>
      <c r="AJ1211" s="260"/>
      <c r="AK1211" s="259">
        <v>7</v>
      </c>
      <c r="AL1211" s="259"/>
      <c r="AM1211" s="259" t="s">
        <v>3701</v>
      </c>
      <c r="AN1211" s="449"/>
      <c r="AO1211" s="449"/>
      <c r="AP1211" s="449"/>
      <c r="AQ1211" s="392" t="str">
        <f>IFERROR(VLOOKUP(BG1211,#REF!,1,0),"")</f>
        <v/>
      </c>
      <c r="AS1211" s="259" t="s">
        <v>3189</v>
      </c>
      <c r="AW1211" s="392" t="s">
        <v>3958</v>
      </c>
      <c r="AZ1211" s="202" t="e">
        <f>VLOOKUP(#REF!,잔가군!$B:$C,2,0)</f>
        <v>#REF!</v>
      </c>
      <c r="BA1211" s="202" t="e">
        <f>S1211-#REF!</f>
        <v>#REF!</v>
      </c>
      <c r="BD1211" s="202" t="str">
        <f t="shared" si="173"/>
        <v>3 Series320i</v>
      </c>
      <c r="BE1211" s="261" t="str">
        <f t="shared" si="179"/>
        <v>0198</v>
      </c>
      <c r="BF1211" s="407" t="s">
        <v>1729</v>
      </c>
      <c r="BG1211" s="202" t="str">
        <f t="shared" si="174"/>
        <v>0198-1210</v>
      </c>
    </row>
    <row r="1212" spans="1:59">
      <c r="A1212" s="405">
        <v>4986</v>
      </c>
      <c r="B1212" s="406">
        <v>4986</v>
      </c>
      <c r="C1212" s="261" t="str">
        <f t="shared" si="175"/>
        <v>0008-0198</v>
      </c>
      <c r="D1212" s="261" t="str">
        <f t="shared" si="176"/>
        <v>0008-0198-0007</v>
      </c>
      <c r="E1212" s="407" t="s">
        <v>1730</v>
      </c>
      <c r="F1212" s="261" t="str">
        <f>TEXT(VLOOKUP(J1212,'[3]1'!$B$2:$D$37,2,0),"0000")</f>
        <v>0008</v>
      </c>
      <c r="G1212" s="261" t="str">
        <f t="shared" si="177"/>
        <v>0198</v>
      </c>
      <c r="H1212" s="408">
        <f t="shared" si="178"/>
        <v>7</v>
      </c>
      <c r="I1212" s="407" t="s">
        <v>1730</v>
      </c>
      <c r="J1212" s="258" t="s">
        <v>184</v>
      </c>
      <c r="K1212" s="258" t="s">
        <v>3744</v>
      </c>
      <c r="L1212" s="258" t="s">
        <v>2038</v>
      </c>
      <c r="M1212" s="409">
        <v>61400000</v>
      </c>
      <c r="N1212" s="258">
        <v>1998</v>
      </c>
      <c r="O1212" s="258" t="s">
        <v>77</v>
      </c>
      <c r="P1212" s="258" t="s">
        <v>73</v>
      </c>
      <c r="Q1212" s="258" t="s">
        <v>72</v>
      </c>
      <c r="R1212" s="258">
        <v>5</v>
      </c>
      <c r="S1212" s="410">
        <v>8</v>
      </c>
      <c r="T1212" s="261">
        <v>6</v>
      </c>
      <c r="U1212" s="261">
        <v>6</v>
      </c>
      <c r="V1212" s="258" t="s">
        <v>71</v>
      </c>
      <c r="W1212" s="261" t="str">
        <f t="shared" si="180"/>
        <v>BMW3 Series320i M Sport Package61400000</v>
      </c>
      <c r="X1212" s="411">
        <f t="shared" si="181"/>
        <v>4986</v>
      </c>
      <c r="Y1212" s="261">
        <v>6</v>
      </c>
      <c r="Z1212" s="261">
        <v>6</v>
      </c>
      <c r="AA1212" s="407" t="s">
        <v>1730</v>
      </c>
      <c r="AB1212" s="258" t="s">
        <v>73</v>
      </c>
      <c r="AC1212" s="258"/>
      <c r="AD1212" s="258">
        <v>2</v>
      </c>
      <c r="AE1212" s="258">
        <v>0</v>
      </c>
      <c r="AF1212" s="259"/>
      <c r="AG1212" s="260"/>
      <c r="AH1212" s="259"/>
      <c r="AI1212" s="259"/>
      <c r="AJ1212" s="260"/>
      <c r="AK1212" s="259">
        <v>7</v>
      </c>
      <c r="AL1212" s="259"/>
      <c r="AM1212" s="259" t="s">
        <v>3701</v>
      </c>
      <c r="AN1212" s="449"/>
      <c r="AO1212" s="449"/>
      <c r="AP1212" s="449"/>
      <c r="AQ1212" s="392" t="str">
        <f>IFERROR(VLOOKUP(BG1212,#REF!,1,0),"")</f>
        <v/>
      </c>
      <c r="AS1212" s="259" t="s">
        <v>3189</v>
      </c>
      <c r="AW1212" s="392" t="s">
        <v>3958</v>
      </c>
      <c r="AZ1212" s="202" t="e">
        <f>VLOOKUP(#REF!,잔가군!$B:$C,2,0)</f>
        <v>#REF!</v>
      </c>
      <c r="BA1212" s="202" t="e">
        <f>S1212-#REF!</f>
        <v>#REF!</v>
      </c>
      <c r="BD1212" s="202" t="str">
        <f t="shared" si="173"/>
        <v>3 Series320i M Sport Package</v>
      </c>
      <c r="BE1212" s="261" t="str">
        <f t="shared" si="179"/>
        <v>0198</v>
      </c>
      <c r="BF1212" s="407" t="s">
        <v>1730</v>
      </c>
      <c r="BG1212" s="202" t="str">
        <f t="shared" si="174"/>
        <v>0198-1211</v>
      </c>
    </row>
    <row r="1213" spans="1:59">
      <c r="A1213" s="405">
        <v>4987</v>
      </c>
      <c r="B1213" s="406">
        <v>4987</v>
      </c>
      <c r="C1213" s="261" t="str">
        <f t="shared" si="175"/>
        <v>0008-0198</v>
      </c>
      <c r="D1213" s="261" t="str">
        <f t="shared" si="176"/>
        <v>0008-0198-0008</v>
      </c>
      <c r="E1213" s="407" t="s">
        <v>1731</v>
      </c>
      <c r="F1213" s="261" t="str">
        <f>TEXT(VLOOKUP(J1213,'[3]1'!$B$2:$D$37,2,0),"0000")</f>
        <v>0008</v>
      </c>
      <c r="G1213" s="261" t="str">
        <f t="shared" si="177"/>
        <v>0198</v>
      </c>
      <c r="H1213" s="408">
        <f t="shared" si="178"/>
        <v>8</v>
      </c>
      <c r="I1213" s="407" t="s">
        <v>1731</v>
      </c>
      <c r="J1213" s="258" t="s">
        <v>184</v>
      </c>
      <c r="K1213" s="258" t="s">
        <v>3744</v>
      </c>
      <c r="L1213" s="258" t="s">
        <v>1435</v>
      </c>
      <c r="M1213" s="429">
        <v>75800000</v>
      </c>
      <c r="N1213" s="258">
        <v>2998</v>
      </c>
      <c r="O1213" s="258" t="s">
        <v>77</v>
      </c>
      <c r="P1213" s="258" t="s">
        <v>73</v>
      </c>
      <c r="Q1213" s="258" t="s">
        <v>72</v>
      </c>
      <c r="R1213" s="258">
        <v>5</v>
      </c>
      <c r="S1213" s="410">
        <v>7</v>
      </c>
      <c r="T1213" s="261">
        <v>6</v>
      </c>
      <c r="U1213" s="261">
        <v>6</v>
      </c>
      <c r="V1213" s="258" t="s">
        <v>71</v>
      </c>
      <c r="W1213" s="261" t="str">
        <f t="shared" si="180"/>
        <v>BMW3 SeriesM340i75800000</v>
      </c>
      <c r="X1213" s="411">
        <f t="shared" si="181"/>
        <v>4987</v>
      </c>
      <c r="Y1213" s="261">
        <v>6</v>
      </c>
      <c r="Z1213" s="261">
        <v>6</v>
      </c>
      <c r="AA1213" s="407" t="s">
        <v>1731</v>
      </c>
      <c r="AB1213" s="258" t="s">
        <v>73</v>
      </c>
      <c r="AC1213" s="258"/>
      <c r="AD1213" s="258">
        <v>5</v>
      </c>
      <c r="AE1213" s="258">
        <v>2</v>
      </c>
      <c r="AF1213" s="259"/>
      <c r="AG1213" s="260"/>
      <c r="AH1213" s="259"/>
      <c r="AI1213" s="259"/>
      <c r="AJ1213" s="260"/>
      <c r="AK1213" s="259">
        <v>14</v>
      </c>
      <c r="AL1213" s="259"/>
      <c r="AM1213" s="259" t="s">
        <v>3728</v>
      </c>
      <c r="AN1213" s="449"/>
      <c r="AO1213" s="449"/>
      <c r="AP1213" s="449"/>
      <c r="AQ1213" s="392" t="str">
        <f>IFERROR(VLOOKUP(BG1213,#REF!,1,0),"")</f>
        <v/>
      </c>
      <c r="AS1213" s="259" t="s">
        <v>3229</v>
      </c>
      <c r="AW1213" s="392" t="s">
        <v>3959</v>
      </c>
      <c r="BD1213" s="202" t="str">
        <f t="shared" si="173"/>
        <v>3 SeriesM340i</v>
      </c>
      <c r="BE1213" s="261" t="str">
        <f t="shared" si="179"/>
        <v>0198</v>
      </c>
      <c r="BF1213" s="407" t="s">
        <v>1731</v>
      </c>
      <c r="BG1213" s="202" t="str">
        <f t="shared" si="174"/>
        <v>0198-1212</v>
      </c>
    </row>
    <row r="1214" spans="1:59" s="214" customFormat="1">
      <c r="A1214" s="405">
        <v>4988</v>
      </c>
      <c r="B1214" s="406">
        <v>4988</v>
      </c>
      <c r="C1214" s="261" t="str">
        <f t="shared" si="175"/>
        <v>0008-0198</v>
      </c>
      <c r="D1214" s="261" t="str">
        <f t="shared" si="176"/>
        <v>0008-0198-0009</v>
      </c>
      <c r="E1214" s="407" t="s">
        <v>1732</v>
      </c>
      <c r="F1214" s="261" t="str">
        <f>TEXT(VLOOKUP(J1214,'[3]1'!$B$2:$D$37,2,0),"0000")</f>
        <v>0008</v>
      </c>
      <c r="G1214" s="261" t="str">
        <f t="shared" si="177"/>
        <v>0198</v>
      </c>
      <c r="H1214" s="408">
        <f t="shared" si="178"/>
        <v>9</v>
      </c>
      <c r="I1214" s="407" t="s">
        <v>1732</v>
      </c>
      <c r="J1214" s="258" t="s">
        <v>184</v>
      </c>
      <c r="K1214" s="258" t="s">
        <v>3744</v>
      </c>
      <c r="L1214" s="258" t="s">
        <v>3745</v>
      </c>
      <c r="M1214" s="429">
        <v>59800000</v>
      </c>
      <c r="N1214" s="258">
        <v>1998</v>
      </c>
      <c r="O1214" s="258" t="s">
        <v>77</v>
      </c>
      <c r="P1214" s="258" t="s">
        <v>73</v>
      </c>
      <c r="Q1214" s="258" t="s">
        <v>72</v>
      </c>
      <c r="R1214" s="258">
        <v>5</v>
      </c>
      <c r="S1214" s="410">
        <v>8</v>
      </c>
      <c r="T1214" s="261">
        <v>6</v>
      </c>
      <c r="U1214" s="261">
        <v>6</v>
      </c>
      <c r="V1214" s="258" t="s">
        <v>71</v>
      </c>
      <c r="W1214" s="261" t="str">
        <f t="shared" si="180"/>
        <v>BMW3 Series320i Touring59800000</v>
      </c>
      <c r="X1214" s="411">
        <f t="shared" si="181"/>
        <v>4988</v>
      </c>
      <c r="Y1214" s="261">
        <v>6</v>
      </c>
      <c r="Z1214" s="261">
        <v>6</v>
      </c>
      <c r="AA1214" s="407" t="s">
        <v>1732</v>
      </c>
      <c r="AB1214" s="258" t="s">
        <v>73</v>
      </c>
      <c r="AC1214" s="258"/>
      <c r="AD1214" s="258">
        <v>2</v>
      </c>
      <c r="AE1214" s="258">
        <v>0</v>
      </c>
      <c r="AF1214" s="259"/>
      <c r="AG1214" s="260"/>
      <c r="AH1214" s="259"/>
      <c r="AI1214" s="259"/>
      <c r="AJ1214" s="260"/>
      <c r="AK1214" s="259">
        <v>7</v>
      </c>
      <c r="AL1214" s="259"/>
      <c r="AM1214" s="259" t="s">
        <v>3701</v>
      </c>
      <c r="AN1214" s="449"/>
      <c r="AO1214" s="449"/>
      <c r="AP1214" s="449"/>
      <c r="AQ1214" s="392" t="str">
        <f>IFERROR(VLOOKUP(BG1214,#REF!,1,0),"")</f>
        <v/>
      </c>
      <c r="AR1214" s="392"/>
      <c r="AS1214" s="259" t="s">
        <v>3231</v>
      </c>
      <c r="AT1214" s="392"/>
      <c r="AU1214" s="392"/>
      <c r="AV1214" s="392"/>
      <c r="AW1214" s="392" t="s">
        <v>3958</v>
      </c>
      <c r="AX1214" s="392"/>
      <c r="AY1214" s="392"/>
      <c r="BD1214" s="202" t="str">
        <f t="shared" si="173"/>
        <v>3 Series320i Touring</v>
      </c>
      <c r="BE1214" s="261" t="str">
        <f t="shared" si="179"/>
        <v>0198</v>
      </c>
      <c r="BF1214" s="407" t="s">
        <v>1732</v>
      </c>
      <c r="BG1214" s="202" t="str">
        <f t="shared" si="174"/>
        <v>0198-1213</v>
      </c>
    </row>
    <row r="1215" spans="1:59" s="214" customFormat="1">
      <c r="A1215" s="405">
        <v>4989</v>
      </c>
      <c r="B1215" s="406">
        <v>4989</v>
      </c>
      <c r="C1215" s="261" t="str">
        <f t="shared" si="175"/>
        <v>0008-0198</v>
      </c>
      <c r="D1215" s="261" t="str">
        <f t="shared" si="176"/>
        <v>0008-0198-0010</v>
      </c>
      <c r="E1215" s="407" t="s">
        <v>1733</v>
      </c>
      <c r="F1215" s="261" t="str">
        <f>TEXT(VLOOKUP(J1215,'[3]1'!$B$2:$D$37,2,0),"0000")</f>
        <v>0008</v>
      </c>
      <c r="G1215" s="261" t="str">
        <f t="shared" si="177"/>
        <v>0198</v>
      </c>
      <c r="H1215" s="408">
        <f t="shared" si="178"/>
        <v>10</v>
      </c>
      <c r="I1215" s="407" t="s">
        <v>1733</v>
      </c>
      <c r="J1215" s="258" t="s">
        <v>184</v>
      </c>
      <c r="K1215" s="258" t="s">
        <v>3744</v>
      </c>
      <c r="L1215" s="258" t="s">
        <v>3240</v>
      </c>
      <c r="M1215" s="520">
        <v>63500000</v>
      </c>
      <c r="N1215" s="258">
        <v>1998</v>
      </c>
      <c r="O1215" s="258" t="s">
        <v>77</v>
      </c>
      <c r="P1215" s="258" t="s">
        <v>73</v>
      </c>
      <c r="Q1215" s="258" t="s">
        <v>72</v>
      </c>
      <c r="R1215" s="258">
        <v>5</v>
      </c>
      <c r="S1215" s="410">
        <v>8</v>
      </c>
      <c r="T1215" s="261">
        <v>6</v>
      </c>
      <c r="U1215" s="261">
        <v>6</v>
      </c>
      <c r="V1215" s="258" t="s">
        <v>71</v>
      </c>
      <c r="W1215" s="261" t="str">
        <f t="shared" si="180"/>
        <v>BMW3 Series320i Touring M sport63500000</v>
      </c>
      <c r="X1215" s="411">
        <f t="shared" si="181"/>
        <v>4989</v>
      </c>
      <c r="Y1215" s="261">
        <v>6</v>
      </c>
      <c r="Z1215" s="261">
        <v>6</v>
      </c>
      <c r="AA1215" s="407" t="s">
        <v>1733</v>
      </c>
      <c r="AB1215" s="258" t="s">
        <v>73</v>
      </c>
      <c r="AC1215" s="258"/>
      <c r="AD1215" s="258">
        <v>7</v>
      </c>
      <c r="AE1215" s="258">
        <v>0</v>
      </c>
      <c r="AF1215" s="259"/>
      <c r="AG1215" s="260"/>
      <c r="AH1215" s="259"/>
      <c r="AI1215" s="259"/>
      <c r="AJ1215" s="260"/>
      <c r="AK1215" s="259">
        <v>7</v>
      </c>
      <c r="AL1215" s="259"/>
      <c r="AM1215" s="259" t="s">
        <v>3701</v>
      </c>
      <c r="AN1215" s="449"/>
      <c r="AO1215" s="449"/>
      <c r="AP1215" s="449"/>
      <c r="AQ1215" s="392" t="str">
        <f>IFERROR(VLOOKUP(BG1215,#REF!,1,0),"")</f>
        <v/>
      </c>
      <c r="AR1215" s="392"/>
      <c r="AS1215" s="259" t="s">
        <v>3231</v>
      </c>
      <c r="AT1215" s="392"/>
      <c r="AU1215" s="392"/>
      <c r="AV1215" s="392"/>
      <c r="AW1215" s="392" t="s">
        <v>3958</v>
      </c>
      <c r="AX1215" s="392"/>
      <c r="AY1215" s="392"/>
      <c r="BD1215" s="202" t="str">
        <f t="shared" si="173"/>
        <v>3 Series320i Touring M sport</v>
      </c>
      <c r="BE1215" s="261" t="str">
        <f t="shared" si="179"/>
        <v>0198</v>
      </c>
      <c r="BF1215" s="407" t="s">
        <v>1733</v>
      </c>
      <c r="BG1215" s="202" t="str">
        <f t="shared" si="174"/>
        <v>0198-1214</v>
      </c>
    </row>
    <row r="1216" spans="1:59">
      <c r="A1216" s="405">
        <v>4990</v>
      </c>
      <c r="B1216" s="406">
        <v>4990</v>
      </c>
      <c r="C1216" s="261" t="str">
        <f t="shared" si="175"/>
        <v>0008-0198</v>
      </c>
      <c r="D1216" s="261" t="str">
        <f t="shared" si="176"/>
        <v>0008-0198-0011</v>
      </c>
      <c r="E1216" s="407" t="s">
        <v>1734</v>
      </c>
      <c r="F1216" s="261" t="str">
        <f>TEXT(VLOOKUP(J1216,'[3]1'!$B$2:$D$37,2,0),"0000")</f>
        <v>0008</v>
      </c>
      <c r="G1216" s="261" t="str">
        <f t="shared" si="177"/>
        <v>0198</v>
      </c>
      <c r="H1216" s="408">
        <f t="shared" si="178"/>
        <v>11</v>
      </c>
      <c r="I1216" s="407" t="s">
        <v>1734</v>
      </c>
      <c r="J1216" s="258" t="s">
        <v>184</v>
      </c>
      <c r="K1216" s="258" t="s">
        <v>3744</v>
      </c>
      <c r="L1216" s="258" t="s">
        <v>2111</v>
      </c>
      <c r="M1216" s="409">
        <v>80000000</v>
      </c>
      <c r="N1216" s="258">
        <v>2998</v>
      </c>
      <c r="O1216" s="258" t="s">
        <v>77</v>
      </c>
      <c r="P1216" s="258" t="s">
        <v>73</v>
      </c>
      <c r="Q1216" s="258" t="s">
        <v>72</v>
      </c>
      <c r="R1216" s="258">
        <v>5</v>
      </c>
      <c r="S1216" s="410">
        <v>15</v>
      </c>
      <c r="T1216" s="261">
        <v>6</v>
      </c>
      <c r="U1216" s="261">
        <v>6</v>
      </c>
      <c r="V1216" s="258" t="s">
        <v>71</v>
      </c>
      <c r="W1216" s="261" t="str">
        <f t="shared" si="180"/>
        <v>BMW3 SeriesM340i xDrive Touring80000000</v>
      </c>
      <c r="X1216" s="411">
        <f t="shared" si="181"/>
        <v>4990</v>
      </c>
      <c r="Y1216" s="261">
        <v>6</v>
      </c>
      <c r="Z1216" s="261">
        <v>6</v>
      </c>
      <c r="AA1216" s="407" t="s">
        <v>1734</v>
      </c>
      <c r="AB1216" s="258" t="s">
        <v>73</v>
      </c>
      <c r="AC1216" s="258"/>
      <c r="AD1216" s="258">
        <v>5</v>
      </c>
      <c r="AE1216" s="258">
        <v>2</v>
      </c>
      <c r="AF1216" s="259"/>
      <c r="AG1216" s="260"/>
      <c r="AH1216" s="259"/>
      <c r="AI1216" s="259"/>
      <c r="AJ1216" s="260"/>
      <c r="AK1216" s="259">
        <v>14</v>
      </c>
      <c r="AL1216" s="259"/>
      <c r="AM1216" s="259" t="s">
        <v>3728</v>
      </c>
      <c r="AN1216" s="449"/>
      <c r="AO1216" s="449"/>
      <c r="AP1216" s="449"/>
      <c r="AQ1216" s="392" t="str">
        <f>IFERROR(VLOOKUP(BG1216,#REF!,1,0),"")</f>
        <v/>
      </c>
      <c r="AS1216" s="259" t="s">
        <v>3233</v>
      </c>
      <c r="BD1216" s="202" t="str">
        <f t="shared" si="173"/>
        <v>3 SeriesM340i xDrive Touring</v>
      </c>
      <c r="BE1216" s="261" t="str">
        <f t="shared" si="179"/>
        <v>0198</v>
      </c>
      <c r="BF1216" s="407" t="s">
        <v>1734</v>
      </c>
      <c r="BG1216" s="202" t="str">
        <f t="shared" si="174"/>
        <v>0198-1215</v>
      </c>
    </row>
    <row r="1217" spans="1:59">
      <c r="A1217" s="405">
        <v>4991</v>
      </c>
      <c r="B1217" s="406">
        <v>4991</v>
      </c>
      <c r="C1217" s="261" t="str">
        <f t="shared" si="175"/>
        <v>0008-0199</v>
      </c>
      <c r="D1217" s="261" t="str">
        <f t="shared" si="176"/>
        <v>0008-0199-0001</v>
      </c>
      <c r="E1217" s="407" t="s">
        <v>1735</v>
      </c>
      <c r="F1217" s="261" t="str">
        <f>TEXT(VLOOKUP(J1217,'[3]1'!$B$2:$D$37,2,0),"0000")</f>
        <v>0008</v>
      </c>
      <c r="G1217" s="261" t="str">
        <f t="shared" si="177"/>
        <v>0199</v>
      </c>
      <c r="H1217" s="408">
        <f t="shared" si="178"/>
        <v>1</v>
      </c>
      <c r="I1217" s="407" t="s">
        <v>1735</v>
      </c>
      <c r="J1217" s="258" t="s">
        <v>184</v>
      </c>
      <c r="K1217" s="258" t="s">
        <v>3750</v>
      </c>
      <c r="L1217" s="258" t="s">
        <v>3751</v>
      </c>
      <c r="M1217" s="409">
        <v>63900000</v>
      </c>
      <c r="N1217" s="258">
        <v>1995</v>
      </c>
      <c r="O1217" s="258" t="s">
        <v>78</v>
      </c>
      <c r="P1217" s="258" t="s">
        <v>73</v>
      </c>
      <c r="Q1217" s="258" t="s">
        <v>72</v>
      </c>
      <c r="R1217" s="258">
        <v>4</v>
      </c>
      <c r="S1217" s="410">
        <v>7</v>
      </c>
      <c r="T1217" s="261">
        <v>6</v>
      </c>
      <c r="U1217" s="261">
        <v>6</v>
      </c>
      <c r="V1217" s="258" t="s">
        <v>71</v>
      </c>
      <c r="W1217" s="261" t="str">
        <f t="shared" si="180"/>
        <v>BMW4 Series420d Gran Coupe M 스포츠63900000</v>
      </c>
      <c r="X1217" s="411">
        <f t="shared" si="181"/>
        <v>4991</v>
      </c>
      <c r="Y1217" s="261">
        <v>6</v>
      </c>
      <c r="Z1217" s="261">
        <v>6</v>
      </c>
      <c r="AA1217" s="407" t="s">
        <v>1735</v>
      </c>
      <c r="AB1217" s="258" t="s">
        <v>73</v>
      </c>
      <c r="AC1217" s="258"/>
      <c r="AD1217" s="258">
        <v>2</v>
      </c>
      <c r="AE1217" s="258">
        <v>0</v>
      </c>
      <c r="AF1217" s="259"/>
      <c r="AG1217" s="260"/>
      <c r="AH1217" s="259"/>
      <c r="AI1217" s="259"/>
      <c r="AJ1217" s="260"/>
      <c r="AK1217" s="259" t="s">
        <v>1175</v>
      </c>
      <c r="AL1217" s="259"/>
      <c r="AM1217" s="259" t="s">
        <v>3671</v>
      </c>
      <c r="AN1217" s="449"/>
      <c r="AO1217" s="449"/>
      <c r="AP1217" s="449"/>
      <c r="AQ1217" s="392" t="str">
        <f>IFERROR(VLOOKUP(BG1217,#REF!,1,0),"")</f>
        <v/>
      </c>
      <c r="AS1217" s="259" t="s">
        <v>3229</v>
      </c>
      <c r="BD1217" s="202" t="str">
        <f t="shared" si="173"/>
        <v>4 Series420d Gran Coupe M 스포츠</v>
      </c>
      <c r="BE1217" s="261" t="str">
        <f t="shared" si="179"/>
        <v>0199</v>
      </c>
      <c r="BF1217" s="407" t="s">
        <v>1735</v>
      </c>
      <c r="BG1217" s="202" t="str">
        <f t="shared" si="174"/>
        <v>0199-1216</v>
      </c>
    </row>
    <row r="1218" spans="1:59">
      <c r="A1218" s="405">
        <v>4992</v>
      </c>
      <c r="B1218" s="406">
        <v>4992</v>
      </c>
      <c r="C1218" s="261" t="str">
        <f t="shared" si="175"/>
        <v>0008-0199</v>
      </c>
      <c r="D1218" s="261" t="str">
        <f t="shared" si="176"/>
        <v>0008-0199-0002</v>
      </c>
      <c r="E1218" s="407" t="s">
        <v>1736</v>
      </c>
      <c r="F1218" s="261" t="str">
        <f>TEXT(VLOOKUP(J1218,'[3]1'!$B$2:$D$37,2,0),"0000")</f>
        <v>0008</v>
      </c>
      <c r="G1218" s="261" t="str">
        <f t="shared" si="177"/>
        <v>0199</v>
      </c>
      <c r="H1218" s="408">
        <f t="shared" si="178"/>
        <v>2</v>
      </c>
      <c r="I1218" s="407" t="s">
        <v>1736</v>
      </c>
      <c r="J1218" s="258" t="s">
        <v>184</v>
      </c>
      <c r="K1218" s="258" t="s">
        <v>3750</v>
      </c>
      <c r="L1218" s="258" t="s">
        <v>3752</v>
      </c>
      <c r="M1218" s="409">
        <v>60300000</v>
      </c>
      <c r="N1218" s="426">
        <v>1995</v>
      </c>
      <c r="O1218" s="426" t="s">
        <v>78</v>
      </c>
      <c r="P1218" s="426" t="s">
        <v>73</v>
      </c>
      <c r="Q1218" s="258" t="s">
        <v>72</v>
      </c>
      <c r="R1218" s="426">
        <v>5</v>
      </c>
      <c r="S1218" s="427">
        <v>7</v>
      </c>
      <c r="T1218" s="261">
        <v>6</v>
      </c>
      <c r="U1218" s="261">
        <v>6</v>
      </c>
      <c r="V1218" s="258" t="s">
        <v>3105</v>
      </c>
      <c r="W1218" s="261" t="str">
        <f t="shared" si="180"/>
        <v>BMW4 Series420d Gran Coupe M 스포츠 퍼포먼스 패키지60300000</v>
      </c>
      <c r="X1218" s="411">
        <f t="shared" si="181"/>
        <v>4992</v>
      </c>
      <c r="Y1218" s="261">
        <v>6</v>
      </c>
      <c r="Z1218" s="261">
        <v>6</v>
      </c>
      <c r="AA1218" s="407" t="s">
        <v>1736</v>
      </c>
      <c r="AB1218" s="258" t="s">
        <v>73</v>
      </c>
      <c r="AC1218" s="258"/>
      <c r="AD1218" s="258">
        <v>7</v>
      </c>
      <c r="AE1218" s="258"/>
      <c r="AF1218" s="259"/>
      <c r="AG1218" s="260"/>
      <c r="AH1218" s="259"/>
      <c r="AI1218" s="259"/>
      <c r="AJ1218" s="260"/>
      <c r="AK1218" s="259" t="s">
        <v>1175</v>
      </c>
      <c r="AL1218" s="259"/>
      <c r="AM1218" s="259" t="s">
        <v>3671</v>
      </c>
      <c r="AN1218" s="449"/>
      <c r="AO1218" s="449"/>
      <c r="AP1218" s="449"/>
      <c r="AQ1218" s="392" t="str">
        <f>IFERROR(VLOOKUP(BG1218,#REF!,1,0),"")</f>
        <v/>
      </c>
      <c r="AS1218" s="259" t="s">
        <v>3229</v>
      </c>
      <c r="AT1218" s="392" t="s">
        <v>3099</v>
      </c>
      <c r="AW1218" s="392" t="s">
        <v>3098</v>
      </c>
      <c r="AY1218" s="312"/>
      <c r="BD1218" s="202" t="str">
        <f t="shared" si="173"/>
        <v>4 Series420d Gran Coupe M 스포츠 퍼포먼스 패키지</v>
      </c>
      <c r="BE1218" s="261" t="str">
        <f t="shared" si="179"/>
        <v>0199</v>
      </c>
      <c r="BF1218" s="407" t="s">
        <v>1736</v>
      </c>
      <c r="BG1218" s="202" t="str">
        <f t="shared" si="174"/>
        <v>0199-1217</v>
      </c>
    </row>
    <row r="1219" spans="1:59">
      <c r="A1219" s="405">
        <v>4993</v>
      </c>
      <c r="B1219" s="406">
        <v>4993</v>
      </c>
      <c r="C1219" s="261" t="str">
        <f t="shared" si="175"/>
        <v>0008-0199</v>
      </c>
      <c r="D1219" s="261" t="str">
        <f t="shared" si="176"/>
        <v>0008-0199-0003</v>
      </c>
      <c r="E1219" s="407" t="s">
        <v>1737</v>
      </c>
      <c r="F1219" s="261" t="str">
        <f>TEXT(VLOOKUP(J1219,'[3]1'!$B$2:$D$37,2,0),"0000")</f>
        <v>0008</v>
      </c>
      <c r="G1219" s="261" t="str">
        <f t="shared" si="177"/>
        <v>0199</v>
      </c>
      <c r="H1219" s="408">
        <f t="shared" si="178"/>
        <v>3</v>
      </c>
      <c r="I1219" s="407" t="s">
        <v>1737</v>
      </c>
      <c r="J1219" s="258" t="s">
        <v>184</v>
      </c>
      <c r="K1219" s="258" t="s">
        <v>3750</v>
      </c>
      <c r="L1219" s="258" t="s">
        <v>3717</v>
      </c>
      <c r="M1219" s="409">
        <v>69200000</v>
      </c>
      <c r="N1219" s="426">
        <v>1998</v>
      </c>
      <c r="O1219" s="258" t="s">
        <v>77</v>
      </c>
      <c r="P1219" s="426" t="s">
        <v>73</v>
      </c>
      <c r="Q1219" s="258" t="s">
        <v>72</v>
      </c>
      <c r="R1219" s="426">
        <v>5</v>
      </c>
      <c r="S1219" s="427">
        <v>10</v>
      </c>
      <c r="T1219" s="261">
        <v>6</v>
      </c>
      <c r="U1219" s="261">
        <v>6</v>
      </c>
      <c r="V1219" s="258" t="s">
        <v>3105</v>
      </c>
      <c r="W1219" s="261" t="str">
        <f t="shared" si="180"/>
        <v>BMW4 Series420i Coupe M Sport Package69200000</v>
      </c>
      <c r="X1219" s="411">
        <f t="shared" si="181"/>
        <v>4993</v>
      </c>
      <c r="Y1219" s="261">
        <v>6</v>
      </c>
      <c r="Z1219" s="261">
        <v>6</v>
      </c>
      <c r="AA1219" s="407" t="s">
        <v>1737</v>
      </c>
      <c r="AB1219" s="258" t="s">
        <v>73</v>
      </c>
      <c r="AC1219" s="258"/>
      <c r="AD1219" s="258">
        <v>7</v>
      </c>
      <c r="AE1219" s="258"/>
      <c r="AF1219" s="259"/>
      <c r="AG1219" s="260"/>
      <c r="AH1219" s="259"/>
      <c r="AI1219" s="259"/>
      <c r="AJ1219" s="260"/>
      <c r="AK1219" s="259">
        <v>7</v>
      </c>
      <c r="AL1219" s="259"/>
      <c r="AM1219" s="259" t="s">
        <v>3701</v>
      </c>
      <c r="AN1219" s="449"/>
      <c r="AO1219" s="449"/>
      <c r="AP1219" s="449"/>
      <c r="AQ1219" s="392" t="str">
        <f>IFERROR(VLOOKUP(BG1219,#REF!,1,0),"")</f>
        <v/>
      </c>
      <c r="AS1219" s="259" t="s">
        <v>3224</v>
      </c>
      <c r="AT1219" s="392" t="s">
        <v>3099</v>
      </c>
      <c r="AW1219" s="392" t="s">
        <v>3961</v>
      </c>
      <c r="AY1219" s="312"/>
      <c r="BD1219" s="202" t="str">
        <f t="shared" si="173"/>
        <v>4 Series420i Coupe M Sport Package</v>
      </c>
      <c r="BE1219" s="261" t="str">
        <f t="shared" si="179"/>
        <v>0199</v>
      </c>
      <c r="BF1219" s="407" t="s">
        <v>1737</v>
      </c>
      <c r="BG1219" s="202" t="str">
        <f t="shared" si="174"/>
        <v>0199-1218</v>
      </c>
    </row>
    <row r="1220" spans="1:59">
      <c r="A1220" s="405">
        <v>4994</v>
      </c>
      <c r="B1220" s="406">
        <v>4994</v>
      </c>
      <c r="C1220" s="261" t="str">
        <f t="shared" si="175"/>
        <v>0008-0199</v>
      </c>
      <c r="D1220" s="261" t="str">
        <f t="shared" si="176"/>
        <v>0008-0199-0004</v>
      </c>
      <c r="E1220" s="407" t="s">
        <v>1738</v>
      </c>
      <c r="F1220" s="261" t="str">
        <f>TEXT(VLOOKUP(J1220,'[3]1'!$B$2:$D$37,2,0),"0000")</f>
        <v>0008</v>
      </c>
      <c r="G1220" s="261" t="str">
        <f t="shared" si="177"/>
        <v>0199</v>
      </c>
      <c r="H1220" s="408">
        <f t="shared" si="178"/>
        <v>4</v>
      </c>
      <c r="I1220" s="407" t="s">
        <v>1738</v>
      </c>
      <c r="J1220" s="258" t="s">
        <v>184</v>
      </c>
      <c r="K1220" s="258" t="s">
        <v>3750</v>
      </c>
      <c r="L1220" s="258" t="s">
        <v>3706</v>
      </c>
      <c r="M1220" s="409">
        <v>81900000</v>
      </c>
      <c r="N1220" s="426">
        <v>2998</v>
      </c>
      <c r="O1220" s="258" t="s">
        <v>77</v>
      </c>
      <c r="P1220" s="426" t="s">
        <v>73</v>
      </c>
      <c r="Q1220" s="258" t="s">
        <v>72</v>
      </c>
      <c r="R1220" s="426">
        <v>5</v>
      </c>
      <c r="S1220" s="410">
        <v>10</v>
      </c>
      <c r="T1220" s="261">
        <v>6</v>
      </c>
      <c r="U1220" s="261">
        <v>6</v>
      </c>
      <c r="V1220" s="258" t="s">
        <v>3105</v>
      </c>
      <c r="W1220" s="261" t="str">
        <f t="shared" si="180"/>
        <v>BMW4 SeriesM440i xDrive Coupe81900000</v>
      </c>
      <c r="X1220" s="411">
        <f t="shared" si="181"/>
        <v>4994</v>
      </c>
      <c r="Y1220" s="261">
        <v>6</v>
      </c>
      <c r="Z1220" s="261">
        <v>6</v>
      </c>
      <c r="AA1220" s="407" t="s">
        <v>1738</v>
      </c>
      <c r="AB1220" s="258" t="s">
        <v>73</v>
      </c>
      <c r="AC1220" s="258"/>
      <c r="AD1220" s="258">
        <v>7</v>
      </c>
      <c r="AE1220" s="258"/>
      <c r="AF1220" s="259"/>
      <c r="AG1220" s="260"/>
      <c r="AH1220" s="259"/>
      <c r="AI1220" s="259"/>
      <c r="AJ1220" s="260"/>
      <c r="AK1220" s="259">
        <v>14</v>
      </c>
      <c r="AL1220" s="259"/>
      <c r="AM1220" s="259" t="s">
        <v>3728</v>
      </c>
      <c r="AN1220" s="449"/>
      <c r="AO1220" s="449"/>
      <c r="AP1220" s="449"/>
      <c r="AQ1220" s="392" t="str">
        <f>IFERROR(VLOOKUP(BG1220,#REF!,1,0),"")</f>
        <v/>
      </c>
      <c r="AS1220" s="259" t="s">
        <v>3355</v>
      </c>
      <c r="AT1220" s="392" t="s">
        <v>3099</v>
      </c>
      <c r="AW1220" s="392" t="s">
        <v>3961</v>
      </c>
      <c r="AX1220" s="392">
        <v>2024.02</v>
      </c>
      <c r="AY1220" s="312"/>
      <c r="AZ1220" s="202" t="e">
        <f>VLOOKUP(#REF!,잔가군!$B:$C,2,0)</f>
        <v>#REF!</v>
      </c>
      <c r="BA1220" s="202" t="e">
        <f>S1220-#REF!</f>
        <v>#REF!</v>
      </c>
      <c r="BB1220" s="202" t="s">
        <v>3359</v>
      </c>
      <c r="BC1220" s="202" t="s">
        <v>3360</v>
      </c>
      <c r="BD1220" s="202" t="str">
        <f t="shared" si="173"/>
        <v>4 SeriesM440i xDrive Coupe</v>
      </c>
      <c r="BE1220" s="261" t="str">
        <f t="shared" si="179"/>
        <v>0199</v>
      </c>
      <c r="BF1220" s="407" t="s">
        <v>1738</v>
      </c>
      <c r="BG1220" s="202" t="str">
        <f t="shared" si="174"/>
        <v>0199-1219</v>
      </c>
    </row>
    <row r="1221" spans="1:59">
      <c r="A1221" s="405">
        <v>4995</v>
      </c>
      <c r="B1221" s="406">
        <v>4995</v>
      </c>
      <c r="C1221" s="261" t="str">
        <f t="shared" si="175"/>
        <v>0008-0199</v>
      </c>
      <c r="D1221" s="261" t="str">
        <f t="shared" si="176"/>
        <v>0008-0199-0005</v>
      </c>
      <c r="E1221" s="407" t="s">
        <v>1739</v>
      </c>
      <c r="F1221" s="261" t="str">
        <f>TEXT(VLOOKUP(J1221,'[3]1'!$B$2:$D$37,2,0),"0000")</f>
        <v>0008</v>
      </c>
      <c r="G1221" s="261" t="str">
        <f t="shared" si="177"/>
        <v>0199</v>
      </c>
      <c r="H1221" s="408">
        <f t="shared" si="178"/>
        <v>5</v>
      </c>
      <c r="I1221" s="407" t="s">
        <v>1739</v>
      </c>
      <c r="J1221" s="258" t="s">
        <v>184</v>
      </c>
      <c r="K1221" s="258" t="s">
        <v>3750</v>
      </c>
      <c r="L1221" s="258" t="s">
        <v>3748</v>
      </c>
      <c r="M1221" s="409">
        <v>64300000</v>
      </c>
      <c r="N1221" s="426">
        <v>1998</v>
      </c>
      <c r="O1221" s="258" t="s">
        <v>77</v>
      </c>
      <c r="P1221" s="426" t="s">
        <v>73</v>
      </c>
      <c r="Q1221" s="258" t="s">
        <v>72</v>
      </c>
      <c r="R1221" s="426">
        <v>5</v>
      </c>
      <c r="S1221" s="427">
        <v>10</v>
      </c>
      <c r="T1221" s="261">
        <v>6</v>
      </c>
      <c r="U1221" s="261">
        <v>6</v>
      </c>
      <c r="V1221" s="258" t="s">
        <v>1969</v>
      </c>
      <c r="W1221" s="261" t="str">
        <f t="shared" si="180"/>
        <v>BMW4 Series420i Gran Coupe M sport64300000</v>
      </c>
      <c r="X1221" s="411">
        <f t="shared" si="181"/>
        <v>4995</v>
      </c>
      <c r="Y1221" s="261">
        <v>6</v>
      </c>
      <c r="Z1221" s="261">
        <v>6</v>
      </c>
      <c r="AA1221" s="407" t="s">
        <v>1739</v>
      </c>
      <c r="AB1221" s="258" t="s">
        <v>73</v>
      </c>
      <c r="AC1221" s="258"/>
      <c r="AD1221" s="258"/>
      <c r="AE1221" s="258"/>
      <c r="AF1221" s="259"/>
      <c r="AG1221" s="260"/>
      <c r="AH1221" s="259"/>
      <c r="AI1221" s="259"/>
      <c r="AJ1221" s="260"/>
      <c r="AK1221" s="259">
        <v>7</v>
      </c>
      <c r="AL1221" s="259"/>
      <c r="AM1221" s="259" t="s">
        <v>3701</v>
      </c>
      <c r="AN1221" s="449"/>
      <c r="AO1221" s="449"/>
      <c r="AP1221" s="449"/>
      <c r="AQ1221" s="392" t="str">
        <f>IFERROR(VLOOKUP(BG1221,#REF!,1,0),"")</f>
        <v/>
      </c>
      <c r="AS1221" s="259" t="s">
        <v>3224</v>
      </c>
      <c r="AT1221" s="392" t="s">
        <v>3171</v>
      </c>
      <c r="AW1221" s="392" t="s">
        <v>3961</v>
      </c>
      <c r="AY1221" s="312"/>
      <c r="BD1221" s="202" t="str">
        <f t="shared" ref="BD1221:BD1284" si="182">K1221&amp;L1221</f>
        <v>4 Series420i Gran Coupe M sport</v>
      </c>
      <c r="BE1221" s="261" t="str">
        <f t="shared" si="179"/>
        <v>0199</v>
      </c>
      <c r="BF1221" s="407" t="s">
        <v>1739</v>
      </c>
      <c r="BG1221" s="202" t="str">
        <f t="shared" ref="BG1221:BG1284" si="183">BE1221&amp;"-"&amp;BF1221</f>
        <v>0199-1220</v>
      </c>
    </row>
    <row r="1222" spans="1:59">
      <c r="A1222" s="405">
        <v>4996</v>
      </c>
      <c r="B1222" s="406">
        <v>4996</v>
      </c>
      <c r="C1222" s="261" t="str">
        <f t="shared" ref="C1222:C1285" si="184">TEXT(F1222,"0000")&amp;"-"&amp;TEXT(G1222,"0000")</f>
        <v>0008-0199</v>
      </c>
      <c r="D1222" s="261" t="str">
        <f t="shared" ref="D1222:D1285" si="185">TEXT(F1222,"0000")&amp;"-"&amp;TEXT(G1222,"0000")&amp;"-"&amp;TEXT(H1222,"0000")</f>
        <v>0008-0199-0006</v>
      </c>
      <c r="E1222" s="407" t="s">
        <v>1740</v>
      </c>
      <c r="F1222" s="261" t="str">
        <f>TEXT(VLOOKUP(J1222,'[3]1'!$B$2:$D$37,2,0),"0000")</f>
        <v>0008</v>
      </c>
      <c r="G1222" s="261" t="str">
        <f t="shared" ref="G1222:G1285" si="186">IF(K1222=K1221,TEXT(G1221,"0000"),TEXT(G1221+1,"0000"))</f>
        <v>0199</v>
      </c>
      <c r="H1222" s="408">
        <f t="shared" ref="H1222:H1285" si="187">IF(F1222&amp;G1222=F1221&amp;G1221,H1221+1,1)</f>
        <v>6</v>
      </c>
      <c r="I1222" s="407" t="s">
        <v>1740</v>
      </c>
      <c r="J1222" s="258" t="s">
        <v>184</v>
      </c>
      <c r="K1222" s="258" t="s">
        <v>3750</v>
      </c>
      <c r="L1222" s="258" t="s">
        <v>3749</v>
      </c>
      <c r="M1222" s="409">
        <v>64300000</v>
      </c>
      <c r="N1222" s="426">
        <v>1998</v>
      </c>
      <c r="O1222" s="258" t="s">
        <v>77</v>
      </c>
      <c r="P1222" s="426" t="s">
        <v>73</v>
      </c>
      <c r="Q1222" s="258" t="s">
        <v>72</v>
      </c>
      <c r="R1222" s="426">
        <v>5</v>
      </c>
      <c r="S1222" s="427">
        <v>10</v>
      </c>
      <c r="T1222" s="261">
        <v>6</v>
      </c>
      <c r="U1222" s="261">
        <v>6</v>
      </c>
      <c r="V1222" s="258" t="s">
        <v>1969</v>
      </c>
      <c r="W1222" s="261" t="str">
        <f t="shared" si="180"/>
        <v>BMW4 Series420i Gran Coupe M sport 퍼포먼스 패키지64300000</v>
      </c>
      <c r="X1222" s="411">
        <f t="shared" si="181"/>
        <v>4996</v>
      </c>
      <c r="Y1222" s="261">
        <v>6</v>
      </c>
      <c r="Z1222" s="261">
        <v>6</v>
      </c>
      <c r="AA1222" s="407" t="s">
        <v>1740</v>
      </c>
      <c r="AB1222" s="258" t="s">
        <v>73</v>
      </c>
      <c r="AC1222" s="258"/>
      <c r="AD1222" s="258"/>
      <c r="AE1222" s="258"/>
      <c r="AF1222" s="259"/>
      <c r="AG1222" s="260"/>
      <c r="AH1222" s="259"/>
      <c r="AI1222" s="259"/>
      <c r="AJ1222" s="260"/>
      <c r="AK1222" s="259">
        <v>7</v>
      </c>
      <c r="AL1222" s="259"/>
      <c r="AM1222" s="259" t="s">
        <v>3701</v>
      </c>
      <c r="AN1222" s="449"/>
      <c r="AO1222" s="449"/>
      <c r="AP1222" s="449"/>
      <c r="AQ1222" s="392" t="str">
        <f>IFERROR(VLOOKUP(BG1222,#REF!,1,0),"")</f>
        <v/>
      </c>
      <c r="AS1222" s="259" t="s">
        <v>3224</v>
      </c>
      <c r="AT1222" s="392" t="s">
        <v>3171</v>
      </c>
      <c r="AW1222" s="392" t="s">
        <v>3961</v>
      </c>
      <c r="AY1222" s="312"/>
      <c r="BD1222" s="202" t="str">
        <f t="shared" si="182"/>
        <v>4 Series420i Gran Coupe M sport 퍼포먼스 패키지</v>
      </c>
      <c r="BE1222" s="261" t="str">
        <f t="shared" ref="BE1222:BE1285" si="188">IF(K1221=K1222,TEXT(G1221,"0000"),TEXT(G1221+1,"0000"))</f>
        <v>0199</v>
      </c>
      <c r="BF1222" s="407" t="s">
        <v>1740</v>
      </c>
      <c r="BG1222" s="202" t="str">
        <f t="shared" si="183"/>
        <v>0199-1221</v>
      </c>
    </row>
    <row r="1223" spans="1:59">
      <c r="A1223" s="405">
        <v>4997</v>
      </c>
      <c r="B1223" s="406">
        <v>4997</v>
      </c>
      <c r="C1223" s="261" t="str">
        <f t="shared" si="184"/>
        <v>0008-0199</v>
      </c>
      <c r="D1223" s="261" t="str">
        <f t="shared" si="185"/>
        <v>0008-0199-0007</v>
      </c>
      <c r="E1223" s="407" t="s">
        <v>1741</v>
      </c>
      <c r="F1223" s="261" t="str">
        <f>TEXT(VLOOKUP(J1223,'[3]1'!$B$2:$D$37,2,0),"0000")</f>
        <v>0008</v>
      </c>
      <c r="G1223" s="261" t="str">
        <f t="shared" si="186"/>
        <v>0199</v>
      </c>
      <c r="H1223" s="408">
        <f t="shared" si="187"/>
        <v>7</v>
      </c>
      <c r="I1223" s="407" t="s">
        <v>1741</v>
      </c>
      <c r="J1223" s="258" t="s">
        <v>184</v>
      </c>
      <c r="K1223" s="258" t="s">
        <v>3750</v>
      </c>
      <c r="L1223" s="258" t="s">
        <v>3101</v>
      </c>
      <c r="M1223" s="409">
        <v>67900000</v>
      </c>
      <c r="N1223" s="426">
        <v>1998</v>
      </c>
      <c r="O1223" s="258" t="s">
        <v>77</v>
      </c>
      <c r="P1223" s="426" t="s">
        <v>73</v>
      </c>
      <c r="Q1223" s="258" t="s">
        <v>72</v>
      </c>
      <c r="R1223" s="426">
        <v>4</v>
      </c>
      <c r="S1223" s="427">
        <v>10</v>
      </c>
      <c r="T1223" s="261">
        <v>6</v>
      </c>
      <c r="U1223" s="261">
        <v>6</v>
      </c>
      <c r="V1223" s="258" t="s">
        <v>3105</v>
      </c>
      <c r="W1223" s="261" t="str">
        <f t="shared" ref="W1223:W1286" si="189">J1223&amp;K1223&amp;L1223&amp;M1223</f>
        <v>BMW4 Series420i convertible M sport package67900000</v>
      </c>
      <c r="X1223" s="411">
        <f t="shared" ref="X1223:X1286" si="190">B1223</f>
        <v>4997</v>
      </c>
      <c r="Y1223" s="261">
        <v>6</v>
      </c>
      <c r="Z1223" s="261">
        <v>6</v>
      </c>
      <c r="AA1223" s="407" t="s">
        <v>1741</v>
      </c>
      <c r="AB1223" s="258" t="s">
        <v>73</v>
      </c>
      <c r="AC1223" s="258"/>
      <c r="AD1223" s="258">
        <v>7</v>
      </c>
      <c r="AE1223" s="258"/>
      <c r="AF1223" s="259"/>
      <c r="AG1223" s="260"/>
      <c r="AH1223" s="259"/>
      <c r="AI1223" s="259"/>
      <c r="AJ1223" s="260"/>
      <c r="AK1223" s="259">
        <v>7</v>
      </c>
      <c r="AL1223" s="259"/>
      <c r="AM1223" s="259" t="s">
        <v>3701</v>
      </c>
      <c r="AN1223" s="449"/>
      <c r="AO1223" s="449"/>
      <c r="AP1223" s="449"/>
      <c r="AQ1223" s="392" t="str">
        <f>IFERROR(VLOOKUP(BG1223,#REF!,1,0),"")</f>
        <v/>
      </c>
      <c r="AS1223" s="259" t="s">
        <v>3224</v>
      </c>
      <c r="AT1223" s="392" t="s">
        <v>3099</v>
      </c>
      <c r="AW1223" s="392" t="s">
        <v>3961</v>
      </c>
      <c r="AY1223" s="312"/>
      <c r="BD1223" s="202" t="str">
        <f t="shared" si="182"/>
        <v>4 Series420i convertible M sport package</v>
      </c>
      <c r="BE1223" s="261" t="str">
        <f t="shared" si="188"/>
        <v>0199</v>
      </c>
      <c r="BF1223" s="407" t="s">
        <v>1741</v>
      </c>
      <c r="BG1223" s="202" t="str">
        <f t="shared" si="183"/>
        <v>0199-1222</v>
      </c>
    </row>
    <row r="1224" spans="1:59">
      <c r="A1224" s="405">
        <v>4998</v>
      </c>
      <c r="B1224" s="406">
        <v>4998</v>
      </c>
      <c r="C1224" s="261" t="str">
        <f t="shared" si="184"/>
        <v>0008-0199</v>
      </c>
      <c r="D1224" s="261" t="str">
        <f t="shared" si="185"/>
        <v>0008-0199-0008</v>
      </c>
      <c r="E1224" s="407" t="s">
        <v>1742</v>
      </c>
      <c r="F1224" s="261" t="str">
        <f>TEXT(VLOOKUP(J1224,'[3]1'!$B$2:$D$37,2,0),"0000")</f>
        <v>0008</v>
      </c>
      <c r="G1224" s="261" t="str">
        <f t="shared" si="186"/>
        <v>0199</v>
      </c>
      <c r="H1224" s="408">
        <f t="shared" si="187"/>
        <v>8</v>
      </c>
      <c r="I1224" s="407" t="s">
        <v>1742</v>
      </c>
      <c r="J1224" s="258" t="s">
        <v>184</v>
      </c>
      <c r="K1224" s="258" t="s">
        <v>3750</v>
      </c>
      <c r="L1224" s="267" t="s">
        <v>3707</v>
      </c>
      <c r="M1224" s="409">
        <v>90000000</v>
      </c>
      <c r="N1224" s="267">
        <v>2998</v>
      </c>
      <c r="O1224" s="258" t="s">
        <v>77</v>
      </c>
      <c r="P1224" s="267" t="s">
        <v>73</v>
      </c>
      <c r="Q1224" s="267" t="s">
        <v>72</v>
      </c>
      <c r="R1224" s="267">
        <v>4</v>
      </c>
      <c r="S1224" s="410">
        <v>10</v>
      </c>
      <c r="T1224" s="261">
        <v>6</v>
      </c>
      <c r="U1224" s="261">
        <v>6</v>
      </c>
      <c r="V1224" s="267" t="s">
        <v>3105</v>
      </c>
      <c r="W1224" s="261" t="str">
        <f t="shared" si="189"/>
        <v>BMW4 SeriesM440i xDrive Convertible90000000</v>
      </c>
      <c r="X1224" s="411">
        <f t="shared" si="190"/>
        <v>4998</v>
      </c>
      <c r="Y1224" s="261">
        <v>6</v>
      </c>
      <c r="Z1224" s="261">
        <v>6</v>
      </c>
      <c r="AA1224" s="407" t="s">
        <v>1742</v>
      </c>
      <c r="AB1224" s="258" t="s">
        <v>73</v>
      </c>
      <c r="AC1224" s="267"/>
      <c r="AD1224" s="267">
        <v>7</v>
      </c>
      <c r="AE1224" s="267"/>
      <c r="AF1224" s="270"/>
      <c r="AG1224" s="307"/>
      <c r="AH1224" s="270"/>
      <c r="AI1224" s="270"/>
      <c r="AJ1224" s="307"/>
      <c r="AK1224" s="259">
        <v>14</v>
      </c>
      <c r="AL1224" s="259"/>
      <c r="AM1224" s="259" t="s">
        <v>3728</v>
      </c>
      <c r="AN1224" s="449"/>
      <c r="AO1224" s="449"/>
      <c r="AP1224" s="449"/>
      <c r="AQ1224" s="392" t="str">
        <f>IFERROR(VLOOKUP(BG1224,#REF!,1,0),"")</f>
        <v/>
      </c>
      <c r="AS1224" s="259" t="s">
        <v>3355</v>
      </c>
      <c r="AT1224" s="392" t="s">
        <v>3099</v>
      </c>
      <c r="AW1224" s="392" t="s">
        <v>3961</v>
      </c>
      <c r="AX1224" s="392">
        <v>2024.02</v>
      </c>
      <c r="AY1224" s="312"/>
      <c r="AZ1224" s="202" t="e">
        <f>VLOOKUP(#REF!,잔가군!$B:$C,2,0)</f>
        <v>#REF!</v>
      </c>
      <c r="BA1224" s="202" t="e">
        <f>S1224-#REF!</f>
        <v>#REF!</v>
      </c>
      <c r="BB1224" s="202" t="s">
        <v>3359</v>
      </c>
      <c r="BD1224" s="202" t="str">
        <f t="shared" si="182"/>
        <v>4 SeriesM440i xDrive Convertible</v>
      </c>
      <c r="BE1224" s="261" t="str">
        <f t="shared" si="188"/>
        <v>0199</v>
      </c>
      <c r="BF1224" s="407" t="s">
        <v>1742</v>
      </c>
      <c r="BG1224" s="202" t="str">
        <f t="shared" si="183"/>
        <v>0199-1223</v>
      </c>
    </row>
    <row r="1225" spans="1:59">
      <c r="A1225" s="405">
        <v>4999</v>
      </c>
      <c r="B1225" s="406">
        <v>4999</v>
      </c>
      <c r="C1225" s="261" t="str">
        <f t="shared" si="184"/>
        <v>0008-0200</v>
      </c>
      <c r="D1225" s="261" t="str">
        <f t="shared" si="185"/>
        <v>0008-0200-0001</v>
      </c>
      <c r="E1225" s="407" t="s">
        <v>1743</v>
      </c>
      <c r="F1225" s="261" t="str">
        <f>TEXT(VLOOKUP(J1225,'[3]1'!$B$2:$D$37,2,0),"0000")</f>
        <v>0008</v>
      </c>
      <c r="G1225" s="261" t="str">
        <f t="shared" si="186"/>
        <v>0200</v>
      </c>
      <c r="H1225" s="408">
        <f t="shared" si="187"/>
        <v>1</v>
      </c>
      <c r="I1225" s="407" t="s">
        <v>1743</v>
      </c>
      <c r="J1225" s="417" t="s">
        <v>184</v>
      </c>
      <c r="K1225" s="417" t="s">
        <v>191</v>
      </c>
      <c r="L1225" s="417" t="s">
        <v>2826</v>
      </c>
      <c r="M1225" s="429">
        <v>71100000</v>
      </c>
      <c r="N1225" s="419">
        <v>1995</v>
      </c>
      <c r="O1225" s="417" t="s">
        <v>78</v>
      </c>
      <c r="P1225" s="417" t="s">
        <v>73</v>
      </c>
      <c r="Q1225" s="417" t="s">
        <v>72</v>
      </c>
      <c r="R1225" s="419">
        <v>5</v>
      </c>
      <c r="S1225" s="410">
        <v>1</v>
      </c>
      <c r="T1225" s="261">
        <v>6</v>
      </c>
      <c r="U1225" s="261">
        <v>6</v>
      </c>
      <c r="V1225" s="258" t="s">
        <v>71</v>
      </c>
      <c r="W1225" s="261" t="str">
        <f t="shared" si="189"/>
        <v>BMW5 Series Sedan523d Luxury71100000</v>
      </c>
      <c r="X1225" s="411">
        <f t="shared" si="190"/>
        <v>4999</v>
      </c>
      <c r="Y1225" s="261">
        <v>6</v>
      </c>
      <c r="Z1225" s="261">
        <v>6</v>
      </c>
      <c r="AA1225" s="407" t="s">
        <v>1743</v>
      </c>
      <c r="AB1225" s="258" t="s">
        <v>73</v>
      </c>
      <c r="AC1225" s="258"/>
      <c r="AD1225" s="258">
        <v>2</v>
      </c>
      <c r="AE1225" s="258">
        <v>2</v>
      </c>
      <c r="AF1225" s="259"/>
      <c r="AG1225" s="260"/>
      <c r="AH1225" s="259"/>
      <c r="AI1225" s="259"/>
      <c r="AJ1225" s="260"/>
      <c r="AK1225" s="259">
        <v>4</v>
      </c>
      <c r="AL1225" s="259"/>
      <c r="AM1225" s="259" t="s">
        <v>3957</v>
      </c>
      <c r="AN1225" s="449"/>
      <c r="AO1225" s="449"/>
      <c r="AP1225" s="449"/>
      <c r="AQ1225" s="392" t="str">
        <f>IFERROR(VLOOKUP(BG1225,#REF!,1,0),"")</f>
        <v/>
      </c>
      <c r="AS1225" s="259" t="s">
        <v>3189</v>
      </c>
      <c r="AW1225" s="392" t="s">
        <v>3958</v>
      </c>
      <c r="BD1225" s="202" t="str">
        <f t="shared" si="182"/>
        <v>5 Series Sedan523d Luxury</v>
      </c>
      <c r="BE1225" s="261" t="str">
        <f t="shared" si="188"/>
        <v>0200</v>
      </c>
      <c r="BF1225" s="407" t="s">
        <v>1743</v>
      </c>
      <c r="BG1225" s="202" t="str">
        <f t="shared" si="183"/>
        <v>0200-1224</v>
      </c>
    </row>
    <row r="1226" spans="1:59">
      <c r="A1226" s="405">
        <v>5000</v>
      </c>
      <c r="B1226" s="406">
        <v>5000</v>
      </c>
      <c r="C1226" s="261" t="str">
        <f t="shared" si="184"/>
        <v>0008-0200</v>
      </c>
      <c r="D1226" s="261" t="str">
        <f t="shared" si="185"/>
        <v>0008-0200-0002</v>
      </c>
      <c r="E1226" s="407" t="s">
        <v>1744</v>
      </c>
      <c r="F1226" s="261" t="str">
        <f>TEXT(VLOOKUP(J1226,'[3]1'!$B$2:$D$37,2,0),"0000")</f>
        <v>0008</v>
      </c>
      <c r="G1226" s="261" t="str">
        <f t="shared" si="186"/>
        <v>0200</v>
      </c>
      <c r="H1226" s="408">
        <f t="shared" si="187"/>
        <v>2</v>
      </c>
      <c r="I1226" s="407" t="s">
        <v>1744</v>
      </c>
      <c r="J1226" s="417" t="s">
        <v>184</v>
      </c>
      <c r="K1226" s="417" t="s">
        <v>191</v>
      </c>
      <c r="L1226" s="417" t="s">
        <v>2828</v>
      </c>
      <c r="M1226" s="429">
        <v>74600000</v>
      </c>
      <c r="N1226" s="419">
        <v>1995</v>
      </c>
      <c r="O1226" s="417" t="s">
        <v>78</v>
      </c>
      <c r="P1226" s="417" t="s">
        <v>73</v>
      </c>
      <c r="Q1226" s="417" t="s">
        <v>72</v>
      </c>
      <c r="R1226" s="419">
        <v>5</v>
      </c>
      <c r="S1226" s="410">
        <v>1</v>
      </c>
      <c r="T1226" s="261">
        <v>6</v>
      </c>
      <c r="U1226" s="261">
        <v>6</v>
      </c>
      <c r="V1226" s="258" t="s">
        <v>71</v>
      </c>
      <c r="W1226" s="261" t="str">
        <f t="shared" si="189"/>
        <v>BMW5 Series Sedan523d xDrive Luxury74600000</v>
      </c>
      <c r="X1226" s="411">
        <f t="shared" si="190"/>
        <v>5000</v>
      </c>
      <c r="Y1226" s="261">
        <v>6</v>
      </c>
      <c r="Z1226" s="261">
        <v>6</v>
      </c>
      <c r="AA1226" s="407" t="s">
        <v>1744</v>
      </c>
      <c r="AB1226" s="258" t="s">
        <v>73</v>
      </c>
      <c r="AC1226" s="258"/>
      <c r="AD1226" s="258">
        <v>2</v>
      </c>
      <c r="AE1226" s="258">
        <v>2</v>
      </c>
      <c r="AF1226" s="259"/>
      <c r="AG1226" s="260"/>
      <c r="AH1226" s="259"/>
      <c r="AI1226" s="259"/>
      <c r="AJ1226" s="260"/>
      <c r="AK1226" s="259">
        <v>4</v>
      </c>
      <c r="AL1226" s="259"/>
      <c r="AM1226" s="259" t="s">
        <v>3957</v>
      </c>
      <c r="AN1226" s="449"/>
      <c r="AO1226" s="449"/>
      <c r="AP1226" s="449"/>
      <c r="AQ1226" s="392" t="str">
        <f>IFERROR(VLOOKUP(BG1226,#REF!,1,0),"")</f>
        <v/>
      </c>
      <c r="AS1226" s="259" t="s">
        <v>3189</v>
      </c>
      <c r="AW1226" s="392" t="s">
        <v>3958</v>
      </c>
      <c r="BD1226" s="202" t="str">
        <f t="shared" si="182"/>
        <v>5 Series Sedan523d xDrive Luxury</v>
      </c>
      <c r="BE1226" s="261" t="str">
        <f t="shared" si="188"/>
        <v>0200</v>
      </c>
      <c r="BF1226" s="407" t="s">
        <v>1744</v>
      </c>
      <c r="BG1226" s="202" t="str">
        <f t="shared" si="183"/>
        <v>0200-1225</v>
      </c>
    </row>
    <row r="1227" spans="1:59">
      <c r="A1227" s="405">
        <v>5001</v>
      </c>
      <c r="B1227" s="406">
        <v>5001</v>
      </c>
      <c r="C1227" s="261" t="str">
        <f t="shared" si="184"/>
        <v>0008-0200</v>
      </c>
      <c r="D1227" s="261" t="str">
        <f t="shared" si="185"/>
        <v>0008-0200-0003</v>
      </c>
      <c r="E1227" s="407" t="s">
        <v>1745</v>
      </c>
      <c r="F1227" s="261" t="str">
        <f>TEXT(VLOOKUP(J1227,'[3]1'!$B$2:$D$37,2,0),"0000")</f>
        <v>0008</v>
      </c>
      <c r="G1227" s="261" t="str">
        <f t="shared" si="186"/>
        <v>0200</v>
      </c>
      <c r="H1227" s="408">
        <f t="shared" si="187"/>
        <v>3</v>
      </c>
      <c r="I1227" s="407" t="s">
        <v>1745</v>
      </c>
      <c r="J1227" s="417" t="s">
        <v>184</v>
      </c>
      <c r="K1227" s="417" t="s">
        <v>191</v>
      </c>
      <c r="L1227" s="417" t="s">
        <v>2827</v>
      </c>
      <c r="M1227" s="429">
        <v>75700000</v>
      </c>
      <c r="N1227" s="419">
        <v>1995</v>
      </c>
      <c r="O1227" s="417" t="s">
        <v>78</v>
      </c>
      <c r="P1227" s="417" t="s">
        <v>73</v>
      </c>
      <c r="Q1227" s="417" t="s">
        <v>72</v>
      </c>
      <c r="R1227" s="419">
        <v>5</v>
      </c>
      <c r="S1227" s="410">
        <v>1</v>
      </c>
      <c r="T1227" s="261">
        <v>6</v>
      </c>
      <c r="U1227" s="261">
        <v>6</v>
      </c>
      <c r="V1227" s="258" t="s">
        <v>71</v>
      </c>
      <c r="W1227" s="261" t="str">
        <f t="shared" si="189"/>
        <v>BMW5 Series Sedan523d M Sport Pack75700000</v>
      </c>
      <c r="X1227" s="411">
        <f t="shared" si="190"/>
        <v>5001</v>
      </c>
      <c r="Y1227" s="261">
        <v>6</v>
      </c>
      <c r="Z1227" s="261">
        <v>6</v>
      </c>
      <c r="AA1227" s="407" t="s">
        <v>1745</v>
      </c>
      <c r="AB1227" s="258" t="s">
        <v>73</v>
      </c>
      <c r="AC1227" s="258"/>
      <c r="AD1227" s="258">
        <v>2</v>
      </c>
      <c r="AE1227" s="258">
        <v>2</v>
      </c>
      <c r="AF1227" s="259"/>
      <c r="AG1227" s="260"/>
      <c r="AH1227" s="259"/>
      <c r="AI1227" s="259"/>
      <c r="AJ1227" s="260"/>
      <c r="AK1227" s="259">
        <v>4</v>
      </c>
      <c r="AL1227" s="259"/>
      <c r="AM1227" s="259" t="s">
        <v>3957</v>
      </c>
      <c r="AN1227" s="449"/>
      <c r="AO1227" s="449"/>
      <c r="AP1227" s="449"/>
      <c r="AQ1227" s="392" t="str">
        <f>IFERROR(VLOOKUP(BG1227,#REF!,1,0),"")</f>
        <v/>
      </c>
      <c r="AS1227" s="259" t="s">
        <v>3189</v>
      </c>
      <c r="AW1227" s="392" t="s">
        <v>3958</v>
      </c>
      <c r="BD1227" s="202" t="str">
        <f t="shared" si="182"/>
        <v>5 Series Sedan523d M Sport Pack</v>
      </c>
      <c r="BE1227" s="261" t="str">
        <f t="shared" si="188"/>
        <v>0200</v>
      </c>
      <c r="BF1227" s="407" t="s">
        <v>1745</v>
      </c>
      <c r="BG1227" s="202" t="str">
        <f t="shared" si="183"/>
        <v>0200-1226</v>
      </c>
    </row>
    <row r="1228" spans="1:59">
      <c r="A1228" s="405">
        <v>5002</v>
      </c>
      <c r="B1228" s="406">
        <v>5002</v>
      </c>
      <c r="C1228" s="261" t="str">
        <f t="shared" si="184"/>
        <v>0008-0200</v>
      </c>
      <c r="D1228" s="261" t="str">
        <f t="shared" si="185"/>
        <v>0008-0200-0004</v>
      </c>
      <c r="E1228" s="407" t="s">
        <v>1746</v>
      </c>
      <c r="F1228" s="261" t="str">
        <f>TEXT(VLOOKUP(J1228,'[3]1'!$B$2:$D$37,2,0),"0000")</f>
        <v>0008</v>
      </c>
      <c r="G1228" s="261" t="str">
        <f t="shared" si="186"/>
        <v>0200</v>
      </c>
      <c r="H1228" s="408">
        <f t="shared" si="187"/>
        <v>4</v>
      </c>
      <c r="I1228" s="407" t="s">
        <v>1746</v>
      </c>
      <c r="J1228" s="417" t="s">
        <v>184</v>
      </c>
      <c r="K1228" s="417" t="s">
        <v>191</v>
      </c>
      <c r="L1228" s="417" t="s">
        <v>2829</v>
      </c>
      <c r="M1228" s="429">
        <v>79200000</v>
      </c>
      <c r="N1228" s="419">
        <v>1995</v>
      </c>
      <c r="O1228" s="417" t="s">
        <v>78</v>
      </c>
      <c r="P1228" s="417" t="s">
        <v>73</v>
      </c>
      <c r="Q1228" s="417" t="s">
        <v>72</v>
      </c>
      <c r="R1228" s="419">
        <v>5</v>
      </c>
      <c r="S1228" s="410">
        <v>1</v>
      </c>
      <c r="T1228" s="261">
        <v>6</v>
      </c>
      <c r="U1228" s="261">
        <v>6</v>
      </c>
      <c r="V1228" s="258" t="s">
        <v>71</v>
      </c>
      <c r="W1228" s="261" t="str">
        <f t="shared" si="189"/>
        <v>BMW5 Series Sedan523d xDrive M Sport Pack79200000</v>
      </c>
      <c r="X1228" s="411">
        <f t="shared" si="190"/>
        <v>5002</v>
      </c>
      <c r="Y1228" s="261">
        <v>6</v>
      </c>
      <c r="Z1228" s="261">
        <v>6</v>
      </c>
      <c r="AA1228" s="407" t="s">
        <v>1746</v>
      </c>
      <c r="AB1228" s="258" t="s">
        <v>73</v>
      </c>
      <c r="AC1228" s="258"/>
      <c r="AD1228" s="258">
        <v>2</v>
      </c>
      <c r="AE1228" s="258">
        <v>2</v>
      </c>
      <c r="AF1228" s="259"/>
      <c r="AG1228" s="260"/>
      <c r="AH1228" s="259"/>
      <c r="AI1228" s="259"/>
      <c r="AJ1228" s="260"/>
      <c r="AK1228" s="259">
        <v>4</v>
      </c>
      <c r="AL1228" s="259"/>
      <c r="AM1228" s="259" t="s">
        <v>3957</v>
      </c>
      <c r="AN1228" s="449"/>
      <c r="AO1228" s="449"/>
      <c r="AP1228" s="449"/>
      <c r="AQ1228" s="392" t="str">
        <f>IFERROR(VLOOKUP(BG1228,#REF!,1,0),"")</f>
        <v/>
      </c>
      <c r="AS1228" s="259" t="s">
        <v>3189</v>
      </c>
      <c r="AW1228" s="392" t="s">
        <v>3958</v>
      </c>
      <c r="BD1228" s="202" t="str">
        <f t="shared" si="182"/>
        <v>5 Series Sedan523d xDrive M Sport Pack</v>
      </c>
      <c r="BE1228" s="261" t="str">
        <f t="shared" si="188"/>
        <v>0200</v>
      </c>
      <c r="BF1228" s="407" t="s">
        <v>1746</v>
      </c>
      <c r="BG1228" s="202" t="str">
        <f t="shared" si="183"/>
        <v>0200-1227</v>
      </c>
    </row>
    <row r="1229" spans="1:59">
      <c r="A1229" s="405">
        <v>5003</v>
      </c>
      <c r="B1229" s="406">
        <v>5003</v>
      </c>
      <c r="C1229" s="261" t="str">
        <f t="shared" si="184"/>
        <v>0008-0200</v>
      </c>
      <c r="D1229" s="261" t="str">
        <f t="shared" si="185"/>
        <v>0008-0200-0005</v>
      </c>
      <c r="E1229" s="407" t="s">
        <v>1747</v>
      </c>
      <c r="F1229" s="261" t="str">
        <f>TEXT(VLOOKUP(J1229,'[3]1'!$B$2:$D$37,2,0),"0000")</f>
        <v>0008</v>
      </c>
      <c r="G1229" s="261" t="str">
        <f t="shared" si="186"/>
        <v>0200</v>
      </c>
      <c r="H1229" s="408">
        <f t="shared" si="187"/>
        <v>5</v>
      </c>
      <c r="I1229" s="407" t="s">
        <v>1747</v>
      </c>
      <c r="J1229" s="258" t="s">
        <v>184</v>
      </c>
      <c r="K1229" s="258" t="s">
        <v>191</v>
      </c>
      <c r="L1229" s="258" t="s">
        <v>2040</v>
      </c>
      <c r="M1229" s="429">
        <v>65800000</v>
      </c>
      <c r="N1229" s="258">
        <v>1998</v>
      </c>
      <c r="O1229" s="258" t="s">
        <v>77</v>
      </c>
      <c r="P1229" s="258" t="s">
        <v>73</v>
      </c>
      <c r="Q1229" s="258" t="s">
        <v>72</v>
      </c>
      <c r="R1229" s="258">
        <v>5</v>
      </c>
      <c r="S1229" s="410">
        <v>3</v>
      </c>
      <c r="T1229" s="261">
        <v>6</v>
      </c>
      <c r="U1229" s="261">
        <v>6</v>
      </c>
      <c r="V1229" s="258" t="s">
        <v>71</v>
      </c>
      <c r="W1229" s="261" t="str">
        <f t="shared" si="189"/>
        <v>BMW5 Series Sedan520i M Sport65800000</v>
      </c>
      <c r="X1229" s="411">
        <f t="shared" si="190"/>
        <v>5003</v>
      </c>
      <c r="Y1229" s="261">
        <v>6</v>
      </c>
      <c r="Z1229" s="261">
        <v>6</v>
      </c>
      <c r="AA1229" s="407" t="s">
        <v>1747</v>
      </c>
      <c r="AB1229" s="258" t="s">
        <v>73</v>
      </c>
      <c r="AC1229" s="258"/>
      <c r="AD1229" s="258">
        <v>2</v>
      </c>
      <c r="AE1229" s="258">
        <v>0</v>
      </c>
      <c r="AF1229" s="259"/>
      <c r="AG1229" s="260"/>
      <c r="AH1229" s="259"/>
      <c r="AI1229" s="259"/>
      <c r="AJ1229" s="260"/>
      <c r="AK1229" s="259">
        <v>4</v>
      </c>
      <c r="AL1229" s="259"/>
      <c r="AM1229" s="259" t="s">
        <v>3957</v>
      </c>
      <c r="AN1229" s="449"/>
      <c r="AO1229" s="449"/>
      <c r="AP1229" s="449"/>
      <c r="AQ1229" s="392" t="str">
        <f>IFERROR(VLOOKUP(BG1229,#REF!,1,0),"")</f>
        <v/>
      </c>
      <c r="AS1229" s="259" t="s">
        <v>3237</v>
      </c>
      <c r="AW1229" s="392" t="s">
        <v>3958</v>
      </c>
      <c r="BD1229" s="202" t="str">
        <f t="shared" si="182"/>
        <v>5 Series Sedan520i M Sport</v>
      </c>
      <c r="BE1229" s="261" t="str">
        <f t="shared" si="188"/>
        <v>0200</v>
      </c>
      <c r="BF1229" s="407" t="s">
        <v>1747</v>
      </c>
      <c r="BG1229" s="202" t="str">
        <f t="shared" si="183"/>
        <v>0200-1228</v>
      </c>
    </row>
    <row r="1230" spans="1:59">
      <c r="A1230" s="405">
        <v>5004</v>
      </c>
      <c r="B1230" s="406">
        <v>5004</v>
      </c>
      <c r="C1230" s="261" t="str">
        <f t="shared" si="184"/>
        <v>0008-0200</v>
      </c>
      <c r="D1230" s="261" t="str">
        <f t="shared" si="185"/>
        <v>0008-0200-0006</v>
      </c>
      <c r="E1230" s="407" t="s">
        <v>1748</v>
      </c>
      <c r="F1230" s="261" t="str">
        <f>TEXT(VLOOKUP(J1230,'[3]1'!$B$2:$D$37,2,0),"0000")</f>
        <v>0008</v>
      </c>
      <c r="G1230" s="261" t="str">
        <f t="shared" si="186"/>
        <v>0200</v>
      </c>
      <c r="H1230" s="408">
        <f t="shared" si="187"/>
        <v>6</v>
      </c>
      <c r="I1230" s="407" t="s">
        <v>1748</v>
      </c>
      <c r="J1230" s="258" t="s">
        <v>184</v>
      </c>
      <c r="K1230" s="258" t="s">
        <v>191</v>
      </c>
      <c r="L1230" s="258" t="s">
        <v>1272</v>
      </c>
      <c r="M1230" s="429">
        <v>64300000</v>
      </c>
      <c r="N1230" s="258">
        <v>1998</v>
      </c>
      <c r="O1230" s="258" t="s">
        <v>77</v>
      </c>
      <c r="P1230" s="258" t="s">
        <v>73</v>
      </c>
      <c r="Q1230" s="258" t="s">
        <v>72</v>
      </c>
      <c r="R1230" s="258">
        <v>5</v>
      </c>
      <c r="S1230" s="410">
        <v>3</v>
      </c>
      <c r="T1230" s="261">
        <v>6</v>
      </c>
      <c r="U1230" s="261">
        <v>6</v>
      </c>
      <c r="V1230" s="258" t="s">
        <v>71</v>
      </c>
      <c r="W1230" s="261" t="str">
        <f t="shared" si="189"/>
        <v>BMW5 Series Sedan520i Luxury64300000</v>
      </c>
      <c r="X1230" s="411">
        <f t="shared" si="190"/>
        <v>5004</v>
      </c>
      <c r="Y1230" s="261">
        <v>6</v>
      </c>
      <c r="Z1230" s="261">
        <v>6</v>
      </c>
      <c r="AA1230" s="407" t="s">
        <v>1748</v>
      </c>
      <c r="AB1230" s="258" t="s">
        <v>73</v>
      </c>
      <c r="AC1230" s="258"/>
      <c r="AD1230" s="258">
        <v>2</v>
      </c>
      <c r="AE1230" s="258">
        <v>0</v>
      </c>
      <c r="AF1230" s="259"/>
      <c r="AG1230" s="260"/>
      <c r="AH1230" s="259"/>
      <c r="AI1230" s="259"/>
      <c r="AJ1230" s="260"/>
      <c r="AK1230" s="259">
        <v>4</v>
      </c>
      <c r="AL1230" s="259"/>
      <c r="AM1230" s="259" t="s">
        <v>3957</v>
      </c>
      <c r="AN1230" s="449"/>
      <c r="AO1230" s="449"/>
      <c r="AP1230" s="449"/>
      <c r="AQ1230" s="392" t="str">
        <f>IFERROR(VLOOKUP(BG1230,#REF!,1,0),"")</f>
        <v/>
      </c>
      <c r="AS1230" s="259" t="s">
        <v>3237</v>
      </c>
      <c r="AW1230" s="392" t="s">
        <v>3958</v>
      </c>
      <c r="BD1230" s="202" t="str">
        <f t="shared" si="182"/>
        <v>5 Series Sedan520i Luxury</v>
      </c>
      <c r="BE1230" s="261" t="str">
        <f t="shared" si="188"/>
        <v>0200</v>
      </c>
      <c r="BF1230" s="407" t="s">
        <v>1748</v>
      </c>
      <c r="BG1230" s="202" t="str">
        <f t="shared" si="183"/>
        <v>0200-1229</v>
      </c>
    </row>
    <row r="1231" spans="1:59" s="209" customFormat="1">
      <c r="A1231" s="405">
        <v>5005</v>
      </c>
      <c r="B1231" s="406">
        <v>5005</v>
      </c>
      <c r="C1231" s="261" t="str">
        <f t="shared" si="184"/>
        <v>0008-0200</v>
      </c>
      <c r="D1231" s="261" t="str">
        <f t="shared" si="185"/>
        <v>0008-0200-0007</v>
      </c>
      <c r="E1231" s="407" t="s">
        <v>1749</v>
      </c>
      <c r="F1231" s="261" t="str">
        <f>TEXT(VLOOKUP(J1231,'[3]1'!$B$2:$D$37,2,0),"0000")</f>
        <v>0008</v>
      </c>
      <c r="G1231" s="261" t="str">
        <f t="shared" si="186"/>
        <v>0200</v>
      </c>
      <c r="H1231" s="408">
        <f t="shared" si="187"/>
        <v>7</v>
      </c>
      <c r="I1231" s="407" t="s">
        <v>1749</v>
      </c>
      <c r="J1231" s="258" t="s">
        <v>184</v>
      </c>
      <c r="K1231" s="258" t="s">
        <v>191</v>
      </c>
      <c r="L1231" s="258" t="s">
        <v>1321</v>
      </c>
      <c r="M1231" s="429">
        <v>72700000</v>
      </c>
      <c r="N1231" s="258">
        <v>1998</v>
      </c>
      <c r="O1231" s="258" t="s">
        <v>77</v>
      </c>
      <c r="P1231" s="258" t="s">
        <v>73</v>
      </c>
      <c r="Q1231" s="258" t="s">
        <v>72</v>
      </c>
      <c r="R1231" s="258">
        <v>5</v>
      </c>
      <c r="S1231" s="410">
        <v>3</v>
      </c>
      <c r="T1231" s="261">
        <v>6</v>
      </c>
      <c r="U1231" s="261">
        <v>6</v>
      </c>
      <c r="V1231" s="258" t="s">
        <v>71</v>
      </c>
      <c r="W1231" s="261" t="str">
        <f t="shared" si="189"/>
        <v>BMW5 Series Sedan530i Luxury Line Plus72700000</v>
      </c>
      <c r="X1231" s="411">
        <f t="shared" si="190"/>
        <v>5005</v>
      </c>
      <c r="Y1231" s="261">
        <v>6</v>
      </c>
      <c r="Z1231" s="261">
        <v>6</v>
      </c>
      <c r="AA1231" s="407" t="s">
        <v>1749</v>
      </c>
      <c r="AB1231" s="258" t="s">
        <v>73</v>
      </c>
      <c r="AC1231" s="258"/>
      <c r="AD1231" s="258">
        <v>3</v>
      </c>
      <c r="AE1231" s="258">
        <v>1</v>
      </c>
      <c r="AF1231" s="259"/>
      <c r="AG1231" s="260"/>
      <c r="AH1231" s="259"/>
      <c r="AI1231" s="259"/>
      <c r="AJ1231" s="260"/>
      <c r="AK1231" s="259">
        <v>4</v>
      </c>
      <c r="AL1231" s="259"/>
      <c r="AM1231" s="259" t="s">
        <v>3957</v>
      </c>
      <c r="AN1231" s="449"/>
      <c r="AO1231" s="449"/>
      <c r="AP1231" s="449"/>
      <c r="AQ1231" s="392" t="str">
        <f>IFERROR(VLOOKUP(BG1231,#REF!,1,0),"")</f>
        <v/>
      </c>
      <c r="AR1231" s="392"/>
      <c r="AS1231" s="259" t="s">
        <v>3237</v>
      </c>
      <c r="AT1231" s="392"/>
      <c r="AU1231" s="392"/>
      <c r="AV1231" s="392"/>
      <c r="AW1231" s="392" t="s">
        <v>3958</v>
      </c>
      <c r="AX1231" s="392"/>
      <c r="AY1231" s="392"/>
      <c r="BD1231" s="202" t="str">
        <f t="shared" si="182"/>
        <v>5 Series Sedan530i Luxury Line Plus</v>
      </c>
      <c r="BE1231" s="261" t="str">
        <f t="shared" si="188"/>
        <v>0200</v>
      </c>
      <c r="BF1231" s="407" t="s">
        <v>1749</v>
      </c>
      <c r="BG1231" s="202" t="str">
        <f t="shared" si="183"/>
        <v>0200-1230</v>
      </c>
    </row>
    <row r="1232" spans="1:59" s="209" customFormat="1">
      <c r="A1232" s="405">
        <v>5006</v>
      </c>
      <c r="B1232" s="406">
        <v>5006</v>
      </c>
      <c r="C1232" s="261" t="str">
        <f t="shared" si="184"/>
        <v>0008-0200</v>
      </c>
      <c r="D1232" s="261" t="str">
        <f t="shared" si="185"/>
        <v>0008-0200-0008</v>
      </c>
      <c r="E1232" s="407" t="s">
        <v>1750</v>
      </c>
      <c r="F1232" s="261" t="str">
        <f>TEXT(VLOOKUP(J1232,'[3]1'!$B$2:$D$37,2,0),"0000")</f>
        <v>0008</v>
      </c>
      <c r="G1232" s="261" t="str">
        <f t="shared" si="186"/>
        <v>0200</v>
      </c>
      <c r="H1232" s="408">
        <f t="shared" si="187"/>
        <v>8</v>
      </c>
      <c r="I1232" s="407" t="s">
        <v>1750</v>
      </c>
      <c r="J1232" s="258" t="s">
        <v>184</v>
      </c>
      <c r="K1232" s="258" t="s">
        <v>191</v>
      </c>
      <c r="L1232" s="258" t="s">
        <v>1322</v>
      </c>
      <c r="M1232" s="429">
        <v>76900000</v>
      </c>
      <c r="N1232" s="258">
        <v>1998</v>
      </c>
      <c r="O1232" s="258" t="s">
        <v>77</v>
      </c>
      <c r="P1232" s="258" t="s">
        <v>73</v>
      </c>
      <c r="Q1232" s="258" t="s">
        <v>72</v>
      </c>
      <c r="R1232" s="258">
        <v>5</v>
      </c>
      <c r="S1232" s="410">
        <v>3</v>
      </c>
      <c r="T1232" s="261">
        <v>6</v>
      </c>
      <c r="U1232" s="261">
        <v>6</v>
      </c>
      <c r="V1232" s="258" t="s">
        <v>71</v>
      </c>
      <c r="W1232" s="261" t="str">
        <f t="shared" si="189"/>
        <v>BMW5 Series Sedan530i M Sport Package Plus76900000</v>
      </c>
      <c r="X1232" s="411">
        <f t="shared" si="190"/>
        <v>5006</v>
      </c>
      <c r="Y1232" s="261">
        <v>6</v>
      </c>
      <c r="Z1232" s="261">
        <v>6</v>
      </c>
      <c r="AA1232" s="407" t="s">
        <v>1750</v>
      </c>
      <c r="AB1232" s="258" t="s">
        <v>73</v>
      </c>
      <c r="AC1232" s="258"/>
      <c r="AD1232" s="258">
        <v>3</v>
      </c>
      <c r="AE1232" s="258">
        <v>1</v>
      </c>
      <c r="AF1232" s="259"/>
      <c r="AG1232" s="260"/>
      <c r="AH1232" s="259"/>
      <c r="AI1232" s="259"/>
      <c r="AJ1232" s="260"/>
      <c r="AK1232" s="259">
        <v>4</v>
      </c>
      <c r="AL1232" s="259"/>
      <c r="AM1232" s="259" t="s">
        <v>3957</v>
      </c>
      <c r="AN1232" s="449"/>
      <c r="AO1232" s="449"/>
      <c r="AP1232" s="449"/>
      <c r="AQ1232" s="392" t="str">
        <f>IFERROR(VLOOKUP(BG1232,#REF!,1,0),"")</f>
        <v/>
      </c>
      <c r="AR1232" s="392"/>
      <c r="AS1232" s="259" t="s">
        <v>3237</v>
      </c>
      <c r="AT1232" s="392"/>
      <c r="AU1232" s="392"/>
      <c r="AV1232" s="392"/>
      <c r="AW1232" s="392" t="s">
        <v>3958</v>
      </c>
      <c r="AX1232" s="392"/>
      <c r="AY1232" s="392"/>
      <c r="BD1232" s="202" t="str">
        <f t="shared" si="182"/>
        <v>5 Series Sedan530i M Sport Package Plus</v>
      </c>
      <c r="BE1232" s="261" t="str">
        <f t="shared" si="188"/>
        <v>0200</v>
      </c>
      <c r="BF1232" s="407" t="s">
        <v>1750</v>
      </c>
      <c r="BG1232" s="202" t="str">
        <f t="shared" si="183"/>
        <v>0200-1231</v>
      </c>
    </row>
    <row r="1233" spans="1:59" s="209" customFormat="1">
      <c r="A1233" s="405">
        <v>5007</v>
      </c>
      <c r="B1233" s="406">
        <v>5007</v>
      </c>
      <c r="C1233" s="261" t="str">
        <f t="shared" si="184"/>
        <v>0008-0200</v>
      </c>
      <c r="D1233" s="261" t="str">
        <f t="shared" si="185"/>
        <v>0008-0200-0009</v>
      </c>
      <c r="E1233" s="407" t="s">
        <v>1751</v>
      </c>
      <c r="F1233" s="261" t="str">
        <f>TEXT(VLOOKUP(J1233,'[3]1'!$B$2:$D$37,2,0),"0000")</f>
        <v>0008</v>
      </c>
      <c r="G1233" s="261" t="str">
        <f t="shared" si="186"/>
        <v>0200</v>
      </c>
      <c r="H1233" s="408">
        <f t="shared" si="187"/>
        <v>9</v>
      </c>
      <c r="I1233" s="407" t="s">
        <v>1751</v>
      </c>
      <c r="J1233" s="258" t="s">
        <v>184</v>
      </c>
      <c r="K1233" s="258" t="s">
        <v>191</v>
      </c>
      <c r="L1233" s="258" t="s">
        <v>1323</v>
      </c>
      <c r="M1233" s="429">
        <v>76300000</v>
      </c>
      <c r="N1233" s="258">
        <v>1998</v>
      </c>
      <c r="O1233" s="258" t="s">
        <v>77</v>
      </c>
      <c r="P1233" s="258" t="s">
        <v>73</v>
      </c>
      <c r="Q1233" s="258" t="s">
        <v>72</v>
      </c>
      <c r="R1233" s="258">
        <v>5</v>
      </c>
      <c r="S1233" s="410">
        <v>3</v>
      </c>
      <c r="T1233" s="261">
        <v>6</v>
      </c>
      <c r="U1233" s="261">
        <v>6</v>
      </c>
      <c r="V1233" s="258" t="s">
        <v>71</v>
      </c>
      <c r="W1233" s="261" t="str">
        <f t="shared" si="189"/>
        <v>BMW5 Series Sedan530i xDrive Luxury Line Plus76300000</v>
      </c>
      <c r="X1233" s="411">
        <f t="shared" si="190"/>
        <v>5007</v>
      </c>
      <c r="Y1233" s="261">
        <v>6</v>
      </c>
      <c r="Z1233" s="261">
        <v>6</v>
      </c>
      <c r="AA1233" s="407" t="s">
        <v>1751</v>
      </c>
      <c r="AB1233" s="258" t="s">
        <v>73</v>
      </c>
      <c r="AC1233" s="258"/>
      <c r="AD1233" s="258">
        <v>3</v>
      </c>
      <c r="AE1233" s="258">
        <v>1</v>
      </c>
      <c r="AF1233" s="259"/>
      <c r="AG1233" s="260"/>
      <c r="AH1233" s="259"/>
      <c r="AI1233" s="259"/>
      <c r="AJ1233" s="260"/>
      <c r="AK1233" s="259">
        <v>4</v>
      </c>
      <c r="AL1233" s="259"/>
      <c r="AM1233" s="259" t="s">
        <v>3957</v>
      </c>
      <c r="AN1233" s="449"/>
      <c r="AO1233" s="449"/>
      <c r="AP1233" s="449"/>
      <c r="AQ1233" s="392" t="str">
        <f>IFERROR(VLOOKUP(BG1233,#REF!,1,0),"")</f>
        <v/>
      </c>
      <c r="AR1233" s="392"/>
      <c r="AS1233" s="259" t="s">
        <v>3237</v>
      </c>
      <c r="AT1233" s="392"/>
      <c r="AU1233" s="392"/>
      <c r="AV1233" s="392"/>
      <c r="AW1233" s="392" t="s">
        <v>3958</v>
      </c>
      <c r="AX1233" s="392"/>
      <c r="AY1233" s="392"/>
      <c r="BD1233" s="202" t="str">
        <f t="shared" si="182"/>
        <v>5 Series Sedan530i xDrive Luxury Line Plus</v>
      </c>
      <c r="BE1233" s="261" t="str">
        <f t="shared" si="188"/>
        <v>0200</v>
      </c>
      <c r="BF1233" s="407" t="s">
        <v>1751</v>
      </c>
      <c r="BG1233" s="202" t="str">
        <f t="shared" si="183"/>
        <v>0200-1232</v>
      </c>
    </row>
    <row r="1234" spans="1:59">
      <c r="A1234" s="405">
        <v>5008</v>
      </c>
      <c r="B1234" s="406">
        <v>5008</v>
      </c>
      <c r="C1234" s="261" t="str">
        <f t="shared" si="184"/>
        <v>0008-0200</v>
      </c>
      <c r="D1234" s="261" t="str">
        <f t="shared" si="185"/>
        <v>0008-0200-0010</v>
      </c>
      <c r="E1234" s="407" t="s">
        <v>1752</v>
      </c>
      <c r="F1234" s="261" t="str">
        <f>TEXT(VLOOKUP(J1234,'[3]1'!$B$2:$D$37,2,0),"0000")</f>
        <v>0008</v>
      </c>
      <c r="G1234" s="261" t="str">
        <f t="shared" si="186"/>
        <v>0200</v>
      </c>
      <c r="H1234" s="408">
        <f t="shared" si="187"/>
        <v>10</v>
      </c>
      <c r="I1234" s="407" t="s">
        <v>1752</v>
      </c>
      <c r="J1234" s="258" t="s">
        <v>184</v>
      </c>
      <c r="K1234" s="258" t="s">
        <v>191</v>
      </c>
      <c r="L1234" s="258" t="s">
        <v>1324</v>
      </c>
      <c r="M1234" s="429">
        <v>80500000</v>
      </c>
      <c r="N1234" s="258">
        <v>1998</v>
      </c>
      <c r="O1234" s="258" t="s">
        <v>77</v>
      </c>
      <c r="P1234" s="258" t="s">
        <v>73</v>
      </c>
      <c r="Q1234" s="258" t="s">
        <v>72</v>
      </c>
      <c r="R1234" s="258">
        <v>5</v>
      </c>
      <c r="S1234" s="410">
        <v>3</v>
      </c>
      <c r="T1234" s="261">
        <v>6</v>
      </c>
      <c r="U1234" s="261">
        <v>6</v>
      </c>
      <c r="V1234" s="258" t="s">
        <v>71</v>
      </c>
      <c r="W1234" s="261" t="str">
        <f t="shared" si="189"/>
        <v>BMW5 Series Sedan530i xDrive M Sport Package Plus80500000</v>
      </c>
      <c r="X1234" s="411">
        <f t="shared" si="190"/>
        <v>5008</v>
      </c>
      <c r="Y1234" s="261">
        <v>6</v>
      </c>
      <c r="Z1234" s="261">
        <v>6</v>
      </c>
      <c r="AA1234" s="407" t="s">
        <v>1752</v>
      </c>
      <c r="AB1234" s="258" t="s">
        <v>73</v>
      </c>
      <c r="AC1234" s="258"/>
      <c r="AD1234" s="258">
        <v>3</v>
      </c>
      <c r="AE1234" s="258">
        <v>1</v>
      </c>
      <c r="AF1234" s="259"/>
      <c r="AG1234" s="260"/>
      <c r="AH1234" s="259"/>
      <c r="AI1234" s="259"/>
      <c r="AJ1234" s="260"/>
      <c r="AK1234" s="259">
        <v>4</v>
      </c>
      <c r="AL1234" s="259"/>
      <c r="AM1234" s="259" t="s">
        <v>3957</v>
      </c>
      <c r="AN1234" s="449"/>
      <c r="AO1234" s="449"/>
      <c r="AP1234" s="449"/>
      <c r="AQ1234" s="392" t="str">
        <f>IFERROR(VLOOKUP(BG1234,#REF!,1,0),"")</f>
        <v/>
      </c>
      <c r="AS1234" s="259" t="s">
        <v>3237</v>
      </c>
      <c r="AW1234" s="392" t="s">
        <v>3958</v>
      </c>
      <c r="BD1234" s="202" t="str">
        <f t="shared" si="182"/>
        <v>5 Series Sedan530i xDrive M Sport Package Plus</v>
      </c>
      <c r="BE1234" s="261" t="str">
        <f t="shared" si="188"/>
        <v>0200</v>
      </c>
      <c r="BF1234" s="407" t="s">
        <v>1752</v>
      </c>
      <c r="BG1234" s="202" t="str">
        <f t="shared" si="183"/>
        <v>0200-1233</v>
      </c>
    </row>
    <row r="1235" spans="1:59">
      <c r="A1235" s="405">
        <v>5009</v>
      </c>
      <c r="B1235" s="406">
        <v>5009</v>
      </c>
      <c r="C1235" s="261" t="str">
        <f t="shared" si="184"/>
        <v>0008-0200</v>
      </c>
      <c r="D1235" s="261" t="str">
        <f t="shared" si="185"/>
        <v>0008-0200-0011</v>
      </c>
      <c r="E1235" s="407" t="s">
        <v>1753</v>
      </c>
      <c r="F1235" s="261" t="str">
        <f>TEXT(VLOOKUP(J1235,'[3]1'!$B$2:$D$37,2,0),"0000")</f>
        <v>0008</v>
      </c>
      <c r="G1235" s="261" t="str">
        <f t="shared" si="186"/>
        <v>0200</v>
      </c>
      <c r="H1235" s="408">
        <f t="shared" si="187"/>
        <v>11</v>
      </c>
      <c r="I1235" s="407" t="s">
        <v>1753</v>
      </c>
      <c r="J1235" s="258" t="s">
        <v>184</v>
      </c>
      <c r="K1235" s="258" t="s">
        <v>191</v>
      </c>
      <c r="L1235" s="258" t="s">
        <v>1447</v>
      </c>
      <c r="M1235" s="429">
        <v>78800000</v>
      </c>
      <c r="N1235" s="258">
        <v>1998</v>
      </c>
      <c r="O1235" s="258" t="s">
        <v>74</v>
      </c>
      <c r="P1235" s="258" t="s">
        <v>73</v>
      </c>
      <c r="Q1235" s="258" t="s">
        <v>72</v>
      </c>
      <c r="R1235" s="258">
        <v>5</v>
      </c>
      <c r="S1235" s="410">
        <v>4</v>
      </c>
      <c r="T1235" s="261">
        <v>6</v>
      </c>
      <c r="U1235" s="261">
        <v>6</v>
      </c>
      <c r="V1235" s="258" t="s">
        <v>1969</v>
      </c>
      <c r="W1235" s="261" t="str">
        <f t="shared" si="189"/>
        <v>BMW5 Series Sedan530e Luxury78800000</v>
      </c>
      <c r="X1235" s="411">
        <f t="shared" si="190"/>
        <v>5009</v>
      </c>
      <c r="Y1235" s="261">
        <v>6</v>
      </c>
      <c r="Z1235" s="261">
        <v>6</v>
      </c>
      <c r="AA1235" s="407" t="s">
        <v>1753</v>
      </c>
      <c r="AB1235" s="258" t="s">
        <v>73</v>
      </c>
      <c r="AC1235" s="258"/>
      <c r="AD1235" s="258">
        <v>5</v>
      </c>
      <c r="AE1235" s="258">
        <v>0</v>
      </c>
      <c r="AF1235" s="259"/>
      <c r="AG1235" s="260"/>
      <c r="AH1235" s="259"/>
      <c r="AI1235" s="259"/>
      <c r="AJ1235" s="260"/>
      <c r="AK1235" s="259">
        <v>4</v>
      </c>
      <c r="AL1235" s="259"/>
      <c r="AM1235" s="259" t="s">
        <v>3957</v>
      </c>
      <c r="AN1235" s="449"/>
      <c r="AO1235" s="449"/>
      <c r="AP1235" s="449"/>
      <c r="AQ1235" s="392" t="str">
        <f>IFERROR(VLOOKUP(BG1235,#REF!,1,0),"")</f>
        <v/>
      </c>
      <c r="AS1235" s="259" t="s">
        <v>3226</v>
      </c>
      <c r="AW1235" s="392" t="s">
        <v>3958</v>
      </c>
      <c r="BD1235" s="202" t="str">
        <f t="shared" si="182"/>
        <v>5 Series Sedan530e Luxury</v>
      </c>
      <c r="BE1235" s="261" t="str">
        <f t="shared" si="188"/>
        <v>0200</v>
      </c>
      <c r="BF1235" s="407" t="s">
        <v>1753</v>
      </c>
      <c r="BG1235" s="202" t="str">
        <f t="shared" si="183"/>
        <v>0200-1234</v>
      </c>
    </row>
    <row r="1236" spans="1:59">
      <c r="A1236" s="405">
        <v>5010</v>
      </c>
      <c r="B1236" s="406">
        <v>5010</v>
      </c>
      <c r="C1236" s="261" t="str">
        <f t="shared" si="184"/>
        <v>0008-0200</v>
      </c>
      <c r="D1236" s="261" t="str">
        <f t="shared" si="185"/>
        <v>0008-0200-0012</v>
      </c>
      <c r="E1236" s="407" t="s">
        <v>1754</v>
      </c>
      <c r="F1236" s="261" t="str">
        <f>TEXT(VLOOKUP(J1236,'[3]1'!$B$2:$D$37,2,0),"0000")</f>
        <v>0008</v>
      </c>
      <c r="G1236" s="261" t="str">
        <f t="shared" si="186"/>
        <v>0200</v>
      </c>
      <c r="H1236" s="408">
        <f t="shared" si="187"/>
        <v>12</v>
      </c>
      <c r="I1236" s="407" t="s">
        <v>1754</v>
      </c>
      <c r="J1236" s="258" t="s">
        <v>184</v>
      </c>
      <c r="K1236" s="258" t="s">
        <v>191</v>
      </c>
      <c r="L1236" s="258" t="s">
        <v>1967</v>
      </c>
      <c r="M1236" s="429">
        <v>84200000</v>
      </c>
      <c r="N1236" s="258">
        <v>1998</v>
      </c>
      <c r="O1236" s="258" t="s">
        <v>74</v>
      </c>
      <c r="P1236" s="258" t="s">
        <v>73</v>
      </c>
      <c r="Q1236" s="258" t="s">
        <v>72</v>
      </c>
      <c r="R1236" s="258">
        <v>5</v>
      </c>
      <c r="S1236" s="410">
        <v>4</v>
      </c>
      <c r="T1236" s="261">
        <v>6</v>
      </c>
      <c r="U1236" s="261">
        <v>6</v>
      </c>
      <c r="V1236" s="258" t="s">
        <v>1969</v>
      </c>
      <c r="W1236" s="261" t="str">
        <f t="shared" si="189"/>
        <v>BMW5 Series Sedan530e M Sport package84200000</v>
      </c>
      <c r="X1236" s="411">
        <f t="shared" si="190"/>
        <v>5010</v>
      </c>
      <c r="Y1236" s="261">
        <v>6</v>
      </c>
      <c r="Z1236" s="261">
        <v>6</v>
      </c>
      <c r="AA1236" s="407" t="s">
        <v>1754</v>
      </c>
      <c r="AB1236" s="258" t="s">
        <v>73</v>
      </c>
      <c r="AC1236" s="258"/>
      <c r="AD1236" s="258">
        <v>5</v>
      </c>
      <c r="AE1236" s="258">
        <v>0</v>
      </c>
      <c r="AF1236" s="259"/>
      <c r="AG1236" s="260"/>
      <c r="AH1236" s="259"/>
      <c r="AI1236" s="259"/>
      <c r="AJ1236" s="260"/>
      <c r="AK1236" s="259">
        <v>4</v>
      </c>
      <c r="AL1236" s="259"/>
      <c r="AM1236" s="259" t="s">
        <v>3957</v>
      </c>
      <c r="AN1236" s="449"/>
      <c r="AO1236" s="449"/>
      <c r="AP1236" s="449"/>
      <c r="AQ1236" s="392" t="str">
        <f>IFERROR(VLOOKUP(BG1236,#REF!,1,0),"")</f>
        <v/>
      </c>
      <c r="AS1236" s="259" t="s">
        <v>3226</v>
      </c>
      <c r="AW1236" s="392" t="s">
        <v>3958</v>
      </c>
      <c r="BD1236" s="202" t="str">
        <f t="shared" si="182"/>
        <v>5 Series Sedan530e M Sport package</v>
      </c>
      <c r="BE1236" s="261" t="str">
        <f t="shared" si="188"/>
        <v>0200</v>
      </c>
      <c r="BF1236" s="407" t="s">
        <v>1754</v>
      </c>
      <c r="BG1236" s="202" t="str">
        <f t="shared" si="183"/>
        <v>0200-1235</v>
      </c>
    </row>
    <row r="1237" spans="1:59">
      <c r="A1237" s="405">
        <v>5011</v>
      </c>
      <c r="B1237" s="406">
        <v>5011</v>
      </c>
      <c r="C1237" s="261" t="str">
        <f t="shared" si="184"/>
        <v>0008-0201</v>
      </c>
      <c r="D1237" s="261" t="str">
        <f t="shared" si="185"/>
        <v>0008-0201-0001</v>
      </c>
      <c r="E1237" s="407" t="s">
        <v>1755</v>
      </c>
      <c r="F1237" s="261" t="str">
        <f>TEXT(VLOOKUP(J1237,'[3]1'!$B$2:$D$37,2,0),"0000")</f>
        <v>0008</v>
      </c>
      <c r="G1237" s="261" t="str">
        <f t="shared" si="186"/>
        <v>0201</v>
      </c>
      <c r="H1237" s="408">
        <f t="shared" si="187"/>
        <v>1</v>
      </c>
      <c r="I1237" s="407" t="s">
        <v>1755</v>
      </c>
      <c r="J1237" s="258" t="s">
        <v>184</v>
      </c>
      <c r="K1237" s="258" t="s">
        <v>1245</v>
      </c>
      <c r="L1237" s="258" t="s">
        <v>3679</v>
      </c>
      <c r="M1237" s="429">
        <v>82100000</v>
      </c>
      <c r="N1237" s="258">
        <v>1995</v>
      </c>
      <c r="O1237" s="258" t="s">
        <v>78</v>
      </c>
      <c r="P1237" s="258" t="s">
        <v>73</v>
      </c>
      <c r="Q1237" s="258" t="s">
        <v>72</v>
      </c>
      <c r="R1237" s="258">
        <v>5</v>
      </c>
      <c r="S1237" s="410">
        <v>7</v>
      </c>
      <c r="T1237" s="261">
        <v>6</v>
      </c>
      <c r="U1237" s="261">
        <v>6</v>
      </c>
      <c r="V1237" s="258" t="s">
        <v>71</v>
      </c>
      <c r="W1237" s="261" t="str">
        <f t="shared" si="189"/>
        <v>BMW6 Series GT620d GT82100000</v>
      </c>
      <c r="X1237" s="411">
        <f t="shared" si="190"/>
        <v>5011</v>
      </c>
      <c r="Y1237" s="261">
        <v>6</v>
      </c>
      <c r="Z1237" s="261">
        <v>6</v>
      </c>
      <c r="AA1237" s="407" t="s">
        <v>1755</v>
      </c>
      <c r="AB1237" s="258" t="s">
        <v>73</v>
      </c>
      <c r="AC1237" s="258"/>
      <c r="AD1237" s="258">
        <v>3</v>
      </c>
      <c r="AE1237" s="258">
        <v>1</v>
      </c>
      <c r="AF1237" s="259"/>
      <c r="AG1237" s="260"/>
      <c r="AH1237" s="259"/>
      <c r="AI1237" s="259"/>
      <c r="AJ1237" s="260"/>
      <c r="AK1237" s="259">
        <v>7</v>
      </c>
      <c r="AL1237" s="259"/>
      <c r="AM1237" s="259" t="s">
        <v>3978</v>
      </c>
      <c r="AN1237" s="449"/>
      <c r="AO1237" s="449"/>
      <c r="AP1237" s="449"/>
      <c r="AQ1237" s="392" t="str">
        <f>IFERROR(VLOOKUP(BG1237,#REF!,1,0),"")</f>
        <v/>
      </c>
      <c r="AS1237" s="259" t="s">
        <v>3364</v>
      </c>
      <c r="AW1237" s="392" t="s">
        <v>3958</v>
      </c>
      <c r="AZ1237" s="202" t="e">
        <f>VLOOKUP(#REF!,잔가군!$B:$C,2,0)</f>
        <v>#REF!</v>
      </c>
      <c r="BA1237" s="202" t="e">
        <f>S1237-#REF!</f>
        <v>#REF!</v>
      </c>
      <c r="BD1237" s="202" t="str">
        <f t="shared" si="182"/>
        <v>6 Series GT620d GT</v>
      </c>
      <c r="BE1237" s="261" t="str">
        <f t="shared" si="188"/>
        <v>0201</v>
      </c>
      <c r="BF1237" s="407" t="s">
        <v>1755</v>
      </c>
      <c r="BG1237" s="202" t="str">
        <f t="shared" si="183"/>
        <v>0201-1236</v>
      </c>
    </row>
    <row r="1238" spans="1:59">
      <c r="A1238" s="405">
        <v>5012</v>
      </c>
      <c r="B1238" s="406">
        <v>5012</v>
      </c>
      <c r="C1238" s="261" t="str">
        <f t="shared" si="184"/>
        <v>0008-0201</v>
      </c>
      <c r="D1238" s="261" t="str">
        <f t="shared" si="185"/>
        <v>0008-0201-0002</v>
      </c>
      <c r="E1238" s="407" t="s">
        <v>1756</v>
      </c>
      <c r="F1238" s="261" t="str">
        <f>TEXT(VLOOKUP(J1238,'[3]1'!$B$2:$D$37,2,0),"0000")</f>
        <v>0008</v>
      </c>
      <c r="G1238" s="261" t="str">
        <f t="shared" si="186"/>
        <v>0201</v>
      </c>
      <c r="H1238" s="408">
        <f t="shared" si="187"/>
        <v>2</v>
      </c>
      <c r="I1238" s="407" t="s">
        <v>1756</v>
      </c>
      <c r="J1238" s="258" t="s">
        <v>184</v>
      </c>
      <c r="K1238" s="258" t="s">
        <v>1245</v>
      </c>
      <c r="L1238" s="258" t="s">
        <v>3677</v>
      </c>
      <c r="M1238" s="429">
        <v>89000000</v>
      </c>
      <c r="N1238" s="258">
        <v>2998</v>
      </c>
      <c r="O1238" s="258" t="s">
        <v>77</v>
      </c>
      <c r="P1238" s="258" t="s">
        <v>73</v>
      </c>
      <c r="Q1238" s="258" t="s">
        <v>72</v>
      </c>
      <c r="R1238" s="258">
        <v>5</v>
      </c>
      <c r="S1238" s="410">
        <v>12</v>
      </c>
      <c r="T1238" s="261">
        <v>6</v>
      </c>
      <c r="U1238" s="261">
        <v>6</v>
      </c>
      <c r="V1238" s="258" t="s">
        <v>71</v>
      </c>
      <c r="W1238" s="261" t="str">
        <f t="shared" si="189"/>
        <v>BMW6 Series GT630i xDrive GT89000000</v>
      </c>
      <c r="X1238" s="411">
        <f t="shared" si="190"/>
        <v>5012</v>
      </c>
      <c r="Y1238" s="261">
        <v>6</v>
      </c>
      <c r="Z1238" s="261">
        <v>6</v>
      </c>
      <c r="AA1238" s="407" t="s">
        <v>1756</v>
      </c>
      <c r="AB1238" s="258" t="s">
        <v>73</v>
      </c>
      <c r="AC1238" s="258"/>
      <c r="AD1238" s="258">
        <v>5</v>
      </c>
      <c r="AE1238" s="258">
        <v>2</v>
      </c>
      <c r="AF1238" s="259"/>
      <c r="AG1238" s="260"/>
      <c r="AH1238" s="259"/>
      <c r="AI1238" s="259"/>
      <c r="AJ1238" s="260"/>
      <c r="AK1238" s="259">
        <v>7</v>
      </c>
      <c r="AL1238" s="259"/>
      <c r="AM1238" s="259" t="s">
        <v>3978</v>
      </c>
      <c r="AN1238" s="449"/>
      <c r="AO1238" s="449"/>
      <c r="AP1238" s="449"/>
      <c r="AQ1238" s="392" t="str">
        <f>IFERROR(VLOOKUP(BG1238,#REF!,1,0),"")</f>
        <v/>
      </c>
      <c r="AS1238" s="259" t="s">
        <v>3228</v>
      </c>
      <c r="AW1238" s="392" t="s">
        <v>3958</v>
      </c>
      <c r="BD1238" s="202" t="str">
        <f t="shared" si="182"/>
        <v>6 Series GT630i xDrive GT</v>
      </c>
      <c r="BE1238" s="261" t="str">
        <f t="shared" si="188"/>
        <v>0201</v>
      </c>
      <c r="BF1238" s="407" t="s">
        <v>1756</v>
      </c>
      <c r="BG1238" s="202" t="str">
        <f t="shared" si="183"/>
        <v>0201-1237</v>
      </c>
    </row>
    <row r="1239" spans="1:59" s="207" customFormat="1">
      <c r="A1239" s="405">
        <v>5013</v>
      </c>
      <c r="B1239" s="406">
        <v>5013</v>
      </c>
      <c r="C1239" s="261" t="str">
        <f t="shared" si="184"/>
        <v>0008-0201</v>
      </c>
      <c r="D1239" s="261" t="str">
        <f t="shared" si="185"/>
        <v>0008-0201-0003</v>
      </c>
      <c r="E1239" s="407" t="s">
        <v>1757</v>
      </c>
      <c r="F1239" s="261" t="str">
        <f>TEXT(VLOOKUP(J1239,'[3]1'!$B$2:$D$37,2,0),"0000")</f>
        <v>0008</v>
      </c>
      <c r="G1239" s="261" t="str">
        <f t="shared" si="186"/>
        <v>0201</v>
      </c>
      <c r="H1239" s="408">
        <f t="shared" si="187"/>
        <v>3</v>
      </c>
      <c r="I1239" s="407" t="s">
        <v>1757</v>
      </c>
      <c r="J1239" s="258" t="s">
        <v>184</v>
      </c>
      <c r="K1239" s="258" t="s">
        <v>1245</v>
      </c>
      <c r="L1239" s="258" t="s">
        <v>3678</v>
      </c>
      <c r="M1239" s="429">
        <v>100000000</v>
      </c>
      <c r="N1239" s="258">
        <v>2998</v>
      </c>
      <c r="O1239" s="258" t="s">
        <v>77</v>
      </c>
      <c r="P1239" s="258" t="s">
        <v>73</v>
      </c>
      <c r="Q1239" s="258" t="s">
        <v>72</v>
      </c>
      <c r="R1239" s="258">
        <v>5</v>
      </c>
      <c r="S1239" s="410">
        <v>10</v>
      </c>
      <c r="T1239" s="261">
        <v>6</v>
      </c>
      <c r="U1239" s="261">
        <v>6</v>
      </c>
      <c r="V1239" s="258" t="s">
        <v>71</v>
      </c>
      <c r="W1239" s="261" t="str">
        <f t="shared" si="189"/>
        <v>BMW6 Series GT640i xDrive GT100000000</v>
      </c>
      <c r="X1239" s="411">
        <f t="shared" si="190"/>
        <v>5013</v>
      </c>
      <c r="Y1239" s="261">
        <v>6</v>
      </c>
      <c r="Z1239" s="261">
        <v>6</v>
      </c>
      <c r="AA1239" s="407" t="s">
        <v>1757</v>
      </c>
      <c r="AB1239" s="258" t="s">
        <v>73</v>
      </c>
      <c r="AC1239" s="258"/>
      <c r="AD1239" s="258">
        <v>5</v>
      </c>
      <c r="AE1239" s="258">
        <v>2</v>
      </c>
      <c r="AF1239" s="259"/>
      <c r="AG1239" s="260"/>
      <c r="AH1239" s="259"/>
      <c r="AI1239" s="259"/>
      <c r="AJ1239" s="260"/>
      <c r="AK1239" s="259">
        <v>7</v>
      </c>
      <c r="AL1239" s="259"/>
      <c r="AM1239" s="259" t="s">
        <v>3978</v>
      </c>
      <c r="AN1239" s="449"/>
      <c r="AO1239" s="449"/>
      <c r="AP1239" s="449"/>
      <c r="AQ1239" s="392" t="str">
        <f>IFERROR(VLOOKUP(BG1239,#REF!,1,0),"")</f>
        <v/>
      </c>
      <c r="AR1239" s="392"/>
      <c r="AS1239" s="259" t="s">
        <v>3224</v>
      </c>
      <c r="AT1239" s="392"/>
      <c r="AU1239" s="392"/>
      <c r="AV1239" s="392"/>
      <c r="AW1239" s="392" t="s">
        <v>3958</v>
      </c>
      <c r="AX1239" s="392"/>
      <c r="AY1239" s="392"/>
      <c r="BD1239" s="202" t="str">
        <f t="shared" si="182"/>
        <v>6 Series GT640i xDrive GT</v>
      </c>
      <c r="BE1239" s="261" t="str">
        <f t="shared" si="188"/>
        <v>0201</v>
      </c>
      <c r="BF1239" s="407" t="s">
        <v>1757</v>
      </c>
      <c r="BG1239" s="202" t="str">
        <f t="shared" si="183"/>
        <v>0201-1238</v>
      </c>
    </row>
    <row r="1240" spans="1:59">
      <c r="A1240" s="405">
        <v>5014</v>
      </c>
      <c r="B1240" s="406">
        <v>5014</v>
      </c>
      <c r="C1240" s="261" t="str">
        <f t="shared" si="184"/>
        <v>0008-0202</v>
      </c>
      <c r="D1240" s="261" t="str">
        <f t="shared" si="185"/>
        <v>0008-0202-0001</v>
      </c>
      <c r="E1240" s="407" t="s">
        <v>1758</v>
      </c>
      <c r="F1240" s="261" t="str">
        <f>TEXT(VLOOKUP(J1240,'[3]1'!$B$2:$D$37,2,0),"0000")</f>
        <v>0008</v>
      </c>
      <c r="G1240" s="261" t="str">
        <f t="shared" si="186"/>
        <v>0202</v>
      </c>
      <c r="H1240" s="408">
        <f t="shared" si="187"/>
        <v>1</v>
      </c>
      <c r="I1240" s="407" t="s">
        <v>1758</v>
      </c>
      <c r="J1240" s="258" t="s">
        <v>184</v>
      </c>
      <c r="K1240" s="258" t="s">
        <v>189</v>
      </c>
      <c r="L1240" s="258" t="s">
        <v>1381</v>
      </c>
      <c r="M1240" s="429">
        <v>148500000</v>
      </c>
      <c r="N1240" s="258">
        <v>2993</v>
      </c>
      <c r="O1240" s="258" t="s">
        <v>78</v>
      </c>
      <c r="P1240" s="258" t="s">
        <v>73</v>
      </c>
      <c r="Q1240" s="258" t="s">
        <v>72</v>
      </c>
      <c r="R1240" s="258">
        <v>5</v>
      </c>
      <c r="S1240" s="410">
        <v>13</v>
      </c>
      <c r="T1240" s="261">
        <v>6</v>
      </c>
      <c r="U1240" s="261">
        <v>6</v>
      </c>
      <c r="V1240" s="258" t="s">
        <v>71</v>
      </c>
      <c r="W1240" s="261" t="str">
        <f t="shared" si="189"/>
        <v>BMW7 Series Sedan740d xDrive DPE148500000</v>
      </c>
      <c r="X1240" s="411">
        <f t="shared" si="190"/>
        <v>5014</v>
      </c>
      <c r="Y1240" s="261">
        <v>6</v>
      </c>
      <c r="Z1240" s="261">
        <v>6</v>
      </c>
      <c r="AA1240" s="407" t="s">
        <v>1758</v>
      </c>
      <c r="AB1240" s="258" t="s">
        <v>73</v>
      </c>
      <c r="AC1240" s="258"/>
      <c r="AD1240" s="258">
        <v>4</v>
      </c>
      <c r="AE1240" s="258">
        <v>0</v>
      </c>
      <c r="AF1240" s="259"/>
      <c r="AG1240" s="260"/>
      <c r="AH1240" s="259"/>
      <c r="AI1240" s="259"/>
      <c r="AJ1240" s="260"/>
      <c r="AK1240" s="259">
        <v>14</v>
      </c>
      <c r="AL1240" s="259"/>
      <c r="AM1240" s="259" t="s">
        <v>3663</v>
      </c>
      <c r="AN1240" s="449"/>
      <c r="AO1240" s="449"/>
      <c r="AP1240" s="449"/>
      <c r="AQ1240" s="392" t="str">
        <f>IFERROR(VLOOKUP(BG1240,#REF!,1,0),"")</f>
        <v/>
      </c>
      <c r="AS1240" s="259" t="s">
        <v>3318</v>
      </c>
      <c r="AZ1240" s="202" t="e">
        <f>VLOOKUP(#REF!,잔가군!$B:$C,2,0)</f>
        <v>#REF!</v>
      </c>
      <c r="BA1240" s="202" t="e">
        <f>S1240-#REF!</f>
        <v>#REF!</v>
      </c>
      <c r="BD1240" s="202" t="str">
        <f t="shared" si="182"/>
        <v>7 Series Sedan740d xDrive DPE</v>
      </c>
      <c r="BE1240" s="261" t="str">
        <f t="shared" si="188"/>
        <v>0202</v>
      </c>
      <c r="BF1240" s="407" t="s">
        <v>1758</v>
      </c>
      <c r="BG1240" s="202" t="str">
        <f t="shared" si="183"/>
        <v>0202-1239</v>
      </c>
    </row>
    <row r="1241" spans="1:59">
      <c r="A1241" s="405">
        <v>5015</v>
      </c>
      <c r="B1241" s="406">
        <v>5015</v>
      </c>
      <c r="C1241" s="261" t="str">
        <f t="shared" si="184"/>
        <v>0008-0202</v>
      </c>
      <c r="D1241" s="261" t="str">
        <f t="shared" si="185"/>
        <v>0008-0202-0002</v>
      </c>
      <c r="E1241" s="407" t="s">
        <v>1759</v>
      </c>
      <c r="F1241" s="261" t="str">
        <f>TEXT(VLOOKUP(J1241,'[3]1'!$B$2:$D$37,2,0),"0000")</f>
        <v>0008</v>
      </c>
      <c r="G1241" s="261" t="str">
        <f t="shared" si="186"/>
        <v>0202</v>
      </c>
      <c r="H1241" s="408">
        <f t="shared" si="187"/>
        <v>2</v>
      </c>
      <c r="I1241" s="407" t="s">
        <v>1759</v>
      </c>
      <c r="J1241" s="258" t="s">
        <v>184</v>
      </c>
      <c r="K1241" s="258" t="s">
        <v>189</v>
      </c>
      <c r="L1241" s="258" t="s">
        <v>190</v>
      </c>
      <c r="M1241" s="429">
        <v>152300000</v>
      </c>
      <c r="N1241" s="258">
        <v>2993</v>
      </c>
      <c r="O1241" s="258" t="s">
        <v>78</v>
      </c>
      <c r="P1241" s="258" t="s">
        <v>73</v>
      </c>
      <c r="Q1241" s="258" t="s">
        <v>72</v>
      </c>
      <c r="R1241" s="258">
        <v>5</v>
      </c>
      <c r="S1241" s="410">
        <v>13</v>
      </c>
      <c r="T1241" s="261">
        <v>6</v>
      </c>
      <c r="U1241" s="261">
        <v>6</v>
      </c>
      <c r="V1241" s="258" t="s">
        <v>71</v>
      </c>
      <c r="W1241" s="261" t="str">
        <f t="shared" si="189"/>
        <v>BMW7 Series Sedan740d xDrive M Sport152300000</v>
      </c>
      <c r="X1241" s="411">
        <f t="shared" si="190"/>
        <v>5015</v>
      </c>
      <c r="Y1241" s="261">
        <v>6</v>
      </c>
      <c r="Z1241" s="261">
        <v>6</v>
      </c>
      <c r="AA1241" s="407" t="s">
        <v>1759</v>
      </c>
      <c r="AB1241" s="258" t="s">
        <v>73</v>
      </c>
      <c r="AC1241" s="258"/>
      <c r="AD1241" s="258">
        <v>4</v>
      </c>
      <c r="AE1241" s="258">
        <v>0</v>
      </c>
      <c r="AF1241" s="259"/>
      <c r="AG1241" s="260"/>
      <c r="AH1241" s="259"/>
      <c r="AI1241" s="259"/>
      <c r="AJ1241" s="260"/>
      <c r="AK1241" s="259">
        <v>14</v>
      </c>
      <c r="AL1241" s="259"/>
      <c r="AM1241" s="259" t="s">
        <v>3663</v>
      </c>
      <c r="AN1241" s="449"/>
      <c r="AO1241" s="449"/>
      <c r="AP1241" s="449"/>
      <c r="AQ1241" s="392" t="str">
        <f>IFERROR(VLOOKUP(BG1241,#REF!,1,0),"")</f>
        <v/>
      </c>
      <c r="AS1241" s="259" t="s">
        <v>3318</v>
      </c>
      <c r="AZ1241" s="202" t="e">
        <f>VLOOKUP(#REF!,잔가군!$B:$C,2,0)</f>
        <v>#REF!</v>
      </c>
      <c r="BA1241" s="202" t="e">
        <f>S1241-#REF!</f>
        <v>#REF!</v>
      </c>
      <c r="BD1241" s="202" t="str">
        <f t="shared" si="182"/>
        <v>7 Series Sedan740d xDrive M Sport</v>
      </c>
      <c r="BE1241" s="261" t="str">
        <f t="shared" si="188"/>
        <v>0202</v>
      </c>
      <c r="BF1241" s="407" t="s">
        <v>1759</v>
      </c>
      <c r="BG1241" s="202" t="str">
        <f t="shared" si="183"/>
        <v>0202-1240</v>
      </c>
    </row>
    <row r="1242" spans="1:59">
      <c r="A1242" s="405">
        <v>5016</v>
      </c>
      <c r="B1242" s="406">
        <v>5016</v>
      </c>
      <c r="C1242" s="261" t="str">
        <f t="shared" si="184"/>
        <v>0008-0202</v>
      </c>
      <c r="D1242" s="261" t="str">
        <f t="shared" si="185"/>
        <v>0008-0202-0003</v>
      </c>
      <c r="E1242" s="407" t="s">
        <v>1760</v>
      </c>
      <c r="F1242" s="261" t="str">
        <f>TEXT(VLOOKUP(J1242,'[3]1'!$B$2:$D$37,2,0),"0000")</f>
        <v>0008</v>
      </c>
      <c r="G1242" s="261" t="str">
        <f t="shared" si="186"/>
        <v>0202</v>
      </c>
      <c r="H1242" s="408">
        <f t="shared" si="187"/>
        <v>3</v>
      </c>
      <c r="I1242" s="407" t="s">
        <v>1760</v>
      </c>
      <c r="J1242" s="258" t="s">
        <v>184</v>
      </c>
      <c r="K1242" s="258" t="s">
        <v>189</v>
      </c>
      <c r="L1242" s="258" t="s">
        <v>2782</v>
      </c>
      <c r="M1242" s="429">
        <v>140600000</v>
      </c>
      <c r="N1242" s="258">
        <v>2998</v>
      </c>
      <c r="O1242" s="258" t="s">
        <v>77</v>
      </c>
      <c r="P1242" s="258" t="s">
        <v>73</v>
      </c>
      <c r="Q1242" s="258" t="s">
        <v>72</v>
      </c>
      <c r="R1242" s="258">
        <v>5</v>
      </c>
      <c r="S1242" s="410">
        <v>13</v>
      </c>
      <c r="T1242" s="261">
        <v>6</v>
      </c>
      <c r="U1242" s="261">
        <v>6</v>
      </c>
      <c r="V1242" s="258" t="s">
        <v>71</v>
      </c>
      <c r="W1242" s="261" t="str">
        <f t="shared" si="189"/>
        <v>BMW7 Series Sedan740i DPE140600000</v>
      </c>
      <c r="X1242" s="411">
        <f t="shared" si="190"/>
        <v>5016</v>
      </c>
      <c r="Y1242" s="261">
        <v>6</v>
      </c>
      <c r="Z1242" s="261">
        <v>6</v>
      </c>
      <c r="AA1242" s="407" t="s">
        <v>1760</v>
      </c>
      <c r="AB1242" s="258" t="s">
        <v>73</v>
      </c>
      <c r="AC1242" s="258"/>
      <c r="AD1242" s="258">
        <v>5</v>
      </c>
      <c r="AE1242" s="258">
        <v>0</v>
      </c>
      <c r="AF1242" s="259"/>
      <c r="AG1242" s="260"/>
      <c r="AH1242" s="259"/>
      <c r="AI1242" s="259"/>
      <c r="AJ1242" s="260"/>
      <c r="AK1242" s="259">
        <v>11</v>
      </c>
      <c r="AL1242" s="259"/>
      <c r="AM1242" s="259" t="s">
        <v>3965</v>
      </c>
      <c r="AN1242" s="449"/>
      <c r="AO1242" s="449"/>
      <c r="AP1242" s="449"/>
      <c r="AQ1242" s="392" t="str">
        <f>IFERROR(VLOOKUP(BG1242,#REF!,1,0),"")</f>
        <v/>
      </c>
      <c r="AS1242" s="259" t="s">
        <v>3227</v>
      </c>
      <c r="AW1242" s="392" t="s">
        <v>3958</v>
      </c>
      <c r="BD1242" s="202" t="str">
        <f t="shared" si="182"/>
        <v>7 Series Sedan740i DPE</v>
      </c>
      <c r="BE1242" s="261" t="str">
        <f t="shared" si="188"/>
        <v>0202</v>
      </c>
      <c r="BF1242" s="407" t="s">
        <v>1760</v>
      </c>
      <c r="BG1242" s="202" t="str">
        <f t="shared" si="183"/>
        <v>0202-1241</v>
      </c>
    </row>
    <row r="1243" spans="1:59">
      <c r="A1243" s="405">
        <v>5017</v>
      </c>
      <c r="B1243" s="406">
        <v>5017</v>
      </c>
      <c r="C1243" s="261" t="str">
        <f t="shared" si="184"/>
        <v>0008-0202</v>
      </c>
      <c r="D1243" s="261" t="str">
        <f t="shared" si="185"/>
        <v>0008-0202-0004</v>
      </c>
      <c r="E1243" s="407" t="s">
        <v>1761</v>
      </c>
      <c r="F1243" s="261" t="str">
        <f>TEXT(VLOOKUP(J1243,'[3]1'!$B$2:$D$37,2,0),"0000")</f>
        <v>0008</v>
      </c>
      <c r="G1243" s="261" t="str">
        <f t="shared" si="186"/>
        <v>0202</v>
      </c>
      <c r="H1243" s="408">
        <f t="shared" si="187"/>
        <v>4</v>
      </c>
      <c r="I1243" s="407" t="s">
        <v>1761</v>
      </c>
      <c r="J1243" s="258" t="s">
        <v>184</v>
      </c>
      <c r="K1243" s="258" t="s">
        <v>189</v>
      </c>
      <c r="L1243" s="258" t="s">
        <v>2783</v>
      </c>
      <c r="M1243" s="429">
        <v>144400000</v>
      </c>
      <c r="N1243" s="258">
        <v>2998</v>
      </c>
      <c r="O1243" s="258" t="s">
        <v>77</v>
      </c>
      <c r="P1243" s="258" t="s">
        <v>73</v>
      </c>
      <c r="Q1243" s="258" t="s">
        <v>72</v>
      </c>
      <c r="R1243" s="258">
        <v>5</v>
      </c>
      <c r="S1243" s="410">
        <v>13</v>
      </c>
      <c r="T1243" s="261">
        <v>6</v>
      </c>
      <c r="U1243" s="261">
        <v>6</v>
      </c>
      <c r="V1243" s="258" t="s">
        <v>71</v>
      </c>
      <c r="W1243" s="261" t="str">
        <f t="shared" si="189"/>
        <v>BMW7 Series Sedan740i M Sport Package144400000</v>
      </c>
      <c r="X1243" s="411">
        <f t="shared" si="190"/>
        <v>5017</v>
      </c>
      <c r="Y1243" s="261">
        <v>6</v>
      </c>
      <c r="Z1243" s="261">
        <v>6</v>
      </c>
      <c r="AA1243" s="407" t="s">
        <v>1761</v>
      </c>
      <c r="AB1243" s="258" t="s">
        <v>73</v>
      </c>
      <c r="AC1243" s="258"/>
      <c r="AD1243" s="258">
        <v>5</v>
      </c>
      <c r="AE1243" s="258">
        <v>0</v>
      </c>
      <c r="AF1243" s="259"/>
      <c r="AG1243" s="260"/>
      <c r="AH1243" s="259"/>
      <c r="AI1243" s="259"/>
      <c r="AJ1243" s="260"/>
      <c r="AK1243" s="259">
        <v>11</v>
      </c>
      <c r="AL1243" s="259"/>
      <c r="AM1243" s="259" t="s">
        <v>3965</v>
      </c>
      <c r="AN1243" s="449"/>
      <c r="AO1243" s="449"/>
      <c r="AP1243" s="449"/>
      <c r="AQ1243" s="392" t="str">
        <f>IFERROR(VLOOKUP(BG1243,#REF!,1,0),"")</f>
        <v/>
      </c>
      <c r="AS1243" s="259" t="s">
        <v>3227</v>
      </c>
      <c r="AW1243" s="392" t="s">
        <v>3958</v>
      </c>
      <c r="BD1243" s="202" t="str">
        <f t="shared" si="182"/>
        <v>7 Series Sedan740i M Sport Package</v>
      </c>
      <c r="BE1243" s="261" t="str">
        <f t="shared" si="188"/>
        <v>0202</v>
      </c>
      <c r="BF1243" s="407" t="s">
        <v>1761</v>
      </c>
      <c r="BG1243" s="202" t="str">
        <f t="shared" si="183"/>
        <v>0202-1242</v>
      </c>
    </row>
    <row r="1244" spans="1:59">
      <c r="A1244" s="405">
        <v>5018</v>
      </c>
      <c r="B1244" s="406">
        <v>5018</v>
      </c>
      <c r="C1244" s="261" t="str">
        <f t="shared" si="184"/>
        <v>0008-0202</v>
      </c>
      <c r="D1244" s="261" t="str">
        <f t="shared" si="185"/>
        <v>0008-0202-0005</v>
      </c>
      <c r="E1244" s="407" t="s">
        <v>1762</v>
      </c>
      <c r="F1244" s="261" t="str">
        <f>TEXT(VLOOKUP(J1244,'[3]1'!$B$2:$D$37,2,0),"0000")</f>
        <v>0008</v>
      </c>
      <c r="G1244" s="261" t="str">
        <f t="shared" si="186"/>
        <v>0202</v>
      </c>
      <c r="H1244" s="408">
        <f t="shared" si="187"/>
        <v>5</v>
      </c>
      <c r="I1244" s="407" t="s">
        <v>1762</v>
      </c>
      <c r="J1244" s="258" t="s">
        <v>184</v>
      </c>
      <c r="K1244" s="258" t="s">
        <v>189</v>
      </c>
      <c r="L1244" s="258" t="s">
        <v>3310</v>
      </c>
      <c r="M1244" s="429">
        <v>190800000</v>
      </c>
      <c r="N1244" s="258">
        <v>2998</v>
      </c>
      <c r="O1244" s="258" t="s">
        <v>74</v>
      </c>
      <c r="P1244" s="258" t="s">
        <v>73</v>
      </c>
      <c r="Q1244" s="258" t="s">
        <v>72</v>
      </c>
      <c r="R1244" s="258">
        <v>5</v>
      </c>
      <c r="S1244" s="410">
        <v>15</v>
      </c>
      <c r="T1244" s="261">
        <v>6</v>
      </c>
      <c r="U1244" s="261">
        <v>6</v>
      </c>
      <c r="V1244" s="258" t="s">
        <v>1969</v>
      </c>
      <c r="W1244" s="261" t="str">
        <f t="shared" si="189"/>
        <v>BMW7 Series Sedan750e xDrive DPE190800000</v>
      </c>
      <c r="X1244" s="411">
        <f t="shared" si="190"/>
        <v>5018</v>
      </c>
      <c r="Y1244" s="261">
        <v>6</v>
      </c>
      <c r="Z1244" s="261">
        <v>6</v>
      </c>
      <c r="AA1244" s="407" t="s">
        <v>1762</v>
      </c>
      <c r="AB1244" s="258" t="s">
        <v>73</v>
      </c>
      <c r="AC1244" s="258"/>
      <c r="AD1244" s="258">
        <v>6</v>
      </c>
      <c r="AE1244" s="258">
        <v>0</v>
      </c>
      <c r="AF1244" s="259"/>
      <c r="AG1244" s="260"/>
      <c r="AH1244" s="259"/>
      <c r="AI1244" s="259"/>
      <c r="AJ1244" s="260"/>
      <c r="AK1244" s="259">
        <v>9</v>
      </c>
      <c r="AL1244" s="259"/>
      <c r="AM1244" s="259" t="s">
        <v>3962</v>
      </c>
      <c r="AN1244" s="449"/>
      <c r="AO1244" s="449"/>
      <c r="AP1244" s="449"/>
      <c r="AQ1244" s="392" t="str">
        <f>IFERROR(VLOOKUP(BG1244,#REF!,1,0),"")</f>
        <v/>
      </c>
      <c r="AS1244" s="259" t="s">
        <v>3311</v>
      </c>
      <c r="AW1244" s="392" t="s">
        <v>3979</v>
      </c>
      <c r="BD1244" s="202" t="str">
        <f t="shared" si="182"/>
        <v>7 Series Sedan750e xDrive DPE</v>
      </c>
      <c r="BE1244" s="261" t="str">
        <f t="shared" si="188"/>
        <v>0202</v>
      </c>
      <c r="BF1244" s="407" t="s">
        <v>1762</v>
      </c>
      <c r="BG1244" s="202" t="str">
        <f t="shared" si="183"/>
        <v>0202-1243</v>
      </c>
    </row>
    <row r="1245" spans="1:59">
      <c r="A1245" s="405">
        <v>5019</v>
      </c>
      <c r="B1245" s="406">
        <v>5019</v>
      </c>
      <c r="C1245" s="261" t="str">
        <f t="shared" si="184"/>
        <v>0008-0202</v>
      </c>
      <c r="D1245" s="261" t="str">
        <f t="shared" si="185"/>
        <v>0008-0202-0006</v>
      </c>
      <c r="E1245" s="407" t="s">
        <v>1763</v>
      </c>
      <c r="F1245" s="261" t="str">
        <f>TEXT(VLOOKUP(J1245,'[3]1'!$B$2:$D$37,2,0),"0000")</f>
        <v>0008</v>
      </c>
      <c r="G1245" s="261" t="str">
        <f t="shared" si="186"/>
        <v>0202</v>
      </c>
      <c r="H1245" s="408">
        <f t="shared" si="187"/>
        <v>6</v>
      </c>
      <c r="I1245" s="407" t="s">
        <v>1763</v>
      </c>
      <c r="J1245" s="258" t="s">
        <v>184</v>
      </c>
      <c r="K1245" s="258" t="s">
        <v>189</v>
      </c>
      <c r="L1245" s="258" t="s">
        <v>3309</v>
      </c>
      <c r="M1245" s="429">
        <v>193400000</v>
      </c>
      <c r="N1245" s="258">
        <v>2998</v>
      </c>
      <c r="O1245" s="258" t="s">
        <v>74</v>
      </c>
      <c r="P1245" s="258" t="s">
        <v>73</v>
      </c>
      <c r="Q1245" s="258" t="s">
        <v>72</v>
      </c>
      <c r="R1245" s="258">
        <v>5</v>
      </c>
      <c r="S1245" s="410">
        <v>15</v>
      </c>
      <c r="T1245" s="261">
        <v>6</v>
      </c>
      <c r="U1245" s="261">
        <v>6</v>
      </c>
      <c r="V1245" s="258" t="s">
        <v>1969</v>
      </c>
      <c r="W1245" s="261" t="str">
        <f t="shared" si="189"/>
        <v>BMW7 Series Sedan750e xDrive M Spt193400000</v>
      </c>
      <c r="X1245" s="411">
        <f t="shared" si="190"/>
        <v>5019</v>
      </c>
      <c r="Y1245" s="261">
        <v>6</v>
      </c>
      <c r="Z1245" s="261">
        <v>6</v>
      </c>
      <c r="AA1245" s="407" t="s">
        <v>1763</v>
      </c>
      <c r="AB1245" s="258" t="s">
        <v>73</v>
      </c>
      <c r="AC1245" s="258"/>
      <c r="AD1245" s="258">
        <v>6</v>
      </c>
      <c r="AE1245" s="258">
        <v>0</v>
      </c>
      <c r="AF1245" s="259"/>
      <c r="AG1245" s="260"/>
      <c r="AH1245" s="259"/>
      <c r="AI1245" s="259"/>
      <c r="AJ1245" s="260"/>
      <c r="AK1245" s="259">
        <v>9</v>
      </c>
      <c r="AL1245" s="259"/>
      <c r="AM1245" s="259" t="s">
        <v>3962</v>
      </c>
      <c r="AN1245" s="449"/>
      <c r="AO1245" s="449"/>
      <c r="AP1245" s="449"/>
      <c r="AQ1245" s="392" t="str">
        <f>IFERROR(VLOOKUP(BG1245,#REF!,1,0),"")</f>
        <v/>
      </c>
      <c r="AS1245" s="259" t="s">
        <v>3311</v>
      </c>
      <c r="AW1245" s="392" t="s">
        <v>3979</v>
      </c>
      <c r="BD1245" s="202" t="str">
        <f t="shared" si="182"/>
        <v>7 Series Sedan750e xDrive M Spt</v>
      </c>
      <c r="BE1245" s="261" t="str">
        <f t="shared" si="188"/>
        <v>0202</v>
      </c>
      <c r="BF1245" s="407" t="s">
        <v>1763</v>
      </c>
      <c r="BG1245" s="202" t="str">
        <f t="shared" si="183"/>
        <v>0202-1244</v>
      </c>
    </row>
    <row r="1246" spans="1:59">
      <c r="A1246" s="405">
        <v>5020</v>
      </c>
      <c r="B1246" s="406">
        <v>5020</v>
      </c>
      <c r="C1246" s="261" t="str">
        <f t="shared" si="184"/>
        <v>0008-0203</v>
      </c>
      <c r="D1246" s="261" t="str">
        <f t="shared" si="185"/>
        <v>0008-0203-0001</v>
      </c>
      <c r="E1246" s="407" t="s">
        <v>1764</v>
      </c>
      <c r="F1246" s="261" t="str">
        <f>TEXT(VLOOKUP(J1246,'[3]1'!$B$2:$D$37,2,0),"0000")</f>
        <v>0008</v>
      </c>
      <c r="G1246" s="261" t="str">
        <f t="shared" si="186"/>
        <v>0203</v>
      </c>
      <c r="H1246" s="408">
        <f t="shared" si="187"/>
        <v>1</v>
      </c>
      <c r="I1246" s="407" t="s">
        <v>1764</v>
      </c>
      <c r="J1246" s="258" t="s">
        <v>184</v>
      </c>
      <c r="K1246" s="258" t="s">
        <v>3433</v>
      </c>
      <c r="L1246" s="258" t="s">
        <v>3374</v>
      </c>
      <c r="M1246" s="409">
        <v>84900000</v>
      </c>
      <c r="N1246" s="258">
        <v>0</v>
      </c>
      <c r="O1246" s="258" t="s">
        <v>1290</v>
      </c>
      <c r="P1246" s="258" t="s">
        <v>73</v>
      </c>
      <c r="Q1246" s="258" t="s">
        <v>72</v>
      </c>
      <c r="R1246" s="258">
        <v>5</v>
      </c>
      <c r="S1246" s="410">
        <v>13</v>
      </c>
      <c r="T1246" s="261">
        <v>6</v>
      </c>
      <c r="U1246" s="261">
        <v>6</v>
      </c>
      <c r="V1246" s="258" t="s">
        <v>1969</v>
      </c>
      <c r="W1246" s="261" t="str">
        <f t="shared" si="189"/>
        <v>BMWi4 그란쿠페M5084900000</v>
      </c>
      <c r="X1246" s="411">
        <f t="shared" si="190"/>
        <v>5020</v>
      </c>
      <c r="Y1246" s="261">
        <v>6</v>
      </c>
      <c r="Z1246" s="261">
        <v>6</v>
      </c>
      <c r="AA1246" s="407" t="s">
        <v>1764</v>
      </c>
      <c r="AB1246" s="258" t="s">
        <v>73</v>
      </c>
      <c r="AC1246" s="258"/>
      <c r="AD1246" s="258">
        <v>6</v>
      </c>
      <c r="AE1246" s="258">
        <v>0</v>
      </c>
      <c r="AF1246" s="259"/>
      <c r="AG1246" s="260"/>
      <c r="AH1246" s="259"/>
      <c r="AI1246" s="259"/>
      <c r="AJ1246" s="260"/>
      <c r="AK1246" s="259">
        <v>26</v>
      </c>
      <c r="AL1246" s="259"/>
      <c r="AM1246" s="259" t="s">
        <v>3681</v>
      </c>
      <c r="AN1246" s="449"/>
      <c r="AO1246" s="449"/>
      <c r="AP1246" s="449"/>
      <c r="AQ1246" s="392" t="str">
        <f>IFERROR(VLOOKUP(BG1246,#REF!,1,0),"")</f>
        <v/>
      </c>
      <c r="AS1246" s="259" t="s">
        <v>1991</v>
      </c>
      <c r="AT1246" s="392">
        <v>2024.02</v>
      </c>
      <c r="AW1246" s="392" t="s">
        <v>3460</v>
      </c>
      <c r="BD1246" s="202" t="str">
        <f t="shared" si="182"/>
        <v>i4 그란쿠페M50</v>
      </c>
      <c r="BE1246" s="261" t="str">
        <f t="shared" si="188"/>
        <v>0203</v>
      </c>
      <c r="BF1246" s="407" t="s">
        <v>1764</v>
      </c>
      <c r="BG1246" s="202" t="str">
        <f t="shared" si="183"/>
        <v>0203-1245</v>
      </c>
    </row>
    <row r="1247" spans="1:59">
      <c r="A1247" s="405">
        <v>5021</v>
      </c>
      <c r="B1247" s="406">
        <v>5021</v>
      </c>
      <c r="C1247" s="261" t="str">
        <f t="shared" si="184"/>
        <v>0008-0203</v>
      </c>
      <c r="D1247" s="261" t="str">
        <f t="shared" si="185"/>
        <v>0008-0203-0002</v>
      </c>
      <c r="E1247" s="407" t="s">
        <v>1765</v>
      </c>
      <c r="F1247" s="261" t="str">
        <f>TEXT(VLOOKUP(J1247,'[3]1'!$B$2:$D$37,2,0),"0000")</f>
        <v>0008</v>
      </c>
      <c r="G1247" s="261" t="str">
        <f t="shared" si="186"/>
        <v>0203</v>
      </c>
      <c r="H1247" s="408">
        <f t="shared" si="187"/>
        <v>2</v>
      </c>
      <c r="I1247" s="407" t="s">
        <v>1765</v>
      </c>
      <c r="J1247" s="258" t="s">
        <v>184</v>
      </c>
      <c r="K1247" s="258" t="s">
        <v>3433</v>
      </c>
      <c r="L1247" s="258" t="s">
        <v>3434</v>
      </c>
      <c r="M1247" s="409">
        <v>88200000</v>
      </c>
      <c r="N1247" s="258">
        <v>0</v>
      </c>
      <c r="O1247" s="258" t="s">
        <v>1290</v>
      </c>
      <c r="P1247" s="258" t="s">
        <v>73</v>
      </c>
      <c r="Q1247" s="258" t="s">
        <v>72</v>
      </c>
      <c r="R1247" s="258">
        <v>5</v>
      </c>
      <c r="S1247" s="410">
        <v>13</v>
      </c>
      <c r="T1247" s="261">
        <v>6</v>
      </c>
      <c r="U1247" s="261">
        <v>6</v>
      </c>
      <c r="V1247" s="258" t="s">
        <v>1969</v>
      </c>
      <c r="W1247" s="261" t="str">
        <f t="shared" si="189"/>
        <v>BMWi4 그란쿠페M50 Pro88200000</v>
      </c>
      <c r="X1247" s="411">
        <f t="shared" si="190"/>
        <v>5021</v>
      </c>
      <c r="Y1247" s="261">
        <v>6</v>
      </c>
      <c r="Z1247" s="261">
        <v>6</v>
      </c>
      <c r="AA1247" s="407" t="s">
        <v>1765</v>
      </c>
      <c r="AB1247" s="258" t="s">
        <v>73</v>
      </c>
      <c r="AC1247" s="258"/>
      <c r="AD1247" s="258">
        <v>6</v>
      </c>
      <c r="AE1247" s="258">
        <v>0</v>
      </c>
      <c r="AF1247" s="259"/>
      <c r="AG1247" s="260"/>
      <c r="AH1247" s="259"/>
      <c r="AI1247" s="259"/>
      <c r="AJ1247" s="260"/>
      <c r="AK1247" s="259">
        <v>26</v>
      </c>
      <c r="AL1247" s="259"/>
      <c r="AM1247" s="259" t="s">
        <v>3681</v>
      </c>
      <c r="AN1247" s="449"/>
      <c r="AO1247" s="449"/>
      <c r="AP1247" s="449"/>
      <c r="AQ1247" s="392" t="str">
        <f>IFERROR(VLOOKUP(BG1247,#REF!,1,0),"")</f>
        <v/>
      </c>
      <c r="AS1247" s="259" t="s">
        <v>1991</v>
      </c>
      <c r="AT1247" s="392">
        <v>2024.02</v>
      </c>
      <c r="AW1247" s="392" t="s">
        <v>3460</v>
      </c>
      <c r="BD1247" s="202" t="str">
        <f t="shared" si="182"/>
        <v>i4 그란쿠페M50 Pro</v>
      </c>
      <c r="BE1247" s="261" t="str">
        <f t="shared" si="188"/>
        <v>0203</v>
      </c>
      <c r="BF1247" s="407" t="s">
        <v>1765</v>
      </c>
      <c r="BG1247" s="202" t="str">
        <f t="shared" si="183"/>
        <v>0203-1246</v>
      </c>
    </row>
    <row r="1248" spans="1:59">
      <c r="A1248" s="405">
        <v>5022</v>
      </c>
      <c r="B1248" s="406">
        <v>5022</v>
      </c>
      <c r="C1248" s="261" t="str">
        <f t="shared" si="184"/>
        <v>0008-0204</v>
      </c>
      <c r="D1248" s="261" t="str">
        <f t="shared" si="185"/>
        <v>0008-0204-0001</v>
      </c>
      <c r="E1248" s="407" t="s">
        <v>1766</v>
      </c>
      <c r="F1248" s="261" t="str">
        <f>TEXT(VLOOKUP(J1248,'[3]1'!$B$2:$D$37,2,0),"0000")</f>
        <v>0008</v>
      </c>
      <c r="G1248" s="261" t="str">
        <f t="shared" si="186"/>
        <v>0204</v>
      </c>
      <c r="H1248" s="408">
        <f t="shared" si="187"/>
        <v>1</v>
      </c>
      <c r="I1248" s="407" t="s">
        <v>1766</v>
      </c>
      <c r="J1248" s="258" t="s">
        <v>184</v>
      </c>
      <c r="K1248" s="258" t="s">
        <v>3344</v>
      </c>
      <c r="L1248" s="521" t="s">
        <v>3345</v>
      </c>
      <c r="M1248" s="409">
        <v>93900000</v>
      </c>
      <c r="N1248" s="258">
        <v>0</v>
      </c>
      <c r="O1248" s="258" t="s">
        <v>1290</v>
      </c>
      <c r="P1248" s="258" t="s">
        <v>73</v>
      </c>
      <c r="Q1248" s="258" t="s">
        <v>72</v>
      </c>
      <c r="R1248" s="258">
        <v>5</v>
      </c>
      <c r="S1248" s="410">
        <v>10</v>
      </c>
      <c r="T1248" s="261">
        <v>6</v>
      </c>
      <c r="U1248" s="261">
        <v>6</v>
      </c>
      <c r="V1248" s="258" t="s">
        <v>1914</v>
      </c>
      <c r="W1248" s="261" t="str">
        <f t="shared" si="189"/>
        <v>BMWi5eDrive4093900000</v>
      </c>
      <c r="X1248" s="411">
        <f t="shared" si="190"/>
        <v>5022</v>
      </c>
      <c r="Y1248" s="261">
        <v>6</v>
      </c>
      <c r="Z1248" s="261">
        <v>6</v>
      </c>
      <c r="AA1248" s="407" t="s">
        <v>1766</v>
      </c>
      <c r="AB1248" s="258" t="s">
        <v>73</v>
      </c>
      <c r="AC1248" s="258"/>
      <c r="AD1248" s="258">
        <v>7</v>
      </c>
      <c r="AE1248" s="258">
        <v>0</v>
      </c>
      <c r="AF1248" s="259"/>
      <c r="AG1248" s="260"/>
      <c r="AH1248" s="259"/>
      <c r="AI1248" s="259"/>
      <c r="AJ1248" s="260"/>
      <c r="AK1248" s="259">
        <v>26</v>
      </c>
      <c r="AL1248" s="259"/>
      <c r="AM1248" s="259" t="s">
        <v>3681</v>
      </c>
      <c r="AN1248" s="449"/>
      <c r="AO1248" s="449"/>
      <c r="AP1248" s="449"/>
      <c r="AQ1248" s="392" t="str">
        <f>IFERROR(VLOOKUP(BG1248,#REF!,1,0),"")</f>
        <v/>
      </c>
      <c r="AS1248" s="259" t="s">
        <v>1988</v>
      </c>
      <c r="AW1248" s="392">
        <v>2024.01</v>
      </c>
      <c r="BD1248" s="202" t="str">
        <f t="shared" si="182"/>
        <v>i5eDrive40</v>
      </c>
      <c r="BE1248" s="261" t="str">
        <f t="shared" si="188"/>
        <v>0204</v>
      </c>
      <c r="BF1248" s="407" t="s">
        <v>1766</v>
      </c>
      <c r="BG1248" s="202" t="str">
        <f t="shared" si="183"/>
        <v>0204-1247</v>
      </c>
    </row>
    <row r="1249" spans="1:59">
      <c r="A1249" s="405">
        <v>5023</v>
      </c>
      <c r="B1249" s="406">
        <v>5023</v>
      </c>
      <c r="C1249" s="261" t="str">
        <f t="shared" si="184"/>
        <v>0008-0204</v>
      </c>
      <c r="D1249" s="261" t="str">
        <f t="shared" si="185"/>
        <v>0008-0204-0002</v>
      </c>
      <c r="E1249" s="407" t="s">
        <v>1767</v>
      </c>
      <c r="F1249" s="261" t="str">
        <f>TEXT(VLOOKUP(J1249,'[3]1'!$B$2:$D$37,2,0),"0000")</f>
        <v>0008</v>
      </c>
      <c r="G1249" s="261" t="str">
        <f t="shared" si="186"/>
        <v>0204</v>
      </c>
      <c r="H1249" s="408">
        <f t="shared" si="187"/>
        <v>2</v>
      </c>
      <c r="I1249" s="407" t="s">
        <v>1767</v>
      </c>
      <c r="J1249" s="258" t="s">
        <v>184</v>
      </c>
      <c r="K1249" s="258" t="s">
        <v>3344</v>
      </c>
      <c r="L1249" s="521" t="s">
        <v>3435</v>
      </c>
      <c r="M1249" s="409">
        <v>138900000</v>
      </c>
      <c r="N1249" s="258">
        <v>0</v>
      </c>
      <c r="O1249" s="258" t="s">
        <v>1290</v>
      </c>
      <c r="P1249" s="258" t="s">
        <v>73</v>
      </c>
      <c r="Q1249" s="258" t="s">
        <v>72</v>
      </c>
      <c r="R1249" s="258">
        <v>5</v>
      </c>
      <c r="S1249" s="410">
        <v>15</v>
      </c>
      <c r="T1249" s="261">
        <v>6</v>
      </c>
      <c r="U1249" s="261">
        <v>6</v>
      </c>
      <c r="V1249" s="258" t="s">
        <v>1914</v>
      </c>
      <c r="W1249" s="261" t="str">
        <f t="shared" si="189"/>
        <v>BMWi5M60138900000</v>
      </c>
      <c r="X1249" s="411">
        <f t="shared" si="190"/>
        <v>5023</v>
      </c>
      <c r="Y1249" s="261">
        <v>6</v>
      </c>
      <c r="Z1249" s="261">
        <v>6</v>
      </c>
      <c r="AA1249" s="407" t="s">
        <v>1767</v>
      </c>
      <c r="AB1249" s="258" t="s">
        <v>73</v>
      </c>
      <c r="AC1249" s="258"/>
      <c r="AD1249" s="258">
        <v>7</v>
      </c>
      <c r="AE1249" s="258">
        <v>0</v>
      </c>
      <c r="AF1249" s="259"/>
      <c r="AG1249" s="260"/>
      <c r="AH1249" s="259"/>
      <c r="AI1249" s="259"/>
      <c r="AJ1249" s="260"/>
      <c r="AK1249" s="259">
        <v>26</v>
      </c>
      <c r="AL1249" s="259"/>
      <c r="AM1249" s="259" t="s">
        <v>3681</v>
      </c>
      <c r="AN1249" s="449"/>
      <c r="AO1249" s="449"/>
      <c r="AP1249" s="449"/>
      <c r="AQ1249" s="392" t="str">
        <f>IFERROR(VLOOKUP(BG1249,#REF!,1,0),"")</f>
        <v/>
      </c>
      <c r="AS1249" s="259" t="s">
        <v>1992</v>
      </c>
      <c r="AT1249" s="392">
        <v>2024.02</v>
      </c>
      <c r="AW1249" s="392" t="s">
        <v>3460</v>
      </c>
      <c r="BD1249" s="202" t="str">
        <f t="shared" si="182"/>
        <v>i5M60</v>
      </c>
      <c r="BE1249" s="261" t="str">
        <f t="shared" si="188"/>
        <v>0204</v>
      </c>
      <c r="BF1249" s="407" t="s">
        <v>1767</v>
      </c>
      <c r="BG1249" s="202" t="str">
        <f t="shared" si="183"/>
        <v>0204-1248</v>
      </c>
    </row>
    <row r="1250" spans="1:59">
      <c r="A1250" s="405">
        <v>5024</v>
      </c>
      <c r="B1250" s="406">
        <v>5024</v>
      </c>
      <c r="C1250" s="261" t="str">
        <f t="shared" si="184"/>
        <v>0008-0204</v>
      </c>
      <c r="D1250" s="261" t="str">
        <f t="shared" si="185"/>
        <v>0008-0204-0003</v>
      </c>
      <c r="E1250" s="407" t="s">
        <v>1768</v>
      </c>
      <c r="F1250" s="261" t="str">
        <f>TEXT(VLOOKUP(J1250,'[3]1'!$B$2:$D$37,2,0),"0000")</f>
        <v>0008</v>
      </c>
      <c r="G1250" s="261" t="str">
        <f t="shared" si="186"/>
        <v>0204</v>
      </c>
      <c r="H1250" s="408">
        <f t="shared" si="187"/>
        <v>3</v>
      </c>
      <c r="I1250" s="407" t="s">
        <v>1768</v>
      </c>
      <c r="J1250" s="258" t="s">
        <v>184</v>
      </c>
      <c r="K1250" s="258" t="s">
        <v>3344</v>
      </c>
      <c r="L1250" s="521" t="s">
        <v>3436</v>
      </c>
      <c r="M1250" s="409">
        <v>134900000</v>
      </c>
      <c r="N1250" s="258">
        <v>0</v>
      </c>
      <c r="O1250" s="258" t="s">
        <v>1290</v>
      </c>
      <c r="P1250" s="258" t="s">
        <v>73</v>
      </c>
      <c r="Q1250" s="258" t="s">
        <v>72</v>
      </c>
      <c r="R1250" s="258">
        <v>5</v>
      </c>
      <c r="S1250" s="410">
        <v>15</v>
      </c>
      <c r="T1250" s="261">
        <v>6</v>
      </c>
      <c r="U1250" s="261">
        <v>6</v>
      </c>
      <c r="V1250" s="258" t="s">
        <v>1969</v>
      </c>
      <c r="W1250" s="261" t="str">
        <f t="shared" si="189"/>
        <v>BMWi5M60 Pro134900000</v>
      </c>
      <c r="X1250" s="411">
        <f t="shared" si="190"/>
        <v>5024</v>
      </c>
      <c r="Y1250" s="261">
        <v>6</v>
      </c>
      <c r="Z1250" s="261">
        <v>6</v>
      </c>
      <c r="AA1250" s="407" t="s">
        <v>1768</v>
      </c>
      <c r="AB1250" s="258" t="s">
        <v>73</v>
      </c>
      <c r="AC1250" s="258"/>
      <c r="AD1250" s="258">
        <v>7</v>
      </c>
      <c r="AE1250" s="258">
        <v>0</v>
      </c>
      <c r="AF1250" s="259"/>
      <c r="AG1250" s="260"/>
      <c r="AH1250" s="259"/>
      <c r="AI1250" s="259"/>
      <c r="AJ1250" s="260"/>
      <c r="AK1250" s="259">
        <v>26</v>
      </c>
      <c r="AL1250" s="259"/>
      <c r="AM1250" s="259" t="s">
        <v>3681</v>
      </c>
      <c r="AN1250" s="449"/>
      <c r="AO1250" s="449"/>
      <c r="AP1250" s="449"/>
      <c r="AQ1250" s="392" t="str">
        <f>IFERROR(VLOOKUP(BG1250,#REF!,1,0),"")</f>
        <v/>
      </c>
      <c r="AS1250" s="259" t="s">
        <v>1992</v>
      </c>
      <c r="AT1250" s="392">
        <v>2024.02</v>
      </c>
      <c r="AW1250" s="392" t="s">
        <v>3460</v>
      </c>
      <c r="BD1250" s="202" t="str">
        <f t="shared" si="182"/>
        <v>i5M60 Pro</v>
      </c>
      <c r="BE1250" s="261" t="str">
        <f t="shared" si="188"/>
        <v>0204</v>
      </c>
      <c r="BF1250" s="407" t="s">
        <v>1768</v>
      </c>
      <c r="BG1250" s="202" t="str">
        <f t="shared" si="183"/>
        <v>0204-1249</v>
      </c>
    </row>
    <row r="1251" spans="1:59">
      <c r="A1251" s="405">
        <v>5025</v>
      </c>
      <c r="B1251" s="406">
        <v>5025</v>
      </c>
      <c r="C1251" s="261" t="str">
        <f t="shared" si="184"/>
        <v>0008-0205</v>
      </c>
      <c r="D1251" s="261" t="str">
        <f t="shared" si="185"/>
        <v>0008-0205-0001</v>
      </c>
      <c r="E1251" s="407" t="s">
        <v>1769</v>
      </c>
      <c r="F1251" s="261" t="str">
        <f>TEXT(VLOOKUP(J1251,'[3]1'!$B$2:$D$37,2,0),"0000")</f>
        <v>0008</v>
      </c>
      <c r="G1251" s="261" t="str">
        <f t="shared" si="186"/>
        <v>0205</v>
      </c>
      <c r="H1251" s="408">
        <f t="shared" si="187"/>
        <v>1</v>
      </c>
      <c r="I1251" s="407" t="s">
        <v>1769</v>
      </c>
      <c r="J1251" s="258" t="s">
        <v>184</v>
      </c>
      <c r="K1251" s="258" t="s">
        <v>3243</v>
      </c>
      <c r="L1251" s="521" t="s">
        <v>3244</v>
      </c>
      <c r="M1251" s="409">
        <v>215700000</v>
      </c>
      <c r="N1251" s="258">
        <v>0</v>
      </c>
      <c r="O1251" s="258" t="s">
        <v>1290</v>
      </c>
      <c r="P1251" s="258" t="s">
        <v>73</v>
      </c>
      <c r="Q1251" s="258" t="s">
        <v>72</v>
      </c>
      <c r="R1251" s="258">
        <v>5</v>
      </c>
      <c r="S1251" s="410">
        <v>17</v>
      </c>
      <c r="T1251" s="261">
        <v>6</v>
      </c>
      <c r="U1251" s="261">
        <v>6</v>
      </c>
      <c r="V1251" s="258" t="s">
        <v>1914</v>
      </c>
      <c r="W1251" s="261" t="str">
        <f t="shared" si="189"/>
        <v>BMWi7xDrive60 DPE EX215700000</v>
      </c>
      <c r="X1251" s="411">
        <f t="shared" si="190"/>
        <v>5025</v>
      </c>
      <c r="Y1251" s="261">
        <v>6</v>
      </c>
      <c r="Z1251" s="261">
        <v>6</v>
      </c>
      <c r="AA1251" s="407" t="s">
        <v>1769</v>
      </c>
      <c r="AB1251" s="258" t="s">
        <v>73</v>
      </c>
      <c r="AC1251" s="258"/>
      <c r="AD1251" s="258">
        <v>7</v>
      </c>
      <c r="AE1251" s="258">
        <v>0</v>
      </c>
      <c r="AF1251" s="259"/>
      <c r="AG1251" s="260"/>
      <c r="AH1251" s="259"/>
      <c r="AI1251" s="259"/>
      <c r="AJ1251" s="260"/>
      <c r="AK1251" s="259">
        <v>26</v>
      </c>
      <c r="AL1251" s="259"/>
      <c r="AM1251" s="259" t="s">
        <v>3681</v>
      </c>
      <c r="AN1251" s="449"/>
      <c r="AO1251" s="449"/>
      <c r="AP1251" s="449"/>
      <c r="AQ1251" s="392" t="str">
        <f>IFERROR(VLOOKUP(BG1251,#REF!,1,0),"")</f>
        <v/>
      </c>
      <c r="AS1251" s="259" t="s">
        <v>3254</v>
      </c>
      <c r="BD1251" s="202" t="str">
        <f t="shared" si="182"/>
        <v>i7xDrive60 DPE EX</v>
      </c>
      <c r="BE1251" s="261" t="str">
        <f t="shared" si="188"/>
        <v>0205</v>
      </c>
      <c r="BF1251" s="407" t="s">
        <v>1769</v>
      </c>
      <c r="BG1251" s="202" t="str">
        <f t="shared" si="183"/>
        <v>0205-1250</v>
      </c>
    </row>
    <row r="1252" spans="1:59">
      <c r="A1252" s="405">
        <v>5026</v>
      </c>
      <c r="B1252" s="406">
        <v>5026</v>
      </c>
      <c r="C1252" s="261" t="str">
        <f t="shared" si="184"/>
        <v>0008-0205</v>
      </c>
      <c r="D1252" s="261" t="str">
        <f t="shared" si="185"/>
        <v>0008-0205-0002</v>
      </c>
      <c r="E1252" s="407" t="s">
        <v>1770</v>
      </c>
      <c r="F1252" s="261" t="str">
        <f>TEXT(VLOOKUP(J1252,'[3]1'!$B$2:$D$37,2,0),"0000")</f>
        <v>0008</v>
      </c>
      <c r="G1252" s="261" t="str">
        <f t="shared" si="186"/>
        <v>0205</v>
      </c>
      <c r="H1252" s="408">
        <f t="shared" si="187"/>
        <v>2</v>
      </c>
      <c r="I1252" s="407" t="s">
        <v>1770</v>
      </c>
      <c r="J1252" s="258" t="s">
        <v>184</v>
      </c>
      <c r="K1252" s="258" t="s">
        <v>3243</v>
      </c>
      <c r="L1252" s="521" t="s">
        <v>3245</v>
      </c>
      <c r="M1252" s="409">
        <v>218700000</v>
      </c>
      <c r="N1252" s="258">
        <v>0</v>
      </c>
      <c r="O1252" s="258" t="s">
        <v>1290</v>
      </c>
      <c r="P1252" s="258" t="s">
        <v>73</v>
      </c>
      <c r="Q1252" s="258" t="s">
        <v>72</v>
      </c>
      <c r="R1252" s="258">
        <v>5</v>
      </c>
      <c r="S1252" s="410">
        <v>17</v>
      </c>
      <c r="T1252" s="261">
        <v>6</v>
      </c>
      <c r="U1252" s="261">
        <v>6</v>
      </c>
      <c r="V1252" s="258" t="s">
        <v>1914</v>
      </c>
      <c r="W1252" s="261" t="str">
        <f t="shared" si="189"/>
        <v>BMWi7xDrive60 DPE  M Sport218700000</v>
      </c>
      <c r="X1252" s="411">
        <f t="shared" si="190"/>
        <v>5026</v>
      </c>
      <c r="Y1252" s="261">
        <v>6</v>
      </c>
      <c r="Z1252" s="261">
        <v>6</v>
      </c>
      <c r="AA1252" s="407" t="s">
        <v>1770</v>
      </c>
      <c r="AB1252" s="258" t="s">
        <v>73</v>
      </c>
      <c r="AC1252" s="258"/>
      <c r="AD1252" s="258">
        <v>7</v>
      </c>
      <c r="AE1252" s="258">
        <v>0</v>
      </c>
      <c r="AF1252" s="259"/>
      <c r="AG1252" s="260"/>
      <c r="AH1252" s="259"/>
      <c r="AI1252" s="259"/>
      <c r="AJ1252" s="260"/>
      <c r="AK1252" s="259">
        <v>26</v>
      </c>
      <c r="AL1252" s="259"/>
      <c r="AM1252" s="259" t="s">
        <v>3681</v>
      </c>
      <c r="AN1252" s="449"/>
      <c r="AO1252" s="449"/>
      <c r="AP1252" s="449"/>
      <c r="AQ1252" s="392" t="str">
        <f>IFERROR(VLOOKUP(BG1252,#REF!,1,0),"")</f>
        <v/>
      </c>
      <c r="AS1252" s="259" t="s">
        <v>1994</v>
      </c>
      <c r="BD1252" s="202" t="str">
        <f t="shared" si="182"/>
        <v>i7xDrive60 DPE  M Sport</v>
      </c>
      <c r="BE1252" s="261" t="str">
        <f t="shared" si="188"/>
        <v>0205</v>
      </c>
      <c r="BF1252" s="407" t="s">
        <v>1770</v>
      </c>
      <c r="BG1252" s="202" t="str">
        <f t="shared" si="183"/>
        <v>0205-1251</v>
      </c>
    </row>
    <row r="1253" spans="1:59">
      <c r="A1253" s="405">
        <v>5027</v>
      </c>
      <c r="B1253" s="406">
        <v>5027</v>
      </c>
      <c r="C1253" s="261" t="str">
        <f t="shared" si="184"/>
        <v>0008-0205</v>
      </c>
      <c r="D1253" s="261" t="str">
        <f t="shared" si="185"/>
        <v>0008-0205-0003</v>
      </c>
      <c r="E1253" s="407" t="s">
        <v>1771</v>
      </c>
      <c r="F1253" s="261" t="str">
        <f>TEXT(VLOOKUP(J1253,'[3]1'!$B$2:$D$37,2,0),"0000")</f>
        <v>0008</v>
      </c>
      <c r="G1253" s="261" t="str">
        <f t="shared" si="186"/>
        <v>0205</v>
      </c>
      <c r="H1253" s="408">
        <f t="shared" si="187"/>
        <v>3</v>
      </c>
      <c r="I1253" s="407" t="s">
        <v>1771</v>
      </c>
      <c r="J1253" s="258" t="s">
        <v>184</v>
      </c>
      <c r="K1253" s="258" t="s">
        <v>3243</v>
      </c>
      <c r="L1253" s="521" t="s">
        <v>3334</v>
      </c>
      <c r="M1253" s="409">
        <v>181900000</v>
      </c>
      <c r="N1253" s="258">
        <v>0</v>
      </c>
      <c r="O1253" s="258" t="s">
        <v>1290</v>
      </c>
      <c r="P1253" s="258" t="s">
        <v>73</v>
      </c>
      <c r="Q1253" s="258" t="s">
        <v>72</v>
      </c>
      <c r="R1253" s="258">
        <v>5</v>
      </c>
      <c r="S1253" s="410">
        <v>13</v>
      </c>
      <c r="T1253" s="261">
        <v>6</v>
      </c>
      <c r="U1253" s="261">
        <v>6</v>
      </c>
      <c r="V1253" s="258" t="s">
        <v>1914</v>
      </c>
      <c r="W1253" s="261" t="str">
        <f t="shared" si="189"/>
        <v>BMWi7eDrive50 M Sport181900000</v>
      </c>
      <c r="X1253" s="411">
        <f t="shared" si="190"/>
        <v>5027</v>
      </c>
      <c r="Y1253" s="261">
        <v>6</v>
      </c>
      <c r="Z1253" s="261">
        <v>6</v>
      </c>
      <c r="AA1253" s="407" t="s">
        <v>1771</v>
      </c>
      <c r="AB1253" s="258" t="s">
        <v>73</v>
      </c>
      <c r="AC1253" s="258"/>
      <c r="AD1253" s="258">
        <v>7</v>
      </c>
      <c r="AE1253" s="258">
        <v>0</v>
      </c>
      <c r="AF1253" s="259"/>
      <c r="AG1253" s="260"/>
      <c r="AH1253" s="259"/>
      <c r="AI1253" s="259"/>
      <c r="AJ1253" s="260"/>
      <c r="AK1253" s="259">
        <v>26</v>
      </c>
      <c r="AL1253" s="259"/>
      <c r="AM1253" s="259" t="s">
        <v>3681</v>
      </c>
      <c r="AN1253" s="449"/>
      <c r="AO1253" s="449"/>
      <c r="AP1253" s="449"/>
      <c r="AQ1253" s="392" t="str">
        <f>IFERROR(VLOOKUP(BG1253,#REF!,1,0),"")</f>
        <v/>
      </c>
      <c r="AS1253" s="259" t="s">
        <v>1991</v>
      </c>
      <c r="AW1253" s="392">
        <v>2024.01</v>
      </c>
      <c r="BD1253" s="202" t="str">
        <f t="shared" si="182"/>
        <v>i7eDrive50 M Sport</v>
      </c>
      <c r="BE1253" s="261" t="str">
        <f t="shared" si="188"/>
        <v>0205</v>
      </c>
      <c r="BF1253" s="407" t="s">
        <v>1771</v>
      </c>
      <c r="BG1253" s="202" t="str">
        <f t="shared" si="183"/>
        <v>0205-1252</v>
      </c>
    </row>
    <row r="1254" spans="1:59">
      <c r="A1254" s="405">
        <v>5028</v>
      </c>
      <c r="B1254" s="406">
        <v>5028</v>
      </c>
      <c r="C1254" s="261" t="str">
        <f t="shared" si="184"/>
        <v>0008-0205</v>
      </c>
      <c r="D1254" s="261" t="str">
        <f t="shared" si="185"/>
        <v>0008-0205-0004</v>
      </c>
      <c r="E1254" s="407" t="s">
        <v>1772</v>
      </c>
      <c r="F1254" s="261" t="str">
        <f>TEXT(VLOOKUP(J1254,'[3]1'!$B$2:$D$37,2,0),"0000")</f>
        <v>0008</v>
      </c>
      <c r="G1254" s="261" t="str">
        <f t="shared" si="186"/>
        <v>0205</v>
      </c>
      <c r="H1254" s="408">
        <f t="shared" si="187"/>
        <v>4</v>
      </c>
      <c r="I1254" s="407" t="s">
        <v>1772</v>
      </c>
      <c r="J1254" s="258" t="s">
        <v>184</v>
      </c>
      <c r="K1254" s="258" t="s">
        <v>3243</v>
      </c>
      <c r="L1254" s="521" t="s">
        <v>3373</v>
      </c>
      <c r="M1254" s="409">
        <v>231800000</v>
      </c>
      <c r="N1254" s="258">
        <v>0</v>
      </c>
      <c r="O1254" s="258" t="s">
        <v>1290</v>
      </c>
      <c r="P1254" s="258" t="s">
        <v>73</v>
      </c>
      <c r="Q1254" s="258" t="s">
        <v>72</v>
      </c>
      <c r="R1254" s="258">
        <v>5</v>
      </c>
      <c r="S1254" s="410">
        <v>19</v>
      </c>
      <c r="T1254" s="261">
        <v>6</v>
      </c>
      <c r="U1254" s="261">
        <v>6</v>
      </c>
      <c r="V1254" s="258" t="s">
        <v>1969</v>
      </c>
      <c r="W1254" s="261" t="str">
        <f t="shared" si="189"/>
        <v>BMWi7M70 xDrive 231800000</v>
      </c>
      <c r="X1254" s="411">
        <f t="shared" si="190"/>
        <v>5028</v>
      </c>
      <c r="Y1254" s="261">
        <v>6</v>
      </c>
      <c r="Z1254" s="261">
        <v>6</v>
      </c>
      <c r="AA1254" s="407" t="s">
        <v>1772</v>
      </c>
      <c r="AB1254" s="258" t="s">
        <v>73</v>
      </c>
      <c r="AC1254" s="258"/>
      <c r="AD1254" s="258">
        <v>7</v>
      </c>
      <c r="AE1254" s="258">
        <v>0</v>
      </c>
      <c r="AF1254" s="259"/>
      <c r="AG1254" s="260"/>
      <c r="AH1254" s="259"/>
      <c r="AI1254" s="259"/>
      <c r="AJ1254" s="260"/>
      <c r="AK1254" s="259">
        <v>26</v>
      </c>
      <c r="AL1254" s="259"/>
      <c r="AM1254" s="259" t="s">
        <v>3681</v>
      </c>
      <c r="AN1254" s="449"/>
      <c r="AO1254" s="449"/>
      <c r="AP1254" s="449"/>
      <c r="AQ1254" s="392" t="str">
        <f>IFERROR(VLOOKUP(BG1254,#REF!,1,0),"")</f>
        <v/>
      </c>
      <c r="AS1254" s="259" t="s">
        <v>1996</v>
      </c>
      <c r="AT1254" s="392">
        <v>2024.02</v>
      </c>
      <c r="AW1254" s="392" t="s">
        <v>3460</v>
      </c>
      <c r="BD1254" s="202" t="str">
        <f t="shared" si="182"/>
        <v xml:space="preserve">i7M70 xDrive </v>
      </c>
      <c r="BE1254" s="261" t="str">
        <f t="shared" si="188"/>
        <v>0205</v>
      </c>
      <c r="BF1254" s="407" t="s">
        <v>1772</v>
      </c>
      <c r="BG1254" s="202" t="str">
        <f t="shared" si="183"/>
        <v>0205-1253</v>
      </c>
    </row>
    <row r="1255" spans="1:59">
      <c r="A1255" s="405">
        <v>5029</v>
      </c>
      <c r="B1255" s="406">
        <v>5029</v>
      </c>
      <c r="C1255" s="261" t="str">
        <f t="shared" si="184"/>
        <v>0008-0206</v>
      </c>
      <c r="D1255" s="261" t="str">
        <f t="shared" si="185"/>
        <v>0008-0206-0001</v>
      </c>
      <c r="E1255" s="407" t="s">
        <v>1773</v>
      </c>
      <c r="F1255" s="261" t="str">
        <f>TEXT(VLOOKUP(J1255,'[3]1'!$B$2:$D$37,2,0),"0000")</f>
        <v>0008</v>
      </c>
      <c r="G1255" s="261" t="str">
        <f t="shared" si="186"/>
        <v>0206</v>
      </c>
      <c r="H1255" s="408">
        <f t="shared" si="187"/>
        <v>1</v>
      </c>
      <c r="I1255" s="407" t="s">
        <v>1773</v>
      </c>
      <c r="J1255" s="258" t="s">
        <v>184</v>
      </c>
      <c r="K1255" s="258" t="s">
        <v>3270</v>
      </c>
      <c r="L1255" s="258" t="s">
        <v>3271</v>
      </c>
      <c r="M1255" s="409">
        <v>146000000</v>
      </c>
      <c r="N1255" s="258">
        <v>0</v>
      </c>
      <c r="O1255" s="258" t="s">
        <v>1290</v>
      </c>
      <c r="P1255" s="258" t="s">
        <v>73</v>
      </c>
      <c r="Q1255" s="258" t="s">
        <v>72</v>
      </c>
      <c r="R1255" s="258">
        <v>4</v>
      </c>
      <c r="S1255" s="410">
        <v>8</v>
      </c>
      <c r="T1255" s="261">
        <v>6</v>
      </c>
      <c r="U1255" s="261">
        <v>6</v>
      </c>
      <c r="V1255" s="258" t="s">
        <v>1914</v>
      </c>
      <c r="W1255" s="261" t="str">
        <f t="shared" si="189"/>
        <v>BMWiXiX xDrive 50 Sport Plus146000000</v>
      </c>
      <c r="X1255" s="411">
        <f t="shared" si="190"/>
        <v>5029</v>
      </c>
      <c r="Y1255" s="261">
        <v>6</v>
      </c>
      <c r="Z1255" s="261">
        <v>6</v>
      </c>
      <c r="AA1255" s="407" t="s">
        <v>1773</v>
      </c>
      <c r="AB1255" s="258" t="s">
        <v>73</v>
      </c>
      <c r="AC1255" s="258"/>
      <c r="AD1255" s="258">
        <v>7</v>
      </c>
      <c r="AE1255" s="258">
        <v>0</v>
      </c>
      <c r="AF1255" s="259"/>
      <c r="AG1255" s="260"/>
      <c r="AH1255" s="259"/>
      <c r="AI1255" s="259"/>
      <c r="AJ1255" s="260"/>
      <c r="AK1255" s="259">
        <v>26</v>
      </c>
      <c r="AL1255" s="259"/>
      <c r="AM1255" s="259" t="s">
        <v>3681</v>
      </c>
      <c r="AN1255" s="449"/>
      <c r="AO1255" s="449"/>
      <c r="AP1255" s="449"/>
      <c r="AQ1255" s="392" t="str">
        <f>IFERROR(VLOOKUP(BG1255,#REF!,1,0),"")</f>
        <v/>
      </c>
      <c r="AS1255" s="259" t="s">
        <v>3278</v>
      </c>
      <c r="BD1255" s="202" t="str">
        <f t="shared" si="182"/>
        <v>iXiX xDrive 50 Sport Plus</v>
      </c>
      <c r="BE1255" s="261" t="str">
        <f t="shared" si="188"/>
        <v>0206</v>
      </c>
      <c r="BF1255" s="407" t="s">
        <v>1773</v>
      </c>
      <c r="BG1255" s="202" t="str">
        <f t="shared" si="183"/>
        <v>0206-1254</v>
      </c>
    </row>
    <row r="1256" spans="1:59">
      <c r="A1256" s="405">
        <v>5030</v>
      </c>
      <c r="B1256" s="406">
        <v>5030</v>
      </c>
      <c r="C1256" s="261" t="str">
        <f t="shared" si="184"/>
        <v>0008-0206</v>
      </c>
      <c r="D1256" s="261" t="str">
        <f t="shared" si="185"/>
        <v>0008-0206-0002</v>
      </c>
      <c r="E1256" s="407" t="s">
        <v>1774</v>
      </c>
      <c r="F1256" s="261" t="str">
        <f>TEXT(VLOOKUP(J1256,'[3]1'!$B$2:$D$37,2,0),"0000")</f>
        <v>0008</v>
      </c>
      <c r="G1256" s="261" t="str">
        <f t="shared" si="186"/>
        <v>0206</v>
      </c>
      <c r="H1256" s="408">
        <f t="shared" si="187"/>
        <v>2</v>
      </c>
      <c r="I1256" s="407" t="s">
        <v>1774</v>
      </c>
      <c r="J1256" s="258" t="s">
        <v>3273</v>
      </c>
      <c r="K1256" s="258" t="s">
        <v>3270</v>
      </c>
      <c r="L1256" s="258" t="s">
        <v>3274</v>
      </c>
      <c r="M1256" s="409">
        <v>145000000</v>
      </c>
      <c r="N1256" s="258">
        <v>0</v>
      </c>
      <c r="O1256" s="258" t="s">
        <v>1290</v>
      </c>
      <c r="P1256" s="258" t="s">
        <v>73</v>
      </c>
      <c r="Q1256" s="258" t="s">
        <v>72</v>
      </c>
      <c r="R1256" s="258">
        <v>4</v>
      </c>
      <c r="S1256" s="410">
        <v>13</v>
      </c>
      <c r="T1256" s="261">
        <v>6</v>
      </c>
      <c r="U1256" s="261">
        <v>6</v>
      </c>
      <c r="V1256" s="258" t="s">
        <v>1969</v>
      </c>
      <c r="W1256" s="261" t="str">
        <f t="shared" si="189"/>
        <v>BMWiXiX M60145000000</v>
      </c>
      <c r="X1256" s="411">
        <f t="shared" si="190"/>
        <v>5030</v>
      </c>
      <c r="Y1256" s="261">
        <v>6</v>
      </c>
      <c r="Z1256" s="261">
        <v>6</v>
      </c>
      <c r="AA1256" s="407" t="s">
        <v>1774</v>
      </c>
      <c r="AB1256" s="258" t="s">
        <v>73</v>
      </c>
      <c r="AC1256" s="258"/>
      <c r="AD1256" s="258">
        <v>7</v>
      </c>
      <c r="AE1256" s="258">
        <v>0</v>
      </c>
      <c r="AF1256" s="259"/>
      <c r="AG1256" s="260"/>
      <c r="AH1256" s="259"/>
      <c r="AI1256" s="259"/>
      <c r="AJ1256" s="260"/>
      <c r="AK1256" s="259">
        <v>26</v>
      </c>
      <c r="AL1256" s="259"/>
      <c r="AM1256" s="259" t="s">
        <v>3681</v>
      </c>
      <c r="AN1256" s="449"/>
      <c r="AO1256" s="449"/>
      <c r="AP1256" s="449"/>
      <c r="AQ1256" s="392" t="str">
        <f>IFERROR(VLOOKUP(BG1256,#REF!,1,0),"")</f>
        <v/>
      </c>
      <c r="AS1256" s="259" t="s">
        <v>3280</v>
      </c>
      <c r="BD1256" s="202" t="str">
        <f t="shared" si="182"/>
        <v>iXiX M60</v>
      </c>
      <c r="BE1256" s="261" t="str">
        <f t="shared" si="188"/>
        <v>0206</v>
      </c>
      <c r="BF1256" s="407" t="s">
        <v>1774</v>
      </c>
      <c r="BG1256" s="202" t="str">
        <f t="shared" si="183"/>
        <v>0206-1255</v>
      </c>
    </row>
    <row r="1257" spans="1:59">
      <c r="A1257" s="405">
        <v>5031</v>
      </c>
      <c r="B1257" s="406">
        <v>5031</v>
      </c>
      <c r="C1257" s="261" t="str">
        <f t="shared" si="184"/>
        <v>0008-0207</v>
      </c>
      <c r="D1257" s="261" t="str">
        <f t="shared" si="185"/>
        <v>0008-0207-0001</v>
      </c>
      <c r="E1257" s="407" t="s">
        <v>1775</v>
      </c>
      <c r="F1257" s="261" t="str">
        <f>TEXT(VLOOKUP(J1257,'[3]1'!$B$2:$D$37,2,0),"0000")</f>
        <v>0008</v>
      </c>
      <c r="G1257" s="261" t="str">
        <f t="shared" si="186"/>
        <v>0207</v>
      </c>
      <c r="H1257" s="408">
        <f t="shared" si="187"/>
        <v>1</v>
      </c>
      <c r="I1257" s="407" t="s">
        <v>1775</v>
      </c>
      <c r="J1257" s="258" t="s">
        <v>184</v>
      </c>
      <c r="K1257" s="258" t="s">
        <v>3338</v>
      </c>
      <c r="L1257" s="258" t="s">
        <v>3347</v>
      </c>
      <c r="M1257" s="409">
        <v>69500000</v>
      </c>
      <c r="N1257" s="258">
        <v>0</v>
      </c>
      <c r="O1257" s="258" t="s">
        <v>1290</v>
      </c>
      <c r="P1257" s="258" t="s">
        <v>73</v>
      </c>
      <c r="Q1257" s="258" t="s">
        <v>72</v>
      </c>
      <c r="R1257" s="258">
        <v>5</v>
      </c>
      <c r="S1257" s="410">
        <v>4</v>
      </c>
      <c r="T1257" s="261">
        <v>6</v>
      </c>
      <c r="U1257" s="261">
        <v>6</v>
      </c>
      <c r="V1257" s="258" t="s">
        <v>1914</v>
      </c>
      <c r="W1257" s="261" t="str">
        <f t="shared" si="189"/>
        <v>BMWiX1xDrive3069500000</v>
      </c>
      <c r="X1257" s="411">
        <f t="shared" si="190"/>
        <v>5031</v>
      </c>
      <c r="Y1257" s="261">
        <v>6</v>
      </c>
      <c r="Z1257" s="261">
        <v>6</v>
      </c>
      <c r="AA1257" s="407" t="s">
        <v>1775</v>
      </c>
      <c r="AB1257" s="258" t="s">
        <v>73</v>
      </c>
      <c r="AC1257" s="258"/>
      <c r="AD1257" s="258">
        <v>7</v>
      </c>
      <c r="AE1257" s="258">
        <v>0</v>
      </c>
      <c r="AF1257" s="259"/>
      <c r="AG1257" s="260"/>
      <c r="AH1257" s="259"/>
      <c r="AI1257" s="259"/>
      <c r="AJ1257" s="260"/>
      <c r="AK1257" s="259">
        <v>26</v>
      </c>
      <c r="AL1257" s="259"/>
      <c r="AM1257" s="259" t="s">
        <v>3681</v>
      </c>
      <c r="AN1257" s="449"/>
      <c r="AO1257" s="449"/>
      <c r="AP1257" s="449"/>
      <c r="AQ1257" s="392" t="str">
        <f>IFERROR(VLOOKUP(BG1257,#REF!,1,0),"")</f>
        <v/>
      </c>
      <c r="AS1257" s="259" t="s">
        <v>1982</v>
      </c>
      <c r="AT1257" s="392">
        <v>2024.01</v>
      </c>
      <c r="BD1257" s="202" t="str">
        <f t="shared" si="182"/>
        <v>iX1xDrive30</v>
      </c>
      <c r="BE1257" s="261" t="str">
        <f t="shared" si="188"/>
        <v>0207</v>
      </c>
      <c r="BF1257" s="407" t="s">
        <v>1775</v>
      </c>
      <c r="BG1257" s="202" t="str">
        <f t="shared" si="183"/>
        <v>0207-1256</v>
      </c>
    </row>
    <row r="1258" spans="1:59">
      <c r="A1258" s="405">
        <v>5032</v>
      </c>
      <c r="B1258" s="406">
        <v>5032</v>
      </c>
      <c r="C1258" s="261" t="str">
        <f t="shared" si="184"/>
        <v>0008-0208</v>
      </c>
      <c r="D1258" s="261" t="str">
        <f t="shared" si="185"/>
        <v>0008-0208-0001</v>
      </c>
      <c r="E1258" s="407" t="s">
        <v>1776</v>
      </c>
      <c r="F1258" s="261" t="str">
        <f>TEXT(VLOOKUP(J1258,'[3]1'!$B$2:$D$37,2,0),"0000")</f>
        <v>0008</v>
      </c>
      <c r="G1258" s="261" t="str">
        <f t="shared" si="186"/>
        <v>0208</v>
      </c>
      <c r="H1258" s="408">
        <f t="shared" si="187"/>
        <v>1</v>
      </c>
      <c r="I1258" s="407" t="s">
        <v>1776</v>
      </c>
      <c r="J1258" s="258" t="s">
        <v>184</v>
      </c>
      <c r="K1258" s="258" t="s">
        <v>3272</v>
      </c>
      <c r="L1258" s="258" t="s">
        <v>3272</v>
      </c>
      <c r="M1258" s="409">
        <v>77400000</v>
      </c>
      <c r="N1258" s="258">
        <v>0</v>
      </c>
      <c r="O1258" s="258" t="s">
        <v>1290</v>
      </c>
      <c r="P1258" s="258" t="s">
        <v>73</v>
      </c>
      <c r="Q1258" s="258" t="s">
        <v>72</v>
      </c>
      <c r="R1258" s="258">
        <v>4</v>
      </c>
      <c r="S1258" s="410">
        <v>4</v>
      </c>
      <c r="T1258" s="261">
        <v>6</v>
      </c>
      <c r="U1258" s="261">
        <v>6</v>
      </c>
      <c r="V1258" s="258" t="s">
        <v>1914</v>
      </c>
      <c r="W1258" s="261" t="str">
        <f t="shared" si="189"/>
        <v>BMWiX3iX377400000</v>
      </c>
      <c r="X1258" s="411">
        <f t="shared" si="190"/>
        <v>5032</v>
      </c>
      <c r="Y1258" s="261">
        <v>6</v>
      </c>
      <c r="Z1258" s="261">
        <v>6</v>
      </c>
      <c r="AA1258" s="407" t="s">
        <v>1776</v>
      </c>
      <c r="AB1258" s="258" t="s">
        <v>73</v>
      </c>
      <c r="AC1258" s="258"/>
      <c r="AD1258" s="258">
        <v>7</v>
      </c>
      <c r="AE1258" s="258">
        <v>0</v>
      </c>
      <c r="AF1258" s="259"/>
      <c r="AG1258" s="260"/>
      <c r="AH1258" s="259"/>
      <c r="AI1258" s="259"/>
      <c r="AJ1258" s="260"/>
      <c r="AK1258" s="259">
        <v>26</v>
      </c>
      <c r="AL1258" s="259"/>
      <c r="AM1258" s="259" t="s">
        <v>3681</v>
      </c>
      <c r="AN1258" s="449"/>
      <c r="AO1258" s="449"/>
      <c r="AP1258" s="449"/>
      <c r="AQ1258" s="392" t="str">
        <f>IFERROR(VLOOKUP(BG1258,#REF!,1,0),"")</f>
        <v/>
      </c>
      <c r="AS1258" s="259" t="s">
        <v>3279</v>
      </c>
      <c r="BD1258" s="202" t="str">
        <f t="shared" si="182"/>
        <v>iX3iX3</v>
      </c>
      <c r="BE1258" s="261" t="str">
        <f t="shared" si="188"/>
        <v>0208</v>
      </c>
      <c r="BF1258" s="407" t="s">
        <v>1776</v>
      </c>
      <c r="BG1258" s="202" t="str">
        <f t="shared" si="183"/>
        <v>0208-1257</v>
      </c>
    </row>
    <row r="1259" spans="1:59">
      <c r="A1259" s="405">
        <v>5033</v>
      </c>
      <c r="B1259" s="406">
        <v>5033</v>
      </c>
      <c r="C1259" s="261" t="str">
        <f t="shared" si="184"/>
        <v>0008-0209</v>
      </c>
      <c r="D1259" s="261" t="str">
        <f t="shared" si="185"/>
        <v>0008-0209-0001</v>
      </c>
      <c r="E1259" s="407" t="s">
        <v>1777</v>
      </c>
      <c r="F1259" s="261" t="str">
        <f>TEXT(VLOOKUP(J1259,'[3]1'!$B$2:$D$37,2,0),"0000")</f>
        <v>0008</v>
      </c>
      <c r="G1259" s="261" t="str">
        <f t="shared" si="186"/>
        <v>0209</v>
      </c>
      <c r="H1259" s="408">
        <f t="shared" si="187"/>
        <v>1</v>
      </c>
      <c r="I1259" s="407" t="s">
        <v>1777</v>
      </c>
      <c r="J1259" s="258" t="s">
        <v>184</v>
      </c>
      <c r="K1259" s="258" t="s">
        <v>3758</v>
      </c>
      <c r="L1259" s="258" t="s">
        <v>3756</v>
      </c>
      <c r="M1259" s="593">
        <v>78700000</v>
      </c>
      <c r="N1259" s="258">
        <v>2993</v>
      </c>
      <c r="O1259" s="258" t="s">
        <v>77</v>
      </c>
      <c r="P1259" s="258" t="s">
        <v>73</v>
      </c>
      <c r="Q1259" s="258" t="s">
        <v>72</v>
      </c>
      <c r="R1259" s="258">
        <v>4</v>
      </c>
      <c r="S1259" s="410">
        <v>15</v>
      </c>
      <c r="T1259" s="261">
        <v>6</v>
      </c>
      <c r="U1259" s="261">
        <v>6</v>
      </c>
      <c r="V1259" s="258" t="s">
        <v>71</v>
      </c>
      <c r="W1259" s="261" t="str">
        <f t="shared" si="189"/>
        <v>BMWM Series M2M2 Coupe78700000</v>
      </c>
      <c r="X1259" s="411">
        <f t="shared" si="190"/>
        <v>5033</v>
      </c>
      <c r="Y1259" s="261">
        <v>6</v>
      </c>
      <c r="Z1259" s="261">
        <v>6</v>
      </c>
      <c r="AA1259" s="407" t="s">
        <v>1777</v>
      </c>
      <c r="AB1259" s="258" t="s">
        <v>73</v>
      </c>
      <c r="AC1259" s="258"/>
      <c r="AD1259" s="258">
        <v>5</v>
      </c>
      <c r="AE1259" s="258">
        <v>0</v>
      </c>
      <c r="AF1259" s="259"/>
      <c r="AG1259" s="260"/>
      <c r="AH1259" s="259"/>
      <c r="AI1259" s="259"/>
      <c r="AJ1259" s="260"/>
      <c r="AK1259" s="259">
        <v>18</v>
      </c>
      <c r="AL1259" s="259"/>
      <c r="AM1259" s="259" t="s">
        <v>3770</v>
      </c>
      <c r="AN1259" s="449"/>
      <c r="AO1259" s="449"/>
      <c r="AP1259" s="449"/>
      <c r="AQ1259" s="392" t="str">
        <f>IFERROR(VLOOKUP(BG1259,#REF!,1,0),"")</f>
        <v/>
      </c>
      <c r="AS1259" s="259" t="s">
        <v>3233</v>
      </c>
      <c r="AW1259" s="392" t="s">
        <v>3958</v>
      </c>
      <c r="BD1259" s="202" t="str">
        <f t="shared" si="182"/>
        <v>M Series M2M2 Coupe</v>
      </c>
      <c r="BE1259" s="261" t="str">
        <f t="shared" si="188"/>
        <v>0209</v>
      </c>
      <c r="BF1259" s="407" t="s">
        <v>1777</v>
      </c>
      <c r="BG1259" s="202" t="str">
        <f t="shared" si="183"/>
        <v>0209-1258</v>
      </c>
    </row>
    <row r="1260" spans="1:59">
      <c r="A1260" s="405">
        <v>5034</v>
      </c>
      <c r="B1260" s="406">
        <v>5034</v>
      </c>
      <c r="C1260" s="261" t="str">
        <f t="shared" si="184"/>
        <v>0008-0210</v>
      </c>
      <c r="D1260" s="261" t="str">
        <f t="shared" si="185"/>
        <v>0008-0210-0001</v>
      </c>
      <c r="E1260" s="407" t="s">
        <v>1778</v>
      </c>
      <c r="F1260" s="261" t="str">
        <f>TEXT(VLOOKUP(J1260,'[3]1'!$B$2:$D$37,2,0),"0000")</f>
        <v>0008</v>
      </c>
      <c r="G1260" s="261" t="str">
        <f t="shared" si="186"/>
        <v>0210</v>
      </c>
      <c r="H1260" s="408">
        <f t="shared" si="187"/>
        <v>1</v>
      </c>
      <c r="I1260" s="407" t="s">
        <v>1778</v>
      </c>
      <c r="J1260" s="258" t="s">
        <v>184</v>
      </c>
      <c r="K1260" s="258" t="s">
        <v>3757</v>
      </c>
      <c r="L1260" s="258" t="s">
        <v>3759</v>
      </c>
      <c r="M1260" s="593">
        <v>121700000</v>
      </c>
      <c r="N1260" s="258">
        <v>2993</v>
      </c>
      <c r="O1260" s="258" t="s">
        <v>77</v>
      </c>
      <c r="P1260" s="258" t="s">
        <v>73</v>
      </c>
      <c r="Q1260" s="258" t="s">
        <v>72</v>
      </c>
      <c r="R1260" s="258">
        <v>5</v>
      </c>
      <c r="S1260" s="410">
        <v>15</v>
      </c>
      <c r="T1260" s="261">
        <v>6</v>
      </c>
      <c r="U1260" s="261">
        <v>6</v>
      </c>
      <c r="V1260" s="258" t="s">
        <v>71</v>
      </c>
      <c r="W1260" s="261" t="str">
        <f t="shared" si="189"/>
        <v>BMWM Series M3M3 Competition M xDrive 121700000</v>
      </c>
      <c r="X1260" s="411">
        <f t="shared" si="190"/>
        <v>5034</v>
      </c>
      <c r="Y1260" s="261">
        <v>6</v>
      </c>
      <c r="Z1260" s="261">
        <v>6</v>
      </c>
      <c r="AA1260" s="407" t="s">
        <v>1778</v>
      </c>
      <c r="AB1260" s="258" t="s">
        <v>73</v>
      </c>
      <c r="AC1260" s="258"/>
      <c r="AD1260" s="258">
        <v>5</v>
      </c>
      <c r="AE1260" s="258">
        <v>2</v>
      </c>
      <c r="AF1260" s="259"/>
      <c r="AG1260" s="260"/>
      <c r="AH1260" s="259"/>
      <c r="AI1260" s="259"/>
      <c r="AJ1260" s="260"/>
      <c r="AK1260" s="259">
        <v>18</v>
      </c>
      <c r="AL1260" s="259"/>
      <c r="AM1260" s="259" t="s">
        <v>3770</v>
      </c>
      <c r="AN1260" s="449"/>
      <c r="AO1260" s="449"/>
      <c r="AP1260" s="449"/>
      <c r="AQ1260" s="392" t="str">
        <f>IFERROR(VLOOKUP(BG1260,#REF!,1,0),"")</f>
        <v/>
      </c>
      <c r="AS1260" s="259" t="s">
        <v>3233</v>
      </c>
      <c r="AW1260" s="392" t="s">
        <v>3958</v>
      </c>
      <c r="BD1260" s="202" t="str">
        <f t="shared" si="182"/>
        <v xml:space="preserve">M Series M3M3 Competition M xDrive </v>
      </c>
      <c r="BE1260" s="261" t="str">
        <f t="shared" si="188"/>
        <v>0210</v>
      </c>
      <c r="BF1260" s="407" t="s">
        <v>1778</v>
      </c>
      <c r="BG1260" s="202" t="str">
        <f t="shared" si="183"/>
        <v>0210-1259</v>
      </c>
    </row>
    <row r="1261" spans="1:59">
      <c r="A1261" s="405">
        <v>5035</v>
      </c>
      <c r="B1261" s="406">
        <v>5035</v>
      </c>
      <c r="C1261" s="261" t="str">
        <f t="shared" si="184"/>
        <v>0008-0210</v>
      </c>
      <c r="D1261" s="261" t="str">
        <f t="shared" si="185"/>
        <v>0008-0210-0002</v>
      </c>
      <c r="E1261" s="407" t="s">
        <v>1779</v>
      </c>
      <c r="F1261" s="261" t="str">
        <f>TEXT(VLOOKUP(J1261,'[3]1'!$B$2:$D$37,2,0),"0000")</f>
        <v>0008</v>
      </c>
      <c r="G1261" s="261" t="str">
        <f t="shared" si="186"/>
        <v>0210</v>
      </c>
      <c r="H1261" s="408">
        <f t="shared" si="187"/>
        <v>2</v>
      </c>
      <c r="I1261" s="407" t="s">
        <v>1779</v>
      </c>
      <c r="J1261" s="258" t="s">
        <v>184</v>
      </c>
      <c r="K1261" s="258" t="s">
        <v>3757</v>
      </c>
      <c r="L1261" s="523" t="s">
        <v>3760</v>
      </c>
      <c r="M1261" s="593">
        <v>117500000</v>
      </c>
      <c r="N1261" s="258">
        <v>2993</v>
      </c>
      <c r="O1261" s="258" t="s">
        <v>77</v>
      </c>
      <c r="P1261" s="258" t="s">
        <v>73</v>
      </c>
      <c r="Q1261" s="258" t="s">
        <v>72</v>
      </c>
      <c r="R1261" s="258">
        <v>5</v>
      </c>
      <c r="S1261" s="410">
        <v>15</v>
      </c>
      <c r="T1261" s="261">
        <v>6</v>
      </c>
      <c r="U1261" s="261">
        <v>6</v>
      </c>
      <c r="V1261" s="258" t="s">
        <v>71</v>
      </c>
      <c r="W1261" s="261" t="str">
        <f t="shared" si="189"/>
        <v>BMWM Series M3M3 투어링 Competition M xDrive 117500000</v>
      </c>
      <c r="X1261" s="411">
        <f t="shared" si="190"/>
        <v>5035</v>
      </c>
      <c r="Y1261" s="261">
        <v>6</v>
      </c>
      <c r="Z1261" s="261">
        <v>6</v>
      </c>
      <c r="AA1261" s="407" t="s">
        <v>1779</v>
      </c>
      <c r="AB1261" s="258" t="s">
        <v>73</v>
      </c>
      <c r="AC1261" s="258"/>
      <c r="AD1261" s="258">
        <v>7</v>
      </c>
      <c r="AE1261" s="258">
        <v>0</v>
      </c>
      <c r="AF1261" s="259"/>
      <c r="AG1261" s="260"/>
      <c r="AH1261" s="259"/>
      <c r="AI1261" s="259"/>
      <c r="AJ1261" s="260"/>
      <c r="AK1261" s="259">
        <v>18</v>
      </c>
      <c r="AL1261" s="259"/>
      <c r="AM1261" s="259" t="s">
        <v>3770</v>
      </c>
      <c r="AN1261" s="449"/>
      <c r="AO1261" s="449"/>
      <c r="AP1261" s="449"/>
      <c r="AQ1261" s="392" t="str">
        <f>IFERROR(VLOOKUP(BG1261,#REF!,1,0),"")</f>
        <v/>
      </c>
      <c r="AS1261" s="259" t="s">
        <v>3233</v>
      </c>
      <c r="AW1261" s="392" t="s">
        <v>3958</v>
      </c>
      <c r="BD1261" s="202" t="str">
        <f t="shared" si="182"/>
        <v xml:space="preserve">M Series M3M3 투어링 Competition M xDrive </v>
      </c>
      <c r="BE1261" s="261" t="str">
        <f t="shared" si="188"/>
        <v>0210</v>
      </c>
      <c r="BF1261" s="407" t="s">
        <v>1779</v>
      </c>
      <c r="BG1261" s="202" t="str">
        <f t="shared" si="183"/>
        <v>0210-1260</v>
      </c>
    </row>
    <row r="1262" spans="1:59">
      <c r="A1262" s="405">
        <v>5036</v>
      </c>
      <c r="B1262" s="406">
        <v>5036</v>
      </c>
      <c r="C1262" s="261" t="str">
        <f t="shared" si="184"/>
        <v>0008-0211</v>
      </c>
      <c r="D1262" s="261" t="str">
        <f t="shared" si="185"/>
        <v>0008-0211-0001</v>
      </c>
      <c r="E1262" s="407" t="s">
        <v>1780</v>
      </c>
      <c r="F1262" s="261" t="str">
        <f>TEXT(VLOOKUP(J1262,'[3]1'!$B$2:$D$37,2,0),"0000")</f>
        <v>0008</v>
      </c>
      <c r="G1262" s="261" t="str">
        <f t="shared" si="186"/>
        <v>0211</v>
      </c>
      <c r="H1262" s="408">
        <f t="shared" si="187"/>
        <v>1</v>
      </c>
      <c r="I1262" s="407" t="s">
        <v>1780</v>
      </c>
      <c r="J1262" s="258" t="s">
        <v>184</v>
      </c>
      <c r="K1262" s="258" t="s">
        <v>3763</v>
      </c>
      <c r="L1262" s="258" t="s">
        <v>3207</v>
      </c>
      <c r="M1262" s="429">
        <v>139200000</v>
      </c>
      <c r="N1262" s="258">
        <v>4395</v>
      </c>
      <c r="O1262" s="258" t="s">
        <v>77</v>
      </c>
      <c r="P1262" s="258" t="s">
        <v>73</v>
      </c>
      <c r="Q1262" s="258" t="s">
        <v>72</v>
      </c>
      <c r="R1262" s="258">
        <v>4</v>
      </c>
      <c r="S1262" s="410">
        <v>15</v>
      </c>
      <c r="T1262" s="261">
        <v>6</v>
      </c>
      <c r="U1262" s="261">
        <v>6</v>
      </c>
      <c r="V1262" s="258" t="s">
        <v>71</v>
      </c>
      <c r="W1262" s="261" t="str">
        <f t="shared" si="189"/>
        <v>BMW8 SeriesM850i xDrive GranCoupe139200000</v>
      </c>
      <c r="X1262" s="411">
        <f t="shared" si="190"/>
        <v>5036</v>
      </c>
      <c r="Y1262" s="261">
        <v>6</v>
      </c>
      <c r="Z1262" s="261">
        <v>6</v>
      </c>
      <c r="AA1262" s="407" t="s">
        <v>1780</v>
      </c>
      <c r="AB1262" s="258" t="s">
        <v>73</v>
      </c>
      <c r="AC1262" s="258"/>
      <c r="AD1262" s="258">
        <v>6</v>
      </c>
      <c r="AE1262" s="258">
        <v>0</v>
      </c>
      <c r="AF1262" s="259"/>
      <c r="AG1262" s="260"/>
      <c r="AH1262" s="259"/>
      <c r="AI1262" s="259"/>
      <c r="AJ1262" s="260"/>
      <c r="AK1262" s="259">
        <v>13</v>
      </c>
      <c r="AL1262" s="259"/>
      <c r="AM1262" s="259" t="s">
        <v>3662</v>
      </c>
      <c r="AN1262" s="449"/>
      <c r="AO1262" s="449"/>
      <c r="AP1262" s="449"/>
      <c r="AQ1262" s="392" t="str">
        <f>IFERROR(VLOOKUP(BG1262,#REF!,1,0),"")</f>
        <v/>
      </c>
      <c r="AS1262" s="259" t="s">
        <v>3233</v>
      </c>
      <c r="BD1262" s="202" t="str">
        <f t="shared" si="182"/>
        <v>8 SeriesM850i xDrive GranCoupe</v>
      </c>
      <c r="BE1262" s="261" t="str">
        <f t="shared" si="188"/>
        <v>0211</v>
      </c>
      <c r="BF1262" s="407" t="s">
        <v>1780</v>
      </c>
      <c r="BG1262" s="202" t="str">
        <f t="shared" si="183"/>
        <v>0211-1261</v>
      </c>
    </row>
    <row r="1263" spans="1:59">
      <c r="A1263" s="405">
        <v>5037</v>
      </c>
      <c r="B1263" s="406">
        <v>5037</v>
      </c>
      <c r="C1263" s="261" t="str">
        <f t="shared" si="184"/>
        <v>0008-0211</v>
      </c>
      <c r="D1263" s="261" t="str">
        <f t="shared" si="185"/>
        <v>0008-0211-0002</v>
      </c>
      <c r="E1263" s="407" t="s">
        <v>1781</v>
      </c>
      <c r="F1263" s="261" t="str">
        <f>TEXT(VLOOKUP(J1263,'[3]1'!$B$2:$D$37,2,0),"0000")</f>
        <v>0008</v>
      </c>
      <c r="G1263" s="261" t="str">
        <f t="shared" si="186"/>
        <v>0211</v>
      </c>
      <c r="H1263" s="408">
        <f t="shared" si="187"/>
        <v>2</v>
      </c>
      <c r="I1263" s="407" t="s">
        <v>1781</v>
      </c>
      <c r="J1263" s="258" t="s">
        <v>184</v>
      </c>
      <c r="K1263" s="258" t="s">
        <v>3763</v>
      </c>
      <c r="L1263" s="258" t="s">
        <v>3708</v>
      </c>
      <c r="M1263" s="429">
        <v>142900000</v>
      </c>
      <c r="N1263" s="258">
        <v>4395</v>
      </c>
      <c r="O1263" s="258" t="s">
        <v>77</v>
      </c>
      <c r="P1263" s="258" t="s">
        <v>73</v>
      </c>
      <c r="Q1263" s="258" t="s">
        <v>72</v>
      </c>
      <c r="R1263" s="258">
        <v>4</v>
      </c>
      <c r="S1263" s="410">
        <v>15</v>
      </c>
      <c r="T1263" s="261">
        <v>6</v>
      </c>
      <c r="U1263" s="261">
        <v>6</v>
      </c>
      <c r="V1263" s="258" t="s">
        <v>71</v>
      </c>
      <c r="W1263" s="261" t="str">
        <f t="shared" si="189"/>
        <v>BMW8 SeriesM850i xDrive Coupe142900000</v>
      </c>
      <c r="X1263" s="411">
        <f t="shared" si="190"/>
        <v>5037</v>
      </c>
      <c r="Y1263" s="261">
        <v>6</v>
      </c>
      <c r="Z1263" s="261">
        <v>6</v>
      </c>
      <c r="AA1263" s="407" t="s">
        <v>1781</v>
      </c>
      <c r="AB1263" s="258" t="s">
        <v>73</v>
      </c>
      <c r="AC1263" s="258"/>
      <c r="AD1263" s="258">
        <v>6</v>
      </c>
      <c r="AE1263" s="258">
        <v>0</v>
      </c>
      <c r="AF1263" s="259"/>
      <c r="AG1263" s="260"/>
      <c r="AH1263" s="259"/>
      <c r="AI1263" s="259"/>
      <c r="AJ1263" s="260"/>
      <c r="AK1263" s="259">
        <v>13</v>
      </c>
      <c r="AL1263" s="259"/>
      <c r="AM1263" s="259" t="s">
        <v>3662</v>
      </c>
      <c r="AN1263" s="449"/>
      <c r="AO1263" s="449"/>
      <c r="AP1263" s="449"/>
      <c r="AQ1263" s="392" t="str">
        <f>IFERROR(VLOOKUP(BG1263,#REF!,1,0),"")</f>
        <v/>
      </c>
      <c r="AS1263" s="259" t="s">
        <v>3233</v>
      </c>
      <c r="BD1263" s="202" t="str">
        <f t="shared" si="182"/>
        <v>8 SeriesM850i xDrive Coupe</v>
      </c>
      <c r="BE1263" s="261" t="str">
        <f t="shared" si="188"/>
        <v>0211</v>
      </c>
      <c r="BF1263" s="407" t="s">
        <v>1781</v>
      </c>
      <c r="BG1263" s="202" t="str">
        <f t="shared" si="183"/>
        <v>0211-1262</v>
      </c>
    </row>
    <row r="1264" spans="1:59">
      <c r="A1264" s="405">
        <v>5038</v>
      </c>
      <c r="B1264" s="406">
        <v>5038</v>
      </c>
      <c r="C1264" s="261" t="str">
        <f t="shared" si="184"/>
        <v>0008-0212</v>
      </c>
      <c r="D1264" s="261" t="str">
        <f t="shared" si="185"/>
        <v>0008-0212-0001</v>
      </c>
      <c r="E1264" s="407" t="s">
        <v>1782</v>
      </c>
      <c r="F1264" s="261" t="str">
        <f>TEXT(VLOOKUP(J1264,'[3]1'!$B$2:$D$37,2,0),"0000")</f>
        <v>0008</v>
      </c>
      <c r="G1264" s="261" t="str">
        <f t="shared" si="186"/>
        <v>0212</v>
      </c>
      <c r="H1264" s="408">
        <f t="shared" si="187"/>
        <v>1</v>
      </c>
      <c r="I1264" s="407" t="s">
        <v>1782</v>
      </c>
      <c r="J1264" s="258" t="s">
        <v>184</v>
      </c>
      <c r="K1264" s="258" t="s">
        <v>3138</v>
      </c>
      <c r="L1264" s="410" t="s">
        <v>3761</v>
      </c>
      <c r="M1264" s="429">
        <v>122700000</v>
      </c>
      <c r="N1264" s="258">
        <v>2993</v>
      </c>
      <c r="O1264" s="258" t="s">
        <v>77</v>
      </c>
      <c r="P1264" s="258" t="s">
        <v>73</v>
      </c>
      <c r="Q1264" s="258" t="s">
        <v>72</v>
      </c>
      <c r="R1264" s="258">
        <v>5</v>
      </c>
      <c r="S1264" s="410">
        <v>15</v>
      </c>
      <c r="T1264" s="261">
        <v>6</v>
      </c>
      <c r="U1264" s="261">
        <v>6</v>
      </c>
      <c r="V1264" s="258" t="s">
        <v>71</v>
      </c>
      <c r="W1264" s="261" t="str">
        <f t="shared" si="189"/>
        <v>BMWM Series M4M4 Competition M xDrive122700000</v>
      </c>
      <c r="X1264" s="411">
        <f t="shared" si="190"/>
        <v>5038</v>
      </c>
      <c r="Y1264" s="261">
        <v>6</v>
      </c>
      <c r="Z1264" s="261">
        <v>6</v>
      </c>
      <c r="AA1264" s="407" t="s">
        <v>1782</v>
      </c>
      <c r="AB1264" s="258" t="s">
        <v>73</v>
      </c>
      <c r="AC1264" s="258"/>
      <c r="AD1264" s="258">
        <v>5</v>
      </c>
      <c r="AE1264" s="258">
        <v>2</v>
      </c>
      <c r="AF1264" s="259"/>
      <c r="AG1264" s="260"/>
      <c r="AH1264" s="259"/>
      <c r="AI1264" s="259"/>
      <c r="AJ1264" s="260"/>
      <c r="AK1264" s="259">
        <v>18</v>
      </c>
      <c r="AL1264" s="259"/>
      <c r="AM1264" s="259" t="s">
        <v>3770</v>
      </c>
      <c r="AN1264" s="449"/>
      <c r="AO1264" s="449"/>
      <c r="AP1264" s="449"/>
      <c r="AQ1264" s="392" t="str">
        <f>IFERROR(VLOOKUP(BG1264,#REF!,1,0),"")</f>
        <v/>
      </c>
      <c r="AS1264" s="259" t="s">
        <v>3233</v>
      </c>
      <c r="AW1264" s="392" t="s">
        <v>3958</v>
      </c>
      <c r="BD1264" s="202" t="str">
        <f t="shared" si="182"/>
        <v>M Series M4M4 Competition M xDrive</v>
      </c>
      <c r="BE1264" s="261" t="str">
        <f t="shared" si="188"/>
        <v>0212</v>
      </c>
      <c r="BF1264" s="407" t="s">
        <v>1782</v>
      </c>
      <c r="BG1264" s="202" t="str">
        <f t="shared" si="183"/>
        <v>0212-1263</v>
      </c>
    </row>
    <row r="1265" spans="1:59" s="550" customFormat="1">
      <c r="A1265" s="405">
        <v>5039</v>
      </c>
      <c r="B1265" s="406">
        <v>5039</v>
      </c>
      <c r="C1265" s="261" t="str">
        <f t="shared" si="184"/>
        <v>0008-0212</v>
      </c>
      <c r="D1265" s="261" t="str">
        <f t="shared" si="185"/>
        <v>0008-0212-0002</v>
      </c>
      <c r="E1265" s="407" t="s">
        <v>1783</v>
      </c>
      <c r="F1265" s="261" t="str">
        <f>TEXT(VLOOKUP(J1265,'[3]1'!$B$2:$D$37,2,0),"0000")</f>
        <v>0008</v>
      </c>
      <c r="G1265" s="261" t="str">
        <f t="shared" si="186"/>
        <v>0212</v>
      </c>
      <c r="H1265" s="408">
        <f t="shared" si="187"/>
        <v>2</v>
      </c>
      <c r="I1265" s="407" t="s">
        <v>1783</v>
      </c>
      <c r="J1265" s="410" t="s">
        <v>184</v>
      </c>
      <c r="K1265" s="410" t="s">
        <v>3138</v>
      </c>
      <c r="L1265" s="410" t="s">
        <v>3317</v>
      </c>
      <c r="M1265" s="547">
        <v>134900000</v>
      </c>
      <c r="N1265" s="410">
        <v>2993</v>
      </c>
      <c r="O1265" s="258" t="s">
        <v>77</v>
      </c>
      <c r="P1265" s="410" t="s">
        <v>73</v>
      </c>
      <c r="Q1265" s="410" t="s">
        <v>72</v>
      </c>
      <c r="R1265" s="410">
        <v>4</v>
      </c>
      <c r="S1265" s="410">
        <v>15</v>
      </c>
      <c r="T1265" s="261">
        <v>6</v>
      </c>
      <c r="U1265" s="261">
        <v>6</v>
      </c>
      <c r="V1265" s="410" t="s">
        <v>71</v>
      </c>
      <c r="W1265" s="261" t="str">
        <f t="shared" si="189"/>
        <v>BMWM Series M4M4 Competition M xDrive Convertible134900000</v>
      </c>
      <c r="X1265" s="411">
        <f t="shared" si="190"/>
        <v>5039</v>
      </c>
      <c r="Y1265" s="261">
        <v>6</v>
      </c>
      <c r="Z1265" s="261">
        <v>6</v>
      </c>
      <c r="AA1265" s="407" t="s">
        <v>1783</v>
      </c>
      <c r="AB1265" s="410" t="s">
        <v>73</v>
      </c>
      <c r="AC1265" s="410"/>
      <c r="AD1265" s="410">
        <v>5</v>
      </c>
      <c r="AE1265" s="410">
        <v>2</v>
      </c>
      <c r="AF1265" s="434"/>
      <c r="AG1265" s="262"/>
      <c r="AH1265" s="434"/>
      <c r="AI1265" s="434"/>
      <c r="AJ1265" s="262"/>
      <c r="AK1265" s="259">
        <v>18</v>
      </c>
      <c r="AL1265" s="259"/>
      <c r="AM1265" s="259" t="s">
        <v>3770</v>
      </c>
      <c r="AN1265" s="548"/>
      <c r="AO1265" s="548"/>
      <c r="AP1265" s="548"/>
      <c r="AQ1265" s="392" t="str">
        <f>IFERROR(VLOOKUP(BG1265,#REF!,1,0),"")</f>
        <v/>
      </c>
      <c r="AR1265" s="549"/>
      <c r="AS1265" s="434" t="s">
        <v>3233</v>
      </c>
      <c r="AT1265" s="549"/>
      <c r="AU1265" s="549"/>
      <c r="AV1265" s="549"/>
      <c r="AW1265" s="392" t="s">
        <v>3958</v>
      </c>
      <c r="AX1265" s="549"/>
      <c r="AY1265" s="549"/>
      <c r="BD1265" s="202" t="str">
        <f t="shared" si="182"/>
        <v>M Series M4M4 Competition M xDrive Convertible</v>
      </c>
      <c r="BE1265" s="261" t="str">
        <f t="shared" si="188"/>
        <v>0212</v>
      </c>
      <c r="BF1265" s="407" t="s">
        <v>1783</v>
      </c>
      <c r="BG1265" s="202" t="str">
        <f t="shared" si="183"/>
        <v>0212-1264</v>
      </c>
    </row>
    <row r="1266" spans="1:59">
      <c r="A1266" s="405">
        <v>5040</v>
      </c>
      <c r="B1266" s="406">
        <v>5040</v>
      </c>
      <c r="C1266" s="261" t="str">
        <f t="shared" si="184"/>
        <v>0008-0213</v>
      </c>
      <c r="D1266" s="261" t="str">
        <f t="shared" si="185"/>
        <v>0008-0213-0001</v>
      </c>
      <c r="E1266" s="407" t="s">
        <v>1784</v>
      </c>
      <c r="F1266" s="261" t="str">
        <f>TEXT(VLOOKUP(J1266,'[3]1'!$B$2:$D$37,2,0),"0000")</f>
        <v>0008</v>
      </c>
      <c r="G1266" s="261" t="str">
        <f t="shared" si="186"/>
        <v>0213</v>
      </c>
      <c r="H1266" s="408">
        <f t="shared" si="187"/>
        <v>1</v>
      </c>
      <c r="I1266" s="407" t="s">
        <v>1784</v>
      </c>
      <c r="J1266" s="258" t="s">
        <v>184</v>
      </c>
      <c r="K1266" s="258" t="s">
        <v>3139</v>
      </c>
      <c r="L1266" s="258" t="s">
        <v>3762</v>
      </c>
      <c r="M1266" s="429">
        <v>161800000</v>
      </c>
      <c r="N1266" s="258">
        <v>4395</v>
      </c>
      <c r="O1266" s="258" t="s">
        <v>77</v>
      </c>
      <c r="P1266" s="258" t="s">
        <v>73</v>
      </c>
      <c r="Q1266" s="258" t="s">
        <v>72</v>
      </c>
      <c r="R1266" s="258">
        <v>5</v>
      </c>
      <c r="S1266" s="410">
        <v>17</v>
      </c>
      <c r="T1266" s="261">
        <v>6</v>
      </c>
      <c r="U1266" s="261">
        <v>6</v>
      </c>
      <c r="V1266" s="258" t="s">
        <v>71</v>
      </c>
      <c r="W1266" s="261" t="str">
        <f t="shared" si="189"/>
        <v>BMWM Series M5 SedanM5 Competition161800000</v>
      </c>
      <c r="X1266" s="411">
        <f t="shared" si="190"/>
        <v>5040</v>
      </c>
      <c r="Y1266" s="261">
        <v>6</v>
      </c>
      <c r="Z1266" s="261">
        <v>6</v>
      </c>
      <c r="AA1266" s="407" t="s">
        <v>1784</v>
      </c>
      <c r="AB1266" s="258" t="s">
        <v>73</v>
      </c>
      <c r="AC1266" s="258"/>
      <c r="AD1266" s="258">
        <v>6</v>
      </c>
      <c r="AE1266" s="258">
        <v>0</v>
      </c>
      <c r="AF1266" s="259"/>
      <c r="AG1266" s="260"/>
      <c r="AH1266" s="259"/>
      <c r="AI1266" s="259"/>
      <c r="AJ1266" s="260"/>
      <c r="AK1266" s="259">
        <v>18</v>
      </c>
      <c r="AL1266" s="259"/>
      <c r="AM1266" s="259" t="s">
        <v>3770</v>
      </c>
      <c r="AN1266" s="449"/>
      <c r="AO1266" s="449"/>
      <c r="AP1266" s="449"/>
      <c r="AQ1266" s="392" t="str">
        <f>IFERROR(VLOOKUP(BG1266,#REF!,1,0),"")</f>
        <v/>
      </c>
      <c r="AS1266" s="259" t="s">
        <v>3236</v>
      </c>
      <c r="AW1266" s="392" t="s">
        <v>3958</v>
      </c>
      <c r="BD1266" s="202" t="str">
        <f t="shared" si="182"/>
        <v>M Series M5 SedanM5 Competition</v>
      </c>
      <c r="BE1266" s="261" t="str">
        <f t="shared" si="188"/>
        <v>0213</v>
      </c>
      <c r="BF1266" s="407" t="s">
        <v>1784</v>
      </c>
      <c r="BG1266" s="202" t="str">
        <f t="shared" si="183"/>
        <v>0213-1265</v>
      </c>
    </row>
    <row r="1267" spans="1:59">
      <c r="A1267" s="405">
        <v>5041</v>
      </c>
      <c r="B1267" s="406">
        <v>5041</v>
      </c>
      <c r="C1267" s="261" t="str">
        <f t="shared" si="184"/>
        <v>0008-0214</v>
      </c>
      <c r="D1267" s="261" t="str">
        <f t="shared" si="185"/>
        <v>0008-0214-0001</v>
      </c>
      <c r="E1267" s="407" t="s">
        <v>1785</v>
      </c>
      <c r="F1267" s="261" t="str">
        <f>TEXT(VLOOKUP(J1267,'[3]1'!$B$2:$D$37,2,0),"0000")</f>
        <v>0008</v>
      </c>
      <c r="G1267" s="261" t="str">
        <f t="shared" si="186"/>
        <v>0214</v>
      </c>
      <c r="H1267" s="408">
        <f t="shared" si="187"/>
        <v>1</v>
      </c>
      <c r="I1267" s="407" t="s">
        <v>1785</v>
      </c>
      <c r="J1267" s="258" t="s">
        <v>184</v>
      </c>
      <c r="K1267" s="258" t="s">
        <v>1437</v>
      </c>
      <c r="L1267" s="258" t="s">
        <v>1438</v>
      </c>
      <c r="M1267" s="429">
        <v>239700000</v>
      </c>
      <c r="N1267" s="258">
        <v>4395</v>
      </c>
      <c r="O1267" s="258" t="s">
        <v>77</v>
      </c>
      <c r="P1267" s="258" t="s">
        <v>73</v>
      </c>
      <c r="Q1267" s="258" t="s">
        <v>72</v>
      </c>
      <c r="R1267" s="258">
        <v>4</v>
      </c>
      <c r="S1267" s="410">
        <v>17</v>
      </c>
      <c r="T1267" s="261">
        <v>6</v>
      </c>
      <c r="U1267" s="261">
        <v>6</v>
      </c>
      <c r="V1267" s="258" t="s">
        <v>71</v>
      </c>
      <c r="W1267" s="261" t="str">
        <f t="shared" si="189"/>
        <v>BMWM Series M8 CoupeM8 Coupe Competition239700000</v>
      </c>
      <c r="X1267" s="411">
        <f t="shared" si="190"/>
        <v>5041</v>
      </c>
      <c r="Y1267" s="261">
        <v>6</v>
      </c>
      <c r="Z1267" s="261">
        <v>6</v>
      </c>
      <c r="AA1267" s="407" t="s">
        <v>1785</v>
      </c>
      <c r="AB1267" s="258" t="s">
        <v>73</v>
      </c>
      <c r="AC1267" s="258"/>
      <c r="AD1267" s="258">
        <v>6</v>
      </c>
      <c r="AE1267" s="258">
        <v>0</v>
      </c>
      <c r="AF1267" s="259"/>
      <c r="AG1267" s="260"/>
      <c r="AH1267" s="259"/>
      <c r="AI1267" s="259"/>
      <c r="AJ1267" s="260"/>
      <c r="AK1267" s="259">
        <v>18</v>
      </c>
      <c r="AL1267" s="259"/>
      <c r="AM1267" s="259" t="s">
        <v>3770</v>
      </c>
      <c r="AN1267" s="449"/>
      <c r="AO1267" s="449"/>
      <c r="AP1267" s="449"/>
      <c r="AQ1267" s="392" t="str">
        <f>IFERROR(VLOOKUP(BG1267,#REF!,1,0),"")</f>
        <v/>
      </c>
      <c r="AS1267" s="259" t="s">
        <v>3236</v>
      </c>
      <c r="AW1267" s="392" t="s">
        <v>3958</v>
      </c>
      <c r="BD1267" s="202" t="str">
        <f t="shared" si="182"/>
        <v>M Series M8 CoupeM8 Coupe Competition</v>
      </c>
      <c r="BE1267" s="261" t="str">
        <f t="shared" si="188"/>
        <v>0214</v>
      </c>
      <c r="BF1267" s="407" t="s">
        <v>1785</v>
      </c>
      <c r="BG1267" s="202" t="str">
        <f t="shared" si="183"/>
        <v>0214-1266</v>
      </c>
    </row>
    <row r="1268" spans="1:59">
      <c r="A1268" s="405">
        <v>5042</v>
      </c>
      <c r="B1268" s="406">
        <v>5042</v>
      </c>
      <c r="C1268" s="261" t="str">
        <f t="shared" si="184"/>
        <v>0008-0214</v>
      </c>
      <c r="D1268" s="261" t="str">
        <f t="shared" si="185"/>
        <v>0008-0214-0002</v>
      </c>
      <c r="E1268" s="407" t="s">
        <v>1786</v>
      </c>
      <c r="F1268" s="261" t="str">
        <f>TEXT(VLOOKUP(J1268,'[3]1'!$B$2:$D$37,2,0),"0000")</f>
        <v>0008</v>
      </c>
      <c r="G1268" s="261" t="str">
        <f t="shared" si="186"/>
        <v>0214</v>
      </c>
      <c r="H1268" s="408">
        <f t="shared" si="187"/>
        <v>2</v>
      </c>
      <c r="I1268" s="407" t="s">
        <v>1786</v>
      </c>
      <c r="J1268" s="258" t="s">
        <v>184</v>
      </c>
      <c r="K1268" s="258" t="s">
        <v>2035</v>
      </c>
      <c r="L1268" s="258" t="s">
        <v>2036</v>
      </c>
      <c r="M1268" s="429">
        <v>236700000</v>
      </c>
      <c r="N1268" s="258">
        <v>4395</v>
      </c>
      <c r="O1268" s="258" t="s">
        <v>77</v>
      </c>
      <c r="P1268" s="258" t="s">
        <v>73</v>
      </c>
      <c r="Q1268" s="258" t="s">
        <v>72</v>
      </c>
      <c r="R1268" s="258">
        <v>4</v>
      </c>
      <c r="S1268" s="410">
        <v>17</v>
      </c>
      <c r="T1268" s="261">
        <v>6</v>
      </c>
      <c r="U1268" s="261">
        <v>6</v>
      </c>
      <c r="V1268" s="258" t="s">
        <v>71</v>
      </c>
      <c r="W1268" s="261" t="str">
        <f t="shared" si="189"/>
        <v>BMWM Series M8 CoupeM8 Gran Coupe Competition236700000</v>
      </c>
      <c r="X1268" s="411">
        <f t="shared" si="190"/>
        <v>5042</v>
      </c>
      <c r="Y1268" s="261">
        <v>6</v>
      </c>
      <c r="Z1268" s="261">
        <v>6</v>
      </c>
      <c r="AA1268" s="407" t="s">
        <v>1786</v>
      </c>
      <c r="AB1268" s="258" t="s">
        <v>73</v>
      </c>
      <c r="AC1268" s="258"/>
      <c r="AD1268" s="258">
        <v>6</v>
      </c>
      <c r="AE1268" s="258">
        <v>0</v>
      </c>
      <c r="AF1268" s="259"/>
      <c r="AG1268" s="260"/>
      <c r="AH1268" s="259"/>
      <c r="AI1268" s="259"/>
      <c r="AJ1268" s="260"/>
      <c r="AK1268" s="259">
        <v>18</v>
      </c>
      <c r="AL1268" s="259"/>
      <c r="AM1268" s="259" t="s">
        <v>3770</v>
      </c>
      <c r="AN1268" s="449"/>
      <c r="AO1268" s="449"/>
      <c r="AP1268" s="449"/>
      <c r="AQ1268" s="392" t="str">
        <f>IFERROR(VLOOKUP(BG1268,#REF!,1,0),"")</f>
        <v/>
      </c>
      <c r="AS1268" s="259" t="s">
        <v>3236</v>
      </c>
      <c r="AW1268" s="392" t="s">
        <v>3958</v>
      </c>
      <c r="BD1268" s="202" t="str">
        <f t="shared" si="182"/>
        <v>M Series M8 CoupeM8 Gran Coupe Competition</v>
      </c>
      <c r="BE1268" s="261" t="str">
        <f t="shared" si="188"/>
        <v>0214</v>
      </c>
      <c r="BF1268" s="407" t="s">
        <v>1786</v>
      </c>
      <c r="BG1268" s="202" t="str">
        <f t="shared" si="183"/>
        <v>0214-1267</v>
      </c>
    </row>
    <row r="1269" spans="1:59" ht="15.75" customHeight="1">
      <c r="A1269" s="405">
        <v>5043</v>
      </c>
      <c r="B1269" s="406">
        <v>5043</v>
      </c>
      <c r="C1269" s="261" t="str">
        <f t="shared" si="184"/>
        <v>0008-0215</v>
      </c>
      <c r="D1269" s="261" t="str">
        <f t="shared" si="185"/>
        <v>0008-0215-0001</v>
      </c>
      <c r="E1269" s="407" t="s">
        <v>1787</v>
      </c>
      <c r="F1269" s="261" t="str">
        <f>TEXT(VLOOKUP(J1269,'[3]1'!$B$2:$D$37,2,0),"0000")</f>
        <v>0008</v>
      </c>
      <c r="G1269" s="261" t="str">
        <f t="shared" si="186"/>
        <v>0215</v>
      </c>
      <c r="H1269" s="408">
        <f t="shared" si="187"/>
        <v>1</v>
      </c>
      <c r="I1269" s="407" t="s">
        <v>1787</v>
      </c>
      <c r="J1269" s="258" t="s">
        <v>184</v>
      </c>
      <c r="K1269" s="258" t="s">
        <v>2094</v>
      </c>
      <c r="L1269" s="258" t="s">
        <v>1355</v>
      </c>
      <c r="M1269" s="429">
        <v>174600000</v>
      </c>
      <c r="N1269" s="258">
        <v>4395</v>
      </c>
      <c r="O1269" s="258" t="s">
        <v>77</v>
      </c>
      <c r="P1269" s="258" t="s">
        <v>73</v>
      </c>
      <c r="Q1269" s="258" t="s">
        <v>72</v>
      </c>
      <c r="R1269" s="258">
        <v>5</v>
      </c>
      <c r="S1269" s="410">
        <v>17</v>
      </c>
      <c r="T1269" s="261">
        <v>6</v>
      </c>
      <c r="U1269" s="261">
        <v>6</v>
      </c>
      <c r="V1269" s="258" t="s">
        <v>71</v>
      </c>
      <c r="W1269" s="261" t="str">
        <f t="shared" si="189"/>
        <v>BMWM Series X5 MX5M174600000</v>
      </c>
      <c r="X1269" s="411">
        <f t="shared" si="190"/>
        <v>5043</v>
      </c>
      <c r="Y1269" s="261">
        <v>6</v>
      </c>
      <c r="Z1269" s="261">
        <v>6</v>
      </c>
      <c r="AA1269" s="407" t="s">
        <v>1787</v>
      </c>
      <c r="AB1269" s="258" t="s">
        <v>70</v>
      </c>
      <c r="AC1269" s="258"/>
      <c r="AD1269" s="258">
        <v>5</v>
      </c>
      <c r="AE1269" s="258">
        <v>0</v>
      </c>
      <c r="AF1269" s="259"/>
      <c r="AG1269" s="260"/>
      <c r="AH1269" s="259"/>
      <c r="AI1269" s="259"/>
      <c r="AJ1269" s="260"/>
      <c r="AK1269" s="259">
        <v>14</v>
      </c>
      <c r="AL1269" s="259"/>
      <c r="AM1269" s="259" t="s">
        <v>3974</v>
      </c>
      <c r="AN1269" s="449"/>
      <c r="AO1269" s="449"/>
      <c r="AP1269" s="449"/>
      <c r="AQ1269" s="392" t="str">
        <f>IFERROR(VLOOKUP(BG1269,#REF!,1,0),"")</f>
        <v/>
      </c>
      <c r="AS1269" s="259" t="s">
        <v>3236</v>
      </c>
      <c r="AW1269" s="392" t="s">
        <v>3959</v>
      </c>
      <c r="BD1269" s="202" t="str">
        <f t="shared" si="182"/>
        <v>M Series X5 MX5M</v>
      </c>
      <c r="BE1269" s="261" t="str">
        <f t="shared" si="188"/>
        <v>0215</v>
      </c>
      <c r="BF1269" s="407" t="s">
        <v>1787</v>
      </c>
      <c r="BG1269" s="202" t="str">
        <f t="shared" si="183"/>
        <v>0215-1268</v>
      </c>
    </row>
    <row r="1270" spans="1:59">
      <c r="A1270" s="405">
        <v>5044</v>
      </c>
      <c r="B1270" s="406">
        <v>5044</v>
      </c>
      <c r="C1270" s="261" t="str">
        <f t="shared" si="184"/>
        <v>0008-0216</v>
      </c>
      <c r="D1270" s="261" t="str">
        <f t="shared" si="185"/>
        <v>0008-0216-0001</v>
      </c>
      <c r="E1270" s="407" t="s">
        <v>1788</v>
      </c>
      <c r="F1270" s="261" t="str">
        <f>TEXT(VLOOKUP(J1270,'[3]1'!$B$2:$D$37,2,0),"0000")</f>
        <v>0008</v>
      </c>
      <c r="G1270" s="261" t="str">
        <f t="shared" si="186"/>
        <v>0216</v>
      </c>
      <c r="H1270" s="408">
        <f t="shared" si="187"/>
        <v>1</v>
      </c>
      <c r="I1270" s="407" t="s">
        <v>1788</v>
      </c>
      <c r="J1270" s="258" t="s">
        <v>184</v>
      </c>
      <c r="K1270" s="258" t="s">
        <v>1281</v>
      </c>
      <c r="L1270" s="258" t="s">
        <v>1440</v>
      </c>
      <c r="M1270" s="409">
        <v>48200000</v>
      </c>
      <c r="N1270" s="258">
        <v>1995</v>
      </c>
      <c r="O1270" s="258" t="s">
        <v>78</v>
      </c>
      <c r="P1270" s="258" t="s">
        <v>73</v>
      </c>
      <c r="Q1270" s="258" t="s">
        <v>72</v>
      </c>
      <c r="R1270" s="258">
        <v>5</v>
      </c>
      <c r="S1270" s="410">
        <v>7</v>
      </c>
      <c r="T1270" s="261">
        <v>6</v>
      </c>
      <c r="U1270" s="261">
        <v>6</v>
      </c>
      <c r="V1270" s="258" t="s">
        <v>71</v>
      </c>
      <c r="W1270" s="261" t="str">
        <f t="shared" si="189"/>
        <v>BMWX Series X1xDrive 18d Advantage48200000</v>
      </c>
      <c r="X1270" s="411">
        <f t="shared" si="190"/>
        <v>5044</v>
      </c>
      <c r="Y1270" s="261">
        <v>6</v>
      </c>
      <c r="Z1270" s="261">
        <v>6</v>
      </c>
      <c r="AA1270" s="407" t="s">
        <v>1788</v>
      </c>
      <c r="AB1270" s="258" t="s">
        <v>70</v>
      </c>
      <c r="AC1270" s="258"/>
      <c r="AD1270" s="258">
        <v>2</v>
      </c>
      <c r="AE1270" s="258">
        <v>1</v>
      </c>
      <c r="AF1270" s="259"/>
      <c r="AG1270" s="260"/>
      <c r="AH1270" s="259"/>
      <c r="AI1270" s="259"/>
      <c r="AJ1270" s="260"/>
      <c r="AK1270" s="259">
        <v>6</v>
      </c>
      <c r="AL1270" s="259"/>
      <c r="AM1270" s="259" t="s">
        <v>3977</v>
      </c>
      <c r="AN1270" s="449"/>
      <c r="AO1270" s="449"/>
      <c r="AP1270" s="449"/>
      <c r="AQ1270" s="392" t="str">
        <f>IFERROR(VLOOKUP(BG1270,#REF!,1,0),"")</f>
        <v/>
      </c>
      <c r="AS1270" s="259" t="s">
        <v>3229</v>
      </c>
      <c r="AW1270" s="392" t="s">
        <v>3958</v>
      </c>
      <c r="BD1270" s="202" t="str">
        <f t="shared" si="182"/>
        <v>X Series X1xDrive 18d Advantage</v>
      </c>
      <c r="BE1270" s="261" t="str">
        <f t="shared" si="188"/>
        <v>0216</v>
      </c>
      <c r="BF1270" s="407" t="s">
        <v>1788</v>
      </c>
      <c r="BG1270" s="202" t="str">
        <f t="shared" si="183"/>
        <v>0216-1269</v>
      </c>
    </row>
    <row r="1271" spans="1:59">
      <c r="A1271" s="405">
        <v>5045</v>
      </c>
      <c r="B1271" s="406">
        <v>5045</v>
      </c>
      <c r="C1271" s="261" t="str">
        <f t="shared" si="184"/>
        <v>0008-0216</v>
      </c>
      <c r="D1271" s="261" t="str">
        <f t="shared" si="185"/>
        <v>0008-0216-0002</v>
      </c>
      <c r="E1271" s="407" t="s">
        <v>1789</v>
      </c>
      <c r="F1271" s="261" t="str">
        <f>TEXT(VLOOKUP(J1271,'[3]1'!$B$2:$D$37,2,0),"0000")</f>
        <v>0008</v>
      </c>
      <c r="G1271" s="261" t="str">
        <f t="shared" si="186"/>
        <v>0216</v>
      </c>
      <c r="H1271" s="408">
        <f t="shared" si="187"/>
        <v>2</v>
      </c>
      <c r="I1271" s="407" t="s">
        <v>1789</v>
      </c>
      <c r="J1271" s="258" t="s">
        <v>184</v>
      </c>
      <c r="K1271" s="258" t="s">
        <v>3319</v>
      </c>
      <c r="L1271" s="258" t="s">
        <v>3313</v>
      </c>
      <c r="M1271" s="429">
        <v>57700000</v>
      </c>
      <c r="N1271" s="258">
        <v>1995</v>
      </c>
      <c r="O1271" s="258" t="s">
        <v>78</v>
      </c>
      <c r="P1271" s="258" t="s">
        <v>73</v>
      </c>
      <c r="Q1271" s="258" t="s">
        <v>72</v>
      </c>
      <c r="R1271" s="258">
        <v>5</v>
      </c>
      <c r="S1271" s="410">
        <v>7</v>
      </c>
      <c r="T1271" s="261">
        <v>6</v>
      </c>
      <c r="U1271" s="261">
        <v>6</v>
      </c>
      <c r="V1271" s="258" t="s">
        <v>71</v>
      </c>
      <c r="W1271" s="261" t="str">
        <f t="shared" si="189"/>
        <v>BMWX Series X1xDrive 18d X Line57700000</v>
      </c>
      <c r="X1271" s="411">
        <f t="shared" si="190"/>
        <v>5045</v>
      </c>
      <c r="Y1271" s="261">
        <v>6</v>
      </c>
      <c r="Z1271" s="261">
        <v>6</v>
      </c>
      <c r="AA1271" s="407" t="s">
        <v>1789</v>
      </c>
      <c r="AB1271" s="258" t="s">
        <v>70</v>
      </c>
      <c r="AC1271" s="258"/>
      <c r="AD1271" s="258">
        <v>2</v>
      </c>
      <c r="AE1271" s="258">
        <v>1</v>
      </c>
      <c r="AF1271" s="259"/>
      <c r="AG1271" s="260"/>
      <c r="AH1271" s="259"/>
      <c r="AI1271" s="259"/>
      <c r="AJ1271" s="260"/>
      <c r="AK1271" s="259">
        <v>6</v>
      </c>
      <c r="AL1271" s="259"/>
      <c r="AM1271" s="259" t="s">
        <v>3977</v>
      </c>
      <c r="AN1271" s="449"/>
      <c r="AO1271" s="449"/>
      <c r="AP1271" s="449"/>
      <c r="AQ1271" s="392" t="str">
        <f>IFERROR(VLOOKUP(BG1271,#REF!,1,0),"")</f>
        <v/>
      </c>
      <c r="AS1271" s="259" t="s">
        <v>3229</v>
      </c>
      <c r="AW1271" s="392" t="s">
        <v>3958</v>
      </c>
      <c r="BD1271" s="202" t="str">
        <f t="shared" si="182"/>
        <v>X Series X1xDrive 18d X Line</v>
      </c>
      <c r="BE1271" s="261" t="str">
        <f t="shared" si="188"/>
        <v>0216</v>
      </c>
      <c r="BF1271" s="407" t="s">
        <v>1789</v>
      </c>
      <c r="BG1271" s="202" t="str">
        <f t="shared" si="183"/>
        <v>0216-1270</v>
      </c>
    </row>
    <row r="1272" spans="1:59">
      <c r="A1272" s="405">
        <v>5046</v>
      </c>
      <c r="B1272" s="406">
        <v>5046</v>
      </c>
      <c r="C1272" s="261" t="str">
        <f t="shared" si="184"/>
        <v>0008-0216</v>
      </c>
      <c r="D1272" s="261" t="str">
        <f t="shared" si="185"/>
        <v>0008-0216-0003</v>
      </c>
      <c r="E1272" s="407" t="s">
        <v>3931</v>
      </c>
      <c r="F1272" s="261" t="str">
        <f>TEXT(VLOOKUP(J1272,'[3]1'!$B$2:$D$37,2,0),"0000")</f>
        <v>0008</v>
      </c>
      <c r="G1272" s="261" t="str">
        <f t="shared" si="186"/>
        <v>0216</v>
      </c>
      <c r="H1272" s="408">
        <f t="shared" si="187"/>
        <v>3</v>
      </c>
      <c r="I1272" s="407" t="s">
        <v>3931</v>
      </c>
      <c r="J1272" s="258" t="s">
        <v>184</v>
      </c>
      <c r="K1272" s="258" t="s">
        <v>1281</v>
      </c>
      <c r="L1272" s="258" t="s">
        <v>1441</v>
      </c>
      <c r="M1272" s="429">
        <v>52400000</v>
      </c>
      <c r="N1272" s="258">
        <v>1995</v>
      </c>
      <c r="O1272" s="258" t="s">
        <v>78</v>
      </c>
      <c r="P1272" s="258" t="s">
        <v>73</v>
      </c>
      <c r="Q1272" s="258" t="s">
        <v>72</v>
      </c>
      <c r="R1272" s="258">
        <v>5</v>
      </c>
      <c r="S1272" s="410">
        <v>7</v>
      </c>
      <c r="T1272" s="261">
        <v>6</v>
      </c>
      <c r="U1272" s="261">
        <v>6</v>
      </c>
      <c r="V1272" s="258" t="s">
        <v>71</v>
      </c>
      <c r="W1272" s="261" t="str">
        <f t="shared" si="189"/>
        <v>BMWX Series X1xDrive 18d M Sport52400000</v>
      </c>
      <c r="X1272" s="411">
        <f t="shared" si="190"/>
        <v>5046</v>
      </c>
      <c r="Y1272" s="261">
        <v>6</v>
      </c>
      <c r="Z1272" s="261">
        <v>6</v>
      </c>
      <c r="AA1272" s="407" t="s">
        <v>3931</v>
      </c>
      <c r="AB1272" s="258" t="s">
        <v>70</v>
      </c>
      <c r="AC1272" s="258"/>
      <c r="AD1272" s="258">
        <v>2</v>
      </c>
      <c r="AE1272" s="258">
        <v>1</v>
      </c>
      <c r="AF1272" s="259"/>
      <c r="AG1272" s="260"/>
      <c r="AH1272" s="259"/>
      <c r="AI1272" s="259"/>
      <c r="AJ1272" s="260"/>
      <c r="AK1272" s="259">
        <v>6</v>
      </c>
      <c r="AL1272" s="259"/>
      <c r="AM1272" s="259" t="s">
        <v>3977</v>
      </c>
      <c r="AN1272" s="449"/>
      <c r="AO1272" s="449"/>
      <c r="AP1272" s="449"/>
      <c r="AQ1272" s="392" t="str">
        <f>IFERROR(VLOOKUP(BG1272,#REF!,1,0),"")</f>
        <v/>
      </c>
      <c r="AS1272" s="259" t="s">
        <v>3229</v>
      </c>
      <c r="AW1272" s="392" t="s">
        <v>3958</v>
      </c>
      <c r="BD1272" s="202" t="str">
        <f t="shared" si="182"/>
        <v>X Series X1xDrive 18d M Sport</v>
      </c>
      <c r="BE1272" s="261" t="str">
        <f t="shared" si="188"/>
        <v>0216</v>
      </c>
      <c r="BF1272" s="407" t="s">
        <v>3931</v>
      </c>
      <c r="BG1272" s="202" t="str">
        <f t="shared" si="183"/>
        <v>0216-1271</v>
      </c>
    </row>
    <row r="1273" spans="1:59">
      <c r="A1273" s="405">
        <v>5047</v>
      </c>
      <c r="B1273" s="406">
        <v>5047</v>
      </c>
      <c r="C1273" s="261" t="str">
        <f t="shared" si="184"/>
        <v>0008-0216</v>
      </c>
      <c r="D1273" s="261" t="str">
        <f t="shared" si="185"/>
        <v>0008-0216-0004</v>
      </c>
      <c r="E1273" s="407" t="s">
        <v>3932</v>
      </c>
      <c r="F1273" s="261" t="str">
        <f>TEXT(VLOOKUP(J1273,'[3]1'!$B$2:$D$37,2,0),"0000")</f>
        <v>0008</v>
      </c>
      <c r="G1273" s="261" t="str">
        <f t="shared" si="186"/>
        <v>0216</v>
      </c>
      <c r="H1273" s="408">
        <f t="shared" si="187"/>
        <v>4</v>
      </c>
      <c r="I1273" s="407" t="s">
        <v>3932</v>
      </c>
      <c r="J1273" s="258" t="s">
        <v>184</v>
      </c>
      <c r="K1273" s="258" t="s">
        <v>1281</v>
      </c>
      <c r="L1273" s="258" t="s">
        <v>1442</v>
      </c>
      <c r="M1273" s="409">
        <v>48900000</v>
      </c>
      <c r="N1273" s="258">
        <v>1998</v>
      </c>
      <c r="O1273" s="258" t="s">
        <v>77</v>
      </c>
      <c r="P1273" s="258" t="s">
        <v>73</v>
      </c>
      <c r="Q1273" s="258" t="s">
        <v>72</v>
      </c>
      <c r="R1273" s="258">
        <v>5</v>
      </c>
      <c r="S1273" s="410">
        <v>7</v>
      </c>
      <c r="T1273" s="261">
        <v>6</v>
      </c>
      <c r="U1273" s="261">
        <v>6</v>
      </c>
      <c r="V1273" s="258" t="s">
        <v>71</v>
      </c>
      <c r="W1273" s="261" t="str">
        <f t="shared" si="189"/>
        <v>BMWX Series X1xDrive 20i advantage48900000</v>
      </c>
      <c r="X1273" s="411">
        <f t="shared" si="190"/>
        <v>5047</v>
      </c>
      <c r="Y1273" s="261">
        <v>6</v>
      </c>
      <c r="Z1273" s="261">
        <v>6</v>
      </c>
      <c r="AA1273" s="407" t="s">
        <v>3932</v>
      </c>
      <c r="AB1273" s="258" t="s">
        <v>70</v>
      </c>
      <c r="AC1273" s="258"/>
      <c r="AD1273" s="258">
        <v>3</v>
      </c>
      <c r="AE1273" s="258">
        <v>0</v>
      </c>
      <c r="AF1273" s="259"/>
      <c r="AG1273" s="260"/>
      <c r="AH1273" s="259"/>
      <c r="AI1273" s="259"/>
      <c r="AJ1273" s="260"/>
      <c r="AK1273" s="259">
        <v>6</v>
      </c>
      <c r="AL1273" s="259"/>
      <c r="AM1273" s="259" t="s">
        <v>3977</v>
      </c>
      <c r="AN1273" s="449"/>
      <c r="AO1273" s="449"/>
      <c r="AP1273" s="449"/>
      <c r="AQ1273" s="392" t="str">
        <f>IFERROR(VLOOKUP(BG1273,#REF!,1,0),"")</f>
        <v/>
      </c>
      <c r="AS1273" s="259" t="s">
        <v>3229</v>
      </c>
      <c r="AW1273" s="392" t="s">
        <v>3958</v>
      </c>
      <c r="BD1273" s="202" t="str">
        <f t="shared" si="182"/>
        <v>X Series X1xDrive 20i advantage</v>
      </c>
      <c r="BE1273" s="261" t="str">
        <f t="shared" si="188"/>
        <v>0216</v>
      </c>
      <c r="BF1273" s="407" t="s">
        <v>3932</v>
      </c>
      <c r="BG1273" s="202" t="str">
        <f t="shared" si="183"/>
        <v>0216-1272</v>
      </c>
    </row>
    <row r="1274" spans="1:59">
      <c r="A1274" s="405">
        <v>5048</v>
      </c>
      <c r="B1274" s="406">
        <v>5048</v>
      </c>
      <c r="C1274" s="261" t="str">
        <f t="shared" si="184"/>
        <v>0008-0216</v>
      </c>
      <c r="D1274" s="261" t="str">
        <f t="shared" si="185"/>
        <v>0008-0216-0005</v>
      </c>
      <c r="E1274" s="407" t="s">
        <v>3933</v>
      </c>
      <c r="F1274" s="261" t="str">
        <f>TEXT(VLOOKUP(J1274,'[3]1'!$B$2:$D$37,2,0),"0000")</f>
        <v>0008</v>
      </c>
      <c r="G1274" s="261" t="str">
        <f t="shared" si="186"/>
        <v>0216</v>
      </c>
      <c r="H1274" s="408">
        <f t="shared" si="187"/>
        <v>5</v>
      </c>
      <c r="I1274" s="407" t="s">
        <v>3933</v>
      </c>
      <c r="J1274" s="258" t="s">
        <v>184</v>
      </c>
      <c r="K1274" s="258" t="s">
        <v>1281</v>
      </c>
      <c r="L1274" s="258" t="s">
        <v>3312</v>
      </c>
      <c r="M1274" s="409">
        <v>50000000</v>
      </c>
      <c r="N1274" s="258">
        <v>1998</v>
      </c>
      <c r="O1274" s="258" t="s">
        <v>77</v>
      </c>
      <c r="P1274" s="258" t="s">
        <v>73</v>
      </c>
      <c r="Q1274" s="258" t="s">
        <v>72</v>
      </c>
      <c r="R1274" s="258">
        <v>5</v>
      </c>
      <c r="S1274" s="410">
        <v>7</v>
      </c>
      <c r="T1274" s="261">
        <v>6</v>
      </c>
      <c r="U1274" s="261">
        <v>6</v>
      </c>
      <c r="V1274" s="258" t="s">
        <v>71</v>
      </c>
      <c r="W1274" s="261" t="str">
        <f t="shared" si="189"/>
        <v>BMWX Series X1xDrive 20i Xline50000000</v>
      </c>
      <c r="X1274" s="411">
        <f t="shared" si="190"/>
        <v>5048</v>
      </c>
      <c r="Y1274" s="261">
        <v>6</v>
      </c>
      <c r="Z1274" s="261">
        <v>6</v>
      </c>
      <c r="AA1274" s="407" t="s">
        <v>3933</v>
      </c>
      <c r="AB1274" s="258" t="s">
        <v>70</v>
      </c>
      <c r="AC1274" s="258"/>
      <c r="AD1274" s="258">
        <v>3</v>
      </c>
      <c r="AE1274" s="258">
        <v>0</v>
      </c>
      <c r="AF1274" s="259"/>
      <c r="AG1274" s="260"/>
      <c r="AH1274" s="259"/>
      <c r="AI1274" s="259"/>
      <c r="AJ1274" s="260"/>
      <c r="AK1274" s="259">
        <v>6</v>
      </c>
      <c r="AL1274" s="259"/>
      <c r="AM1274" s="259" t="s">
        <v>3977</v>
      </c>
      <c r="AN1274" s="449"/>
      <c r="AO1274" s="449"/>
      <c r="AP1274" s="449"/>
      <c r="AQ1274" s="392" t="str">
        <f>IFERROR(VLOOKUP(BG1274,#REF!,1,0),"")</f>
        <v/>
      </c>
      <c r="AS1274" s="259" t="s">
        <v>3229</v>
      </c>
      <c r="AW1274" s="392" t="s">
        <v>3958</v>
      </c>
      <c r="BD1274" s="202" t="str">
        <f t="shared" si="182"/>
        <v>X Series X1xDrive 20i Xline</v>
      </c>
      <c r="BE1274" s="261" t="str">
        <f t="shared" si="188"/>
        <v>0216</v>
      </c>
      <c r="BF1274" s="407" t="s">
        <v>3933</v>
      </c>
      <c r="BG1274" s="202" t="str">
        <f t="shared" si="183"/>
        <v>0216-1273</v>
      </c>
    </row>
    <row r="1275" spans="1:59">
      <c r="A1275" s="405">
        <v>5049</v>
      </c>
      <c r="B1275" s="406">
        <v>5049</v>
      </c>
      <c r="C1275" s="261" t="str">
        <f t="shared" si="184"/>
        <v>0008-0216</v>
      </c>
      <c r="D1275" s="261" t="str">
        <f t="shared" si="185"/>
        <v>0008-0216-0006</v>
      </c>
      <c r="E1275" s="407" t="s">
        <v>3934</v>
      </c>
      <c r="F1275" s="261" t="str">
        <f>TEXT(VLOOKUP(J1275,'[3]1'!$B$2:$D$37,2,0),"0000")</f>
        <v>0008</v>
      </c>
      <c r="G1275" s="261" t="str">
        <f t="shared" si="186"/>
        <v>0216</v>
      </c>
      <c r="H1275" s="408">
        <f t="shared" si="187"/>
        <v>6</v>
      </c>
      <c r="I1275" s="407" t="s">
        <v>3934</v>
      </c>
      <c r="J1275" s="258" t="s">
        <v>184</v>
      </c>
      <c r="K1275" s="258" t="s">
        <v>1281</v>
      </c>
      <c r="L1275" s="258" t="s">
        <v>1443</v>
      </c>
      <c r="M1275" s="409">
        <v>52600000</v>
      </c>
      <c r="N1275" s="258">
        <v>1998</v>
      </c>
      <c r="O1275" s="258" t="s">
        <v>77</v>
      </c>
      <c r="P1275" s="258" t="s">
        <v>73</v>
      </c>
      <c r="Q1275" s="258" t="s">
        <v>72</v>
      </c>
      <c r="R1275" s="258">
        <v>5</v>
      </c>
      <c r="S1275" s="410">
        <v>7</v>
      </c>
      <c r="T1275" s="261">
        <v>6</v>
      </c>
      <c r="U1275" s="261">
        <v>6</v>
      </c>
      <c r="V1275" s="258" t="s">
        <v>71</v>
      </c>
      <c r="W1275" s="261" t="str">
        <f t="shared" si="189"/>
        <v>BMWX Series X1xDrive 20i M Sport 52600000</v>
      </c>
      <c r="X1275" s="411">
        <f t="shared" si="190"/>
        <v>5049</v>
      </c>
      <c r="Y1275" s="261">
        <v>6</v>
      </c>
      <c r="Z1275" s="261">
        <v>6</v>
      </c>
      <c r="AA1275" s="407" t="s">
        <v>3934</v>
      </c>
      <c r="AB1275" s="258" t="s">
        <v>70</v>
      </c>
      <c r="AC1275" s="258"/>
      <c r="AD1275" s="258">
        <v>3</v>
      </c>
      <c r="AE1275" s="258">
        <v>0</v>
      </c>
      <c r="AF1275" s="259"/>
      <c r="AG1275" s="260"/>
      <c r="AH1275" s="259"/>
      <c r="AI1275" s="259"/>
      <c r="AJ1275" s="260"/>
      <c r="AK1275" s="259">
        <v>6</v>
      </c>
      <c r="AL1275" s="259"/>
      <c r="AM1275" s="259" t="s">
        <v>3977</v>
      </c>
      <c r="AN1275" s="449"/>
      <c r="AO1275" s="449"/>
      <c r="AP1275" s="449"/>
      <c r="AQ1275" s="392" t="str">
        <f>IFERROR(VLOOKUP(BG1275,#REF!,1,0),"")</f>
        <v/>
      </c>
      <c r="AS1275" s="259" t="s">
        <v>3229</v>
      </c>
      <c r="AW1275" s="392" t="s">
        <v>3958</v>
      </c>
      <c r="BD1275" s="202" t="str">
        <f t="shared" si="182"/>
        <v xml:space="preserve">X Series X1xDrive 20i M Sport </v>
      </c>
      <c r="BE1275" s="261" t="str">
        <f t="shared" si="188"/>
        <v>0216</v>
      </c>
      <c r="BF1275" s="407" t="s">
        <v>3934</v>
      </c>
      <c r="BG1275" s="202" t="str">
        <f t="shared" si="183"/>
        <v>0216-1274</v>
      </c>
    </row>
    <row r="1276" spans="1:59">
      <c r="A1276" s="405">
        <v>5050</v>
      </c>
      <c r="B1276" s="406">
        <v>5050</v>
      </c>
      <c r="C1276" s="261" t="str">
        <f t="shared" si="184"/>
        <v>0008-0216</v>
      </c>
      <c r="D1276" s="261" t="str">
        <f t="shared" si="185"/>
        <v>0008-0216-0007</v>
      </c>
      <c r="E1276" s="407" t="s">
        <v>3935</v>
      </c>
      <c r="F1276" s="261" t="str">
        <f>TEXT(VLOOKUP(J1276,'[3]1'!$B$2:$D$37,2,0),"0000")</f>
        <v>0008</v>
      </c>
      <c r="G1276" s="261" t="str">
        <f t="shared" si="186"/>
        <v>0216</v>
      </c>
      <c r="H1276" s="408">
        <f t="shared" si="187"/>
        <v>7</v>
      </c>
      <c r="I1276" s="407" t="s">
        <v>3935</v>
      </c>
      <c r="J1276" s="258" t="s">
        <v>184</v>
      </c>
      <c r="K1276" s="258" t="s">
        <v>1281</v>
      </c>
      <c r="L1276" s="258" t="s">
        <v>3498</v>
      </c>
      <c r="M1276" s="409">
        <v>52600000</v>
      </c>
      <c r="N1276" s="258">
        <v>1998</v>
      </c>
      <c r="O1276" s="258" t="s">
        <v>77</v>
      </c>
      <c r="P1276" s="258" t="s">
        <v>73</v>
      </c>
      <c r="Q1276" s="258" t="s">
        <v>72</v>
      </c>
      <c r="R1276" s="258">
        <v>5</v>
      </c>
      <c r="S1276" s="410">
        <v>7</v>
      </c>
      <c r="T1276" s="261">
        <v>6</v>
      </c>
      <c r="U1276" s="261">
        <v>6</v>
      </c>
      <c r="V1276" s="258" t="s">
        <v>71</v>
      </c>
      <c r="W1276" s="261" t="str">
        <f t="shared" si="189"/>
        <v>BMWX Series X1sDrive 20i M Sport 52600000</v>
      </c>
      <c r="X1276" s="411">
        <f t="shared" si="190"/>
        <v>5050</v>
      </c>
      <c r="Y1276" s="261">
        <v>6</v>
      </c>
      <c r="Z1276" s="261">
        <v>6</v>
      </c>
      <c r="AA1276" s="407" t="s">
        <v>3935</v>
      </c>
      <c r="AB1276" s="258" t="s">
        <v>70</v>
      </c>
      <c r="AC1276" s="258"/>
      <c r="AD1276" s="258">
        <v>3</v>
      </c>
      <c r="AE1276" s="258">
        <v>0</v>
      </c>
      <c r="AF1276" s="259"/>
      <c r="AG1276" s="260"/>
      <c r="AH1276" s="259"/>
      <c r="AI1276" s="259"/>
      <c r="AJ1276" s="260"/>
      <c r="AK1276" s="259">
        <v>6</v>
      </c>
      <c r="AL1276" s="259"/>
      <c r="AM1276" s="259" t="s">
        <v>3977</v>
      </c>
      <c r="AN1276" s="449"/>
      <c r="AO1276" s="449"/>
      <c r="AP1276" s="449"/>
      <c r="AQ1276" s="392" t="str">
        <f>IFERROR(VLOOKUP(BG1276,#REF!,1,0),"")</f>
        <v/>
      </c>
      <c r="AS1276" s="259" t="s">
        <v>3229</v>
      </c>
      <c r="AW1276" s="392" t="s">
        <v>3958</v>
      </c>
      <c r="BD1276" s="202" t="str">
        <f t="shared" si="182"/>
        <v xml:space="preserve">X Series X1sDrive 20i M Sport </v>
      </c>
      <c r="BE1276" s="261" t="str">
        <f t="shared" si="188"/>
        <v>0216</v>
      </c>
      <c r="BF1276" s="407" t="s">
        <v>3935</v>
      </c>
      <c r="BG1276" s="202" t="str">
        <f t="shared" si="183"/>
        <v>0216-1275</v>
      </c>
    </row>
    <row r="1277" spans="1:59">
      <c r="A1277" s="405">
        <v>5051</v>
      </c>
      <c r="B1277" s="406">
        <v>5051</v>
      </c>
      <c r="C1277" s="261" t="str">
        <f t="shared" si="184"/>
        <v>0008-0216</v>
      </c>
      <c r="D1277" s="261" t="str">
        <f t="shared" si="185"/>
        <v>0008-0216-0008</v>
      </c>
      <c r="E1277" s="407" t="s">
        <v>3936</v>
      </c>
      <c r="F1277" s="261" t="str">
        <f>TEXT(VLOOKUP(J1277,'[3]1'!$B$2:$D$37,2,0),"0000")</f>
        <v>0008</v>
      </c>
      <c r="G1277" s="261" t="str">
        <f t="shared" si="186"/>
        <v>0216</v>
      </c>
      <c r="H1277" s="408">
        <f t="shared" si="187"/>
        <v>8</v>
      </c>
      <c r="I1277" s="407" t="s">
        <v>3936</v>
      </c>
      <c r="J1277" s="258" t="s">
        <v>184</v>
      </c>
      <c r="K1277" s="258" t="s">
        <v>1281</v>
      </c>
      <c r="L1277" s="258" t="s">
        <v>3499</v>
      </c>
      <c r="M1277" s="409">
        <v>52600000</v>
      </c>
      <c r="N1277" s="258">
        <v>1998</v>
      </c>
      <c r="O1277" s="258" t="s">
        <v>77</v>
      </c>
      <c r="P1277" s="258" t="s">
        <v>73</v>
      </c>
      <c r="Q1277" s="258" t="s">
        <v>72</v>
      </c>
      <c r="R1277" s="258">
        <v>5</v>
      </c>
      <c r="S1277" s="410">
        <v>7</v>
      </c>
      <c r="T1277" s="261">
        <v>6</v>
      </c>
      <c r="U1277" s="261">
        <v>6</v>
      </c>
      <c r="V1277" s="258" t="s">
        <v>71</v>
      </c>
      <c r="W1277" s="261" t="str">
        <f t="shared" si="189"/>
        <v>BMWX Series X1sDrive 20i Xline52600000</v>
      </c>
      <c r="X1277" s="411">
        <f t="shared" si="190"/>
        <v>5051</v>
      </c>
      <c r="Y1277" s="261">
        <v>6</v>
      </c>
      <c r="Z1277" s="261">
        <v>6</v>
      </c>
      <c r="AA1277" s="407" t="s">
        <v>3936</v>
      </c>
      <c r="AB1277" s="258" t="s">
        <v>70</v>
      </c>
      <c r="AC1277" s="258"/>
      <c r="AD1277" s="258">
        <v>3</v>
      </c>
      <c r="AE1277" s="258">
        <v>0</v>
      </c>
      <c r="AF1277" s="259"/>
      <c r="AG1277" s="260"/>
      <c r="AH1277" s="259"/>
      <c r="AI1277" s="259"/>
      <c r="AJ1277" s="260"/>
      <c r="AK1277" s="259">
        <v>6</v>
      </c>
      <c r="AL1277" s="259"/>
      <c r="AM1277" s="259" t="s">
        <v>3977</v>
      </c>
      <c r="AN1277" s="449"/>
      <c r="AO1277" s="449"/>
      <c r="AP1277" s="449"/>
      <c r="AQ1277" s="392" t="str">
        <f>IFERROR(VLOOKUP(BG1277,#REF!,1,0),"")</f>
        <v/>
      </c>
      <c r="AS1277" s="259" t="s">
        <v>3229</v>
      </c>
      <c r="AW1277" s="392" t="s">
        <v>3958</v>
      </c>
      <c r="BD1277" s="202" t="str">
        <f t="shared" si="182"/>
        <v>X Series X1sDrive 20i Xline</v>
      </c>
      <c r="BE1277" s="261" t="str">
        <f t="shared" si="188"/>
        <v>0216</v>
      </c>
      <c r="BF1277" s="407" t="s">
        <v>3936</v>
      </c>
      <c r="BG1277" s="202" t="str">
        <f t="shared" si="183"/>
        <v>0216-1276</v>
      </c>
    </row>
    <row r="1278" spans="1:59">
      <c r="A1278" s="405">
        <v>5052</v>
      </c>
      <c r="B1278" s="406">
        <v>5052</v>
      </c>
      <c r="C1278" s="261" t="str">
        <f t="shared" si="184"/>
        <v>0008-0216</v>
      </c>
      <c r="D1278" s="261" t="str">
        <f t="shared" si="185"/>
        <v>0008-0216-0009</v>
      </c>
      <c r="E1278" s="407" t="s">
        <v>1790</v>
      </c>
      <c r="F1278" s="261" t="str">
        <f>TEXT(VLOOKUP(J1278,'[3]1'!$B$2:$D$37,2,0),"0000")</f>
        <v>0008</v>
      </c>
      <c r="G1278" s="261" t="str">
        <f t="shared" si="186"/>
        <v>0216</v>
      </c>
      <c r="H1278" s="408">
        <f t="shared" si="187"/>
        <v>9</v>
      </c>
      <c r="I1278" s="407" t="s">
        <v>1790</v>
      </c>
      <c r="J1278" s="258" t="s">
        <v>184</v>
      </c>
      <c r="K1278" s="258" t="s">
        <v>1281</v>
      </c>
      <c r="L1278" s="258" t="s">
        <v>3754</v>
      </c>
      <c r="M1278" s="409">
        <v>52600000</v>
      </c>
      <c r="N1278" s="258">
        <v>1998</v>
      </c>
      <c r="O1278" s="258" t="s">
        <v>77</v>
      </c>
      <c r="P1278" s="258" t="s">
        <v>73</v>
      </c>
      <c r="Q1278" s="258" t="s">
        <v>72</v>
      </c>
      <c r="R1278" s="258">
        <v>5</v>
      </c>
      <c r="S1278" s="410">
        <v>7</v>
      </c>
      <c r="T1278" s="261">
        <v>6</v>
      </c>
      <c r="U1278" s="261">
        <v>6</v>
      </c>
      <c r="V1278" s="258" t="s">
        <v>71</v>
      </c>
      <c r="W1278" s="261" t="str">
        <f t="shared" si="189"/>
        <v>BMWX Series X1M35i x드라이브52600000</v>
      </c>
      <c r="X1278" s="411">
        <f t="shared" si="190"/>
        <v>5052</v>
      </c>
      <c r="Y1278" s="261">
        <v>6</v>
      </c>
      <c r="Z1278" s="261">
        <v>6</v>
      </c>
      <c r="AA1278" s="407" t="s">
        <v>1790</v>
      </c>
      <c r="AB1278" s="258" t="s">
        <v>70</v>
      </c>
      <c r="AC1278" s="258"/>
      <c r="AD1278" s="258">
        <v>3</v>
      </c>
      <c r="AE1278" s="258">
        <v>0</v>
      </c>
      <c r="AF1278" s="259"/>
      <c r="AG1278" s="260"/>
      <c r="AH1278" s="259"/>
      <c r="AI1278" s="259"/>
      <c r="AJ1278" s="260"/>
      <c r="AK1278" s="259">
        <v>11</v>
      </c>
      <c r="AL1278" s="259"/>
      <c r="AM1278" s="259" t="s">
        <v>3733</v>
      </c>
      <c r="AN1278" s="449"/>
      <c r="AO1278" s="449"/>
      <c r="AP1278" s="449"/>
      <c r="AQ1278" s="392" t="str">
        <f>IFERROR(VLOOKUP(BG1278,#REF!,1,0),"")</f>
        <v/>
      </c>
      <c r="AS1278" s="259" t="s">
        <v>3229</v>
      </c>
      <c r="AW1278" s="392" t="s">
        <v>3959</v>
      </c>
      <c r="BD1278" s="202" t="str">
        <f t="shared" si="182"/>
        <v>X Series X1M35i x드라이브</v>
      </c>
      <c r="BE1278" s="261" t="str">
        <f t="shared" si="188"/>
        <v>0216</v>
      </c>
      <c r="BF1278" s="407" t="s">
        <v>1790</v>
      </c>
      <c r="BG1278" s="202" t="str">
        <f t="shared" si="183"/>
        <v>0216-1277</v>
      </c>
    </row>
    <row r="1279" spans="1:59">
      <c r="A1279" s="405">
        <v>5053</v>
      </c>
      <c r="B1279" s="406">
        <v>5053</v>
      </c>
      <c r="C1279" s="261" t="str">
        <f t="shared" si="184"/>
        <v>0008-0217</v>
      </c>
      <c r="D1279" s="261" t="str">
        <f t="shared" si="185"/>
        <v>0008-0217-0001</v>
      </c>
      <c r="E1279" s="407" t="s">
        <v>1791</v>
      </c>
      <c r="F1279" s="261" t="str">
        <f>TEXT(VLOOKUP(J1279,'[3]1'!$B$2:$D$37,2,0),"0000")</f>
        <v>0008</v>
      </c>
      <c r="G1279" s="261" t="str">
        <f t="shared" si="186"/>
        <v>0217</v>
      </c>
      <c r="H1279" s="408">
        <f t="shared" si="187"/>
        <v>1</v>
      </c>
      <c r="I1279" s="407" t="s">
        <v>1791</v>
      </c>
      <c r="J1279" s="258" t="s">
        <v>184</v>
      </c>
      <c r="K1279" s="410" t="s">
        <v>1284</v>
      </c>
      <c r="L1279" s="410" t="s">
        <v>1444</v>
      </c>
      <c r="M1279" s="409">
        <v>52000000</v>
      </c>
      <c r="N1279" s="258">
        <v>1998</v>
      </c>
      <c r="O1279" s="258" t="s">
        <v>77</v>
      </c>
      <c r="P1279" s="258" t="s">
        <v>73</v>
      </c>
      <c r="Q1279" s="258" t="s">
        <v>72</v>
      </c>
      <c r="R1279" s="258">
        <v>5</v>
      </c>
      <c r="S1279" s="410">
        <v>7</v>
      </c>
      <c r="T1279" s="261">
        <v>6</v>
      </c>
      <c r="U1279" s="261">
        <v>6</v>
      </c>
      <c r="V1279" s="258" t="s">
        <v>71</v>
      </c>
      <c r="W1279" s="261" t="str">
        <f t="shared" si="189"/>
        <v>BMWX Series X2X2 xDrive 20i Advantage52000000</v>
      </c>
      <c r="X1279" s="411">
        <f t="shared" si="190"/>
        <v>5053</v>
      </c>
      <c r="Y1279" s="261">
        <v>6</v>
      </c>
      <c r="Z1279" s="261">
        <v>6</v>
      </c>
      <c r="AA1279" s="407" t="s">
        <v>1791</v>
      </c>
      <c r="AB1279" s="258" t="s">
        <v>70</v>
      </c>
      <c r="AC1279" s="258"/>
      <c r="AD1279" s="258">
        <v>3</v>
      </c>
      <c r="AE1279" s="258">
        <v>0</v>
      </c>
      <c r="AF1279" s="259"/>
      <c r="AG1279" s="260"/>
      <c r="AH1279" s="259"/>
      <c r="AI1279" s="259"/>
      <c r="AJ1279" s="260"/>
      <c r="AK1279" s="259" t="s">
        <v>1175</v>
      </c>
      <c r="AL1279" s="259"/>
      <c r="AM1279" s="259" t="s">
        <v>3671</v>
      </c>
      <c r="AN1279" s="449"/>
      <c r="AO1279" s="449"/>
      <c r="AP1279" s="449"/>
      <c r="AQ1279" s="392" t="str">
        <f>IFERROR(VLOOKUP(BG1279,#REF!,1,0),"")</f>
        <v/>
      </c>
      <c r="AS1279" s="259" t="s">
        <v>3229</v>
      </c>
      <c r="AZ1279" s="202" t="e">
        <f>VLOOKUP(#REF!,잔가군!$B:$C,2,0)</f>
        <v>#REF!</v>
      </c>
      <c r="BA1279" s="202" t="e">
        <f>S1279-#REF!</f>
        <v>#REF!</v>
      </c>
      <c r="BD1279" s="202" t="str">
        <f t="shared" si="182"/>
        <v>X Series X2X2 xDrive 20i Advantage</v>
      </c>
      <c r="BE1279" s="261" t="str">
        <f t="shared" si="188"/>
        <v>0217</v>
      </c>
      <c r="BF1279" s="407" t="s">
        <v>1791</v>
      </c>
      <c r="BG1279" s="202" t="str">
        <f t="shared" si="183"/>
        <v>0217-1278</v>
      </c>
    </row>
    <row r="1280" spans="1:59">
      <c r="A1280" s="405">
        <v>5054</v>
      </c>
      <c r="B1280" s="406">
        <v>5054</v>
      </c>
      <c r="C1280" s="261" t="str">
        <f t="shared" si="184"/>
        <v>0008-0217</v>
      </c>
      <c r="D1280" s="261" t="str">
        <f t="shared" si="185"/>
        <v>0008-0217-0002</v>
      </c>
      <c r="E1280" s="407" t="s">
        <v>1792</v>
      </c>
      <c r="F1280" s="261" t="str">
        <f>TEXT(VLOOKUP(J1280,'[3]1'!$B$2:$D$37,2,0),"0000")</f>
        <v>0008</v>
      </c>
      <c r="G1280" s="261" t="str">
        <f t="shared" si="186"/>
        <v>0217</v>
      </c>
      <c r="H1280" s="408">
        <f t="shared" si="187"/>
        <v>2</v>
      </c>
      <c r="I1280" s="407" t="s">
        <v>1792</v>
      </c>
      <c r="J1280" s="258" t="s">
        <v>184</v>
      </c>
      <c r="K1280" s="410" t="s">
        <v>1284</v>
      </c>
      <c r="L1280" s="410" t="s">
        <v>1445</v>
      </c>
      <c r="M1280" s="429">
        <v>57800000</v>
      </c>
      <c r="N1280" s="258">
        <v>1998</v>
      </c>
      <c r="O1280" s="258" t="s">
        <v>77</v>
      </c>
      <c r="P1280" s="258" t="s">
        <v>73</v>
      </c>
      <c r="Q1280" s="258" t="s">
        <v>72</v>
      </c>
      <c r="R1280" s="258">
        <v>5</v>
      </c>
      <c r="S1280" s="410">
        <v>7</v>
      </c>
      <c r="T1280" s="261">
        <v>6</v>
      </c>
      <c r="U1280" s="261">
        <v>6</v>
      </c>
      <c r="V1280" s="258" t="s">
        <v>71</v>
      </c>
      <c r="W1280" s="261" t="str">
        <f t="shared" si="189"/>
        <v>BMWX Series X2X2 xDrive 20i M Sport57800000</v>
      </c>
      <c r="X1280" s="411">
        <f t="shared" si="190"/>
        <v>5054</v>
      </c>
      <c r="Y1280" s="261">
        <v>6</v>
      </c>
      <c r="Z1280" s="261">
        <v>6</v>
      </c>
      <c r="AA1280" s="407" t="s">
        <v>1792</v>
      </c>
      <c r="AB1280" s="258" t="s">
        <v>70</v>
      </c>
      <c r="AC1280" s="258"/>
      <c r="AD1280" s="258">
        <v>3</v>
      </c>
      <c r="AE1280" s="258">
        <v>0</v>
      </c>
      <c r="AF1280" s="259"/>
      <c r="AG1280" s="260"/>
      <c r="AH1280" s="259"/>
      <c r="AI1280" s="259"/>
      <c r="AJ1280" s="260"/>
      <c r="AK1280" s="259" t="s">
        <v>1175</v>
      </c>
      <c r="AL1280" s="259"/>
      <c r="AM1280" s="259" t="s">
        <v>3671</v>
      </c>
      <c r="AN1280" s="449"/>
      <c r="AO1280" s="449"/>
      <c r="AP1280" s="449"/>
      <c r="AQ1280" s="392" t="str">
        <f>IFERROR(VLOOKUP(BG1280,#REF!,1,0),"")</f>
        <v/>
      </c>
      <c r="AS1280" s="259" t="s">
        <v>3229</v>
      </c>
      <c r="AZ1280" s="202" t="e">
        <f>VLOOKUP(#REF!,잔가군!$B:$C,2,0)</f>
        <v>#REF!</v>
      </c>
      <c r="BA1280" s="202" t="e">
        <f>S1280-#REF!</f>
        <v>#REF!</v>
      </c>
      <c r="BD1280" s="202" t="str">
        <f t="shared" si="182"/>
        <v>X Series X2X2 xDrive 20i M Sport</v>
      </c>
      <c r="BE1280" s="261" t="str">
        <f t="shared" si="188"/>
        <v>0217</v>
      </c>
      <c r="BF1280" s="407" t="s">
        <v>1792</v>
      </c>
      <c r="BG1280" s="202" t="str">
        <f t="shared" si="183"/>
        <v>0217-1279</v>
      </c>
    </row>
    <row r="1281" spans="1:59">
      <c r="A1281" s="405">
        <v>5055</v>
      </c>
      <c r="B1281" s="406">
        <v>5055</v>
      </c>
      <c r="C1281" s="261" t="str">
        <f t="shared" si="184"/>
        <v>0008-0217</v>
      </c>
      <c r="D1281" s="261" t="str">
        <f t="shared" si="185"/>
        <v>0008-0217-0003</v>
      </c>
      <c r="E1281" s="407" t="s">
        <v>1793</v>
      </c>
      <c r="F1281" s="261" t="str">
        <f>TEXT(VLOOKUP(J1281,'[3]1'!$B$2:$D$37,2,0),"0000")</f>
        <v>0008</v>
      </c>
      <c r="G1281" s="261" t="str">
        <f t="shared" si="186"/>
        <v>0217</v>
      </c>
      <c r="H1281" s="408">
        <f t="shared" si="187"/>
        <v>3</v>
      </c>
      <c r="I1281" s="407" t="s">
        <v>1793</v>
      </c>
      <c r="J1281" s="258" t="s">
        <v>184</v>
      </c>
      <c r="K1281" s="410" t="s">
        <v>1284</v>
      </c>
      <c r="L1281" s="410" t="s">
        <v>1433</v>
      </c>
      <c r="M1281" s="409">
        <v>51200000</v>
      </c>
      <c r="N1281" s="258">
        <v>1995</v>
      </c>
      <c r="O1281" s="258" t="s">
        <v>78</v>
      </c>
      <c r="P1281" s="258" t="s">
        <v>73</v>
      </c>
      <c r="Q1281" s="258" t="s">
        <v>72</v>
      </c>
      <c r="R1281" s="258">
        <v>5</v>
      </c>
      <c r="S1281" s="410">
        <v>7</v>
      </c>
      <c r="T1281" s="261">
        <v>6</v>
      </c>
      <c r="U1281" s="261">
        <v>6</v>
      </c>
      <c r="V1281" s="258" t="s">
        <v>71</v>
      </c>
      <c r="W1281" s="261" t="str">
        <f t="shared" si="189"/>
        <v>BMWX Series X2X2 xDrive 18d Advantage51200000</v>
      </c>
      <c r="X1281" s="411">
        <f t="shared" si="190"/>
        <v>5055</v>
      </c>
      <c r="Y1281" s="261">
        <v>6</v>
      </c>
      <c r="Z1281" s="261">
        <v>6</v>
      </c>
      <c r="AA1281" s="407" t="s">
        <v>1793</v>
      </c>
      <c r="AB1281" s="258" t="s">
        <v>70</v>
      </c>
      <c r="AC1281" s="258"/>
      <c r="AD1281" s="258">
        <v>2</v>
      </c>
      <c r="AE1281" s="258">
        <v>1</v>
      </c>
      <c r="AF1281" s="259"/>
      <c r="AG1281" s="260"/>
      <c r="AH1281" s="259"/>
      <c r="AI1281" s="259"/>
      <c r="AJ1281" s="260"/>
      <c r="AK1281" s="259" t="s">
        <v>1175</v>
      </c>
      <c r="AL1281" s="259"/>
      <c r="AM1281" s="259" t="s">
        <v>3671</v>
      </c>
      <c r="AN1281" s="449"/>
      <c r="AO1281" s="449"/>
      <c r="AP1281" s="449"/>
      <c r="AQ1281" s="392" t="str">
        <f>IFERROR(VLOOKUP(BG1281,#REF!,1,0),"")</f>
        <v/>
      </c>
      <c r="AS1281" s="259" t="s">
        <v>3229</v>
      </c>
      <c r="BD1281" s="202" t="str">
        <f t="shared" si="182"/>
        <v>X Series X2X2 xDrive 18d Advantage</v>
      </c>
      <c r="BE1281" s="261" t="str">
        <f t="shared" si="188"/>
        <v>0217</v>
      </c>
      <c r="BF1281" s="407" t="s">
        <v>1793</v>
      </c>
      <c r="BG1281" s="202" t="str">
        <f t="shared" si="183"/>
        <v>0217-1280</v>
      </c>
    </row>
    <row r="1282" spans="1:59">
      <c r="A1282" s="405">
        <v>5056</v>
      </c>
      <c r="B1282" s="406">
        <v>5056</v>
      </c>
      <c r="C1282" s="261" t="str">
        <f t="shared" si="184"/>
        <v>0008-0217</v>
      </c>
      <c r="D1282" s="261" t="str">
        <f t="shared" si="185"/>
        <v>0008-0217-0004</v>
      </c>
      <c r="E1282" s="407" t="s">
        <v>1794</v>
      </c>
      <c r="F1282" s="261" t="str">
        <f>TEXT(VLOOKUP(J1282,'[3]1'!$B$2:$D$37,2,0),"0000")</f>
        <v>0008</v>
      </c>
      <c r="G1282" s="261" t="str">
        <f t="shared" si="186"/>
        <v>0217</v>
      </c>
      <c r="H1282" s="408">
        <f t="shared" si="187"/>
        <v>4</v>
      </c>
      <c r="I1282" s="407" t="s">
        <v>1794</v>
      </c>
      <c r="J1282" s="258" t="s">
        <v>184</v>
      </c>
      <c r="K1282" s="410" t="s">
        <v>1284</v>
      </c>
      <c r="L1282" s="410" t="s">
        <v>1434</v>
      </c>
      <c r="M1282" s="429">
        <v>57200000</v>
      </c>
      <c r="N1282" s="258">
        <v>1995</v>
      </c>
      <c r="O1282" s="258" t="s">
        <v>78</v>
      </c>
      <c r="P1282" s="258" t="s">
        <v>73</v>
      </c>
      <c r="Q1282" s="258" t="s">
        <v>72</v>
      </c>
      <c r="R1282" s="258">
        <v>5</v>
      </c>
      <c r="S1282" s="410">
        <v>7</v>
      </c>
      <c r="T1282" s="261">
        <v>6</v>
      </c>
      <c r="U1282" s="261">
        <v>6</v>
      </c>
      <c r="V1282" s="258" t="s">
        <v>71</v>
      </c>
      <c r="W1282" s="261" t="str">
        <f t="shared" si="189"/>
        <v>BMWX Series X2X2 xDrive 18d M Sport57200000</v>
      </c>
      <c r="X1282" s="411">
        <f t="shared" si="190"/>
        <v>5056</v>
      </c>
      <c r="Y1282" s="261">
        <v>6</v>
      </c>
      <c r="Z1282" s="261">
        <v>6</v>
      </c>
      <c r="AA1282" s="407" t="s">
        <v>1794</v>
      </c>
      <c r="AB1282" s="258" t="s">
        <v>70</v>
      </c>
      <c r="AC1282" s="258"/>
      <c r="AD1282" s="258">
        <v>2</v>
      </c>
      <c r="AE1282" s="258">
        <v>1</v>
      </c>
      <c r="AF1282" s="259"/>
      <c r="AG1282" s="260"/>
      <c r="AH1282" s="259"/>
      <c r="AI1282" s="259"/>
      <c r="AJ1282" s="260"/>
      <c r="AK1282" s="259" t="s">
        <v>1175</v>
      </c>
      <c r="AL1282" s="259"/>
      <c r="AM1282" s="259" t="s">
        <v>3671</v>
      </c>
      <c r="AN1282" s="449"/>
      <c r="AO1282" s="449"/>
      <c r="AP1282" s="449"/>
      <c r="AQ1282" s="392" t="str">
        <f>IFERROR(VLOOKUP(BG1282,#REF!,1,0),"")</f>
        <v/>
      </c>
      <c r="AS1282" s="259" t="s">
        <v>3229</v>
      </c>
      <c r="BD1282" s="202" t="str">
        <f t="shared" si="182"/>
        <v>X Series X2X2 xDrive 18d M Sport</v>
      </c>
      <c r="BE1282" s="261" t="str">
        <f t="shared" si="188"/>
        <v>0217</v>
      </c>
      <c r="BF1282" s="407" t="s">
        <v>1794</v>
      </c>
      <c r="BG1282" s="202" t="str">
        <f t="shared" si="183"/>
        <v>0217-1281</v>
      </c>
    </row>
    <row r="1283" spans="1:59" s="479" customFormat="1">
      <c r="A1283" s="405">
        <v>5057</v>
      </c>
      <c r="B1283" s="406">
        <v>5057</v>
      </c>
      <c r="C1283" s="261" t="str">
        <f t="shared" si="184"/>
        <v>0008-0217</v>
      </c>
      <c r="D1283" s="261" t="str">
        <f t="shared" si="185"/>
        <v>0008-0217-0005</v>
      </c>
      <c r="E1283" s="407" t="s">
        <v>1795</v>
      </c>
      <c r="F1283" s="261" t="str">
        <f>TEXT(VLOOKUP(J1283,'[3]1'!$B$2:$D$37,2,0),"0000")</f>
        <v>0008</v>
      </c>
      <c r="G1283" s="261" t="str">
        <f t="shared" si="186"/>
        <v>0217</v>
      </c>
      <c r="H1283" s="408">
        <f t="shared" si="187"/>
        <v>5</v>
      </c>
      <c r="I1283" s="407" t="s">
        <v>1795</v>
      </c>
      <c r="J1283" s="258" t="s">
        <v>184</v>
      </c>
      <c r="K1283" s="258" t="s">
        <v>1284</v>
      </c>
      <c r="L1283" s="258" t="s">
        <v>3153</v>
      </c>
      <c r="M1283" s="474">
        <v>68700000</v>
      </c>
      <c r="N1283" s="473">
        <v>1998</v>
      </c>
      <c r="O1283" s="258" t="s">
        <v>77</v>
      </c>
      <c r="P1283" s="258" t="s">
        <v>73</v>
      </c>
      <c r="Q1283" s="258" t="s">
        <v>72</v>
      </c>
      <c r="R1283" s="258">
        <v>5</v>
      </c>
      <c r="S1283" s="475">
        <v>7</v>
      </c>
      <c r="T1283" s="261">
        <v>6</v>
      </c>
      <c r="U1283" s="261">
        <v>6</v>
      </c>
      <c r="V1283" s="258" t="s">
        <v>71</v>
      </c>
      <c r="W1283" s="261" t="str">
        <f t="shared" si="189"/>
        <v>BMWX Series X2X2 M35i68700000</v>
      </c>
      <c r="X1283" s="411">
        <f t="shared" si="190"/>
        <v>5057</v>
      </c>
      <c r="Y1283" s="261">
        <v>6</v>
      </c>
      <c r="Z1283" s="261">
        <v>6</v>
      </c>
      <c r="AA1283" s="407" t="s">
        <v>1795</v>
      </c>
      <c r="AB1283" s="258" t="s">
        <v>70</v>
      </c>
      <c r="AC1283" s="473"/>
      <c r="AD1283" s="473"/>
      <c r="AE1283" s="473"/>
      <c r="AF1283" s="476"/>
      <c r="AG1283" s="476"/>
      <c r="AH1283" s="476"/>
      <c r="AI1283" s="476"/>
      <c r="AJ1283" s="476"/>
      <c r="AK1283" s="259">
        <v>12</v>
      </c>
      <c r="AL1283" s="259"/>
      <c r="AM1283" s="259" t="s">
        <v>3755</v>
      </c>
      <c r="AN1283" s="477"/>
      <c r="AO1283" s="477"/>
      <c r="AP1283" s="477"/>
      <c r="AQ1283" s="392" t="str">
        <f>IFERROR(VLOOKUP(BG1283,#REF!,1,0),"")</f>
        <v/>
      </c>
      <c r="AR1283" s="478"/>
      <c r="AS1283" s="259" t="s">
        <v>3229</v>
      </c>
      <c r="AT1283" s="478" t="s">
        <v>3150</v>
      </c>
      <c r="AU1283" s="478"/>
      <c r="AV1283" s="478"/>
      <c r="AW1283" s="478"/>
      <c r="AX1283" s="478">
        <v>2024.02</v>
      </c>
      <c r="AY1283" s="478"/>
      <c r="BC1283" s="479" t="s">
        <v>3365</v>
      </c>
      <c r="BD1283" s="202" t="str">
        <f t="shared" si="182"/>
        <v>X Series X2X2 M35i</v>
      </c>
      <c r="BE1283" s="261" t="str">
        <f t="shared" si="188"/>
        <v>0217</v>
      </c>
      <c r="BF1283" s="407" t="s">
        <v>1795</v>
      </c>
      <c r="BG1283" s="202" t="str">
        <f t="shared" si="183"/>
        <v>0217-1282</v>
      </c>
    </row>
    <row r="1284" spans="1:59">
      <c r="A1284" s="405">
        <v>5058</v>
      </c>
      <c r="B1284" s="406">
        <v>5058</v>
      </c>
      <c r="C1284" s="261" t="str">
        <f t="shared" si="184"/>
        <v>0008-0218</v>
      </c>
      <c r="D1284" s="261" t="str">
        <f t="shared" si="185"/>
        <v>0008-0218-0001</v>
      </c>
      <c r="E1284" s="407" t="s">
        <v>1796</v>
      </c>
      <c r="F1284" s="261" t="str">
        <f>TEXT(VLOOKUP(J1284,'[3]1'!$B$2:$D$37,2,0),"0000")</f>
        <v>0008</v>
      </c>
      <c r="G1284" s="261" t="str">
        <f t="shared" si="186"/>
        <v>0218</v>
      </c>
      <c r="H1284" s="408">
        <f t="shared" si="187"/>
        <v>1</v>
      </c>
      <c r="I1284" s="407" t="s">
        <v>1796</v>
      </c>
      <c r="J1284" s="258" t="s">
        <v>3152</v>
      </c>
      <c r="K1284" s="258" t="s">
        <v>188</v>
      </c>
      <c r="L1284" s="258" t="s">
        <v>1325</v>
      </c>
      <c r="M1284" s="429">
        <v>70100000</v>
      </c>
      <c r="N1284" s="258">
        <v>1995</v>
      </c>
      <c r="O1284" s="258" t="s">
        <v>78</v>
      </c>
      <c r="P1284" s="258" t="s">
        <v>73</v>
      </c>
      <c r="Q1284" s="258" t="s">
        <v>72</v>
      </c>
      <c r="R1284" s="258">
        <v>5</v>
      </c>
      <c r="S1284" s="410">
        <v>1</v>
      </c>
      <c r="T1284" s="261">
        <v>6</v>
      </c>
      <c r="U1284" s="261">
        <v>6</v>
      </c>
      <c r="V1284" s="258" t="s">
        <v>71</v>
      </c>
      <c r="W1284" s="261" t="str">
        <f t="shared" si="189"/>
        <v>BMWX Series X3X3 xDrive 20d M Sport Package70100000</v>
      </c>
      <c r="X1284" s="411">
        <f t="shared" si="190"/>
        <v>5058</v>
      </c>
      <c r="Y1284" s="261">
        <v>6</v>
      </c>
      <c r="Z1284" s="261">
        <v>6</v>
      </c>
      <c r="AA1284" s="407" t="s">
        <v>1796</v>
      </c>
      <c r="AB1284" s="258" t="s">
        <v>70</v>
      </c>
      <c r="AC1284" s="258"/>
      <c r="AD1284" s="258">
        <v>2</v>
      </c>
      <c r="AE1284" s="258">
        <v>1</v>
      </c>
      <c r="AF1284" s="259"/>
      <c r="AG1284" s="260"/>
      <c r="AH1284" s="259"/>
      <c r="AI1284" s="259"/>
      <c r="AJ1284" s="260"/>
      <c r="AK1284" s="259">
        <v>4</v>
      </c>
      <c r="AL1284" s="259"/>
      <c r="AM1284" s="259" t="s">
        <v>3957</v>
      </c>
      <c r="AN1284" s="449"/>
      <c r="AO1284" s="449"/>
      <c r="AP1284" s="449"/>
      <c r="AQ1284" s="392" t="str">
        <f>IFERROR(VLOOKUP(BG1284,#REF!,1,0),"")</f>
        <v/>
      </c>
      <c r="AS1284" s="259" t="s">
        <v>3189</v>
      </c>
      <c r="AW1284" s="392" t="s">
        <v>3958</v>
      </c>
      <c r="BD1284" s="202" t="str">
        <f t="shared" si="182"/>
        <v>X Series X3X3 xDrive 20d M Sport Package</v>
      </c>
      <c r="BE1284" s="261" t="str">
        <f t="shared" si="188"/>
        <v>0218</v>
      </c>
      <c r="BF1284" s="407" t="s">
        <v>1796</v>
      </c>
      <c r="BG1284" s="202" t="str">
        <f t="shared" si="183"/>
        <v>0218-1283</v>
      </c>
    </row>
    <row r="1285" spans="1:59">
      <c r="A1285" s="405">
        <v>5059</v>
      </c>
      <c r="B1285" s="406">
        <v>5059</v>
      </c>
      <c r="C1285" s="261" t="str">
        <f t="shared" si="184"/>
        <v>0008-0218</v>
      </c>
      <c r="D1285" s="261" t="str">
        <f t="shared" si="185"/>
        <v>0008-0218-0002</v>
      </c>
      <c r="E1285" s="407" t="s">
        <v>1797</v>
      </c>
      <c r="F1285" s="261" t="str">
        <f>TEXT(VLOOKUP(J1285,'[3]1'!$B$2:$D$37,2,0),"0000")</f>
        <v>0008</v>
      </c>
      <c r="G1285" s="261" t="str">
        <f t="shared" si="186"/>
        <v>0218</v>
      </c>
      <c r="H1285" s="408">
        <f t="shared" si="187"/>
        <v>2</v>
      </c>
      <c r="I1285" s="407" t="s">
        <v>1797</v>
      </c>
      <c r="J1285" s="258" t="s">
        <v>184</v>
      </c>
      <c r="K1285" s="258" t="s">
        <v>188</v>
      </c>
      <c r="L1285" s="258" t="s">
        <v>1250</v>
      </c>
      <c r="M1285" s="429">
        <v>67200000</v>
      </c>
      <c r="N1285" s="258">
        <v>1995</v>
      </c>
      <c r="O1285" s="258" t="s">
        <v>78</v>
      </c>
      <c r="P1285" s="258" t="s">
        <v>73</v>
      </c>
      <c r="Q1285" s="258" t="s">
        <v>72</v>
      </c>
      <c r="R1285" s="258">
        <v>5</v>
      </c>
      <c r="S1285" s="410">
        <v>1</v>
      </c>
      <c r="T1285" s="261">
        <v>6</v>
      </c>
      <c r="U1285" s="261">
        <v>6</v>
      </c>
      <c r="V1285" s="258" t="s">
        <v>71</v>
      </c>
      <c r="W1285" s="261" t="str">
        <f t="shared" si="189"/>
        <v>BMWX Series X3X3 xDrive 20d xLine67200000</v>
      </c>
      <c r="X1285" s="411">
        <f t="shared" si="190"/>
        <v>5059</v>
      </c>
      <c r="Y1285" s="261">
        <v>6</v>
      </c>
      <c r="Z1285" s="261">
        <v>6</v>
      </c>
      <c r="AA1285" s="407" t="s">
        <v>1797</v>
      </c>
      <c r="AB1285" s="258" t="s">
        <v>70</v>
      </c>
      <c r="AC1285" s="258"/>
      <c r="AD1285" s="258">
        <v>2</v>
      </c>
      <c r="AE1285" s="258">
        <v>1</v>
      </c>
      <c r="AF1285" s="259"/>
      <c r="AG1285" s="260"/>
      <c r="AH1285" s="259"/>
      <c r="AI1285" s="259"/>
      <c r="AJ1285" s="260"/>
      <c r="AK1285" s="259">
        <v>4</v>
      </c>
      <c r="AL1285" s="259"/>
      <c r="AM1285" s="259" t="s">
        <v>3957</v>
      </c>
      <c r="AN1285" s="449"/>
      <c r="AO1285" s="449"/>
      <c r="AP1285" s="449"/>
      <c r="AQ1285" s="392" t="str">
        <f>IFERROR(VLOOKUP(BG1285,#REF!,1,0),"")</f>
        <v/>
      </c>
      <c r="AS1285" s="259" t="s">
        <v>3189</v>
      </c>
      <c r="AW1285" s="392" t="s">
        <v>3958</v>
      </c>
      <c r="BD1285" s="202" t="str">
        <f t="shared" ref="BD1285:BD1348" si="191">K1285&amp;L1285</f>
        <v>X Series X3X3 xDrive 20d xLine</v>
      </c>
      <c r="BE1285" s="261" t="str">
        <f t="shared" si="188"/>
        <v>0218</v>
      </c>
      <c r="BF1285" s="407" t="s">
        <v>1797</v>
      </c>
      <c r="BG1285" s="202" t="str">
        <f t="shared" ref="BG1285:BG1348" si="192">BE1285&amp;"-"&amp;BF1285</f>
        <v>0218-1284</v>
      </c>
    </row>
    <row r="1286" spans="1:59">
      <c r="A1286" s="405">
        <v>5060</v>
      </c>
      <c r="B1286" s="406">
        <v>5060</v>
      </c>
      <c r="C1286" s="261" t="str">
        <f t="shared" ref="C1286:C1349" si="193">TEXT(F1286,"0000")&amp;"-"&amp;TEXT(G1286,"0000")</f>
        <v>0008-0218</v>
      </c>
      <c r="D1286" s="261" t="str">
        <f t="shared" ref="D1286:D1349" si="194">TEXT(F1286,"0000")&amp;"-"&amp;TEXT(G1286,"0000")&amp;"-"&amp;TEXT(H1286,"0000")</f>
        <v>0008-0218-0003</v>
      </c>
      <c r="E1286" s="407" t="s">
        <v>1798</v>
      </c>
      <c r="F1286" s="261" t="str">
        <f>TEXT(VLOOKUP(J1286,'[3]1'!$B$2:$D$37,2,0),"0000")</f>
        <v>0008</v>
      </c>
      <c r="G1286" s="261" t="str">
        <f t="shared" ref="G1286:G1349" si="195">IF(K1286=K1285,TEXT(G1285,"0000"),TEXT(G1285+1,"0000"))</f>
        <v>0218</v>
      </c>
      <c r="H1286" s="408">
        <f t="shared" ref="H1286:H1349" si="196">IF(F1286&amp;G1286=F1285&amp;G1285,H1285+1,1)</f>
        <v>3</v>
      </c>
      <c r="I1286" s="407" t="s">
        <v>1798</v>
      </c>
      <c r="J1286" s="258" t="s">
        <v>184</v>
      </c>
      <c r="K1286" s="258" t="s">
        <v>188</v>
      </c>
      <c r="L1286" s="258" t="s">
        <v>1942</v>
      </c>
      <c r="M1286" s="429">
        <v>64100000</v>
      </c>
      <c r="N1286" s="258">
        <v>1998</v>
      </c>
      <c r="O1286" s="258" t="s">
        <v>77</v>
      </c>
      <c r="P1286" s="258" t="s">
        <v>73</v>
      </c>
      <c r="Q1286" s="258" t="s">
        <v>72</v>
      </c>
      <c r="R1286" s="258">
        <v>5</v>
      </c>
      <c r="S1286" s="410">
        <v>3</v>
      </c>
      <c r="T1286" s="261">
        <v>6</v>
      </c>
      <c r="U1286" s="261">
        <v>6</v>
      </c>
      <c r="V1286" s="258" t="s">
        <v>71</v>
      </c>
      <c r="W1286" s="261" t="str">
        <f t="shared" si="189"/>
        <v>BMWX Series X3X3 xDrive 20i luxury64100000</v>
      </c>
      <c r="X1286" s="411">
        <f t="shared" si="190"/>
        <v>5060</v>
      </c>
      <c r="Y1286" s="261">
        <v>6</v>
      </c>
      <c r="Z1286" s="261">
        <v>6</v>
      </c>
      <c r="AA1286" s="407" t="s">
        <v>1798</v>
      </c>
      <c r="AB1286" s="258" t="s">
        <v>70</v>
      </c>
      <c r="AC1286" s="258"/>
      <c r="AD1286" s="258">
        <v>4</v>
      </c>
      <c r="AE1286" s="258">
        <v>0</v>
      </c>
      <c r="AF1286" s="259"/>
      <c r="AG1286" s="260"/>
      <c r="AH1286" s="259"/>
      <c r="AI1286" s="259"/>
      <c r="AJ1286" s="260"/>
      <c r="AK1286" s="259">
        <v>4</v>
      </c>
      <c r="AL1286" s="259"/>
      <c r="AM1286" s="259" t="s">
        <v>3957</v>
      </c>
      <c r="AN1286" s="449"/>
      <c r="AO1286" s="449"/>
      <c r="AP1286" s="449"/>
      <c r="AQ1286" s="392" t="str">
        <f>IFERROR(VLOOKUP(BG1286,#REF!,1,0),"")</f>
        <v/>
      </c>
      <c r="AS1286" s="259" t="s">
        <v>3237</v>
      </c>
      <c r="AW1286" s="392" t="s">
        <v>3958</v>
      </c>
      <c r="BD1286" s="202" t="str">
        <f t="shared" si="191"/>
        <v>X Series X3X3 xDrive 20i luxury</v>
      </c>
      <c r="BE1286" s="261" t="str">
        <f t="shared" ref="BE1286:BE1349" si="197">IF(K1285=K1286,TEXT(G1285,"0000"),TEXT(G1285+1,"0000"))</f>
        <v>0218</v>
      </c>
      <c r="BF1286" s="407" t="s">
        <v>1798</v>
      </c>
      <c r="BG1286" s="202" t="str">
        <f t="shared" si="192"/>
        <v>0218-1285</v>
      </c>
    </row>
    <row r="1287" spans="1:59">
      <c r="A1287" s="405">
        <v>5061</v>
      </c>
      <c r="B1287" s="406">
        <v>5061</v>
      </c>
      <c r="C1287" s="261" t="str">
        <f t="shared" si="193"/>
        <v>0008-0218</v>
      </c>
      <c r="D1287" s="261" t="str">
        <f t="shared" si="194"/>
        <v>0008-0218-0004</v>
      </c>
      <c r="E1287" s="407" t="s">
        <v>1799</v>
      </c>
      <c r="F1287" s="261" t="str">
        <f>TEXT(VLOOKUP(J1287,'[3]1'!$B$2:$D$37,2,0),"0000")</f>
        <v>0008</v>
      </c>
      <c r="G1287" s="261" t="str">
        <f t="shared" si="195"/>
        <v>0218</v>
      </c>
      <c r="H1287" s="408">
        <f t="shared" si="196"/>
        <v>4</v>
      </c>
      <c r="I1287" s="407" t="s">
        <v>1799</v>
      </c>
      <c r="J1287" s="258" t="s">
        <v>184</v>
      </c>
      <c r="K1287" s="258" t="s">
        <v>188</v>
      </c>
      <c r="L1287" s="258" t="s">
        <v>1326</v>
      </c>
      <c r="M1287" s="429">
        <v>85100000</v>
      </c>
      <c r="N1287" s="258">
        <v>2993</v>
      </c>
      <c r="O1287" s="258" t="s">
        <v>78</v>
      </c>
      <c r="P1287" s="258" t="s">
        <v>73</v>
      </c>
      <c r="Q1287" s="258" t="s">
        <v>72</v>
      </c>
      <c r="R1287" s="258">
        <v>5</v>
      </c>
      <c r="S1287" s="410">
        <v>3</v>
      </c>
      <c r="T1287" s="261">
        <v>6</v>
      </c>
      <c r="U1287" s="261">
        <v>6</v>
      </c>
      <c r="V1287" s="258" t="s">
        <v>71</v>
      </c>
      <c r="W1287" s="261" t="str">
        <f t="shared" ref="W1287:W1350" si="198">J1287&amp;K1287&amp;L1287&amp;M1287</f>
        <v>BMWX Series X3X3 xDrive 30d M Sport Package85100000</v>
      </c>
      <c r="X1287" s="411">
        <f t="shared" ref="X1287:X1350" si="199">B1287</f>
        <v>5061</v>
      </c>
      <c r="Y1287" s="261">
        <v>6</v>
      </c>
      <c r="Z1287" s="261">
        <v>6</v>
      </c>
      <c r="AA1287" s="407" t="s">
        <v>1799</v>
      </c>
      <c r="AB1287" s="258" t="s">
        <v>70</v>
      </c>
      <c r="AC1287" s="258"/>
      <c r="AD1287" s="258">
        <v>2</v>
      </c>
      <c r="AE1287" s="258">
        <v>0</v>
      </c>
      <c r="AF1287" s="259"/>
      <c r="AG1287" s="260"/>
      <c r="AH1287" s="259"/>
      <c r="AI1287" s="259"/>
      <c r="AJ1287" s="260"/>
      <c r="AK1287" s="259" t="s">
        <v>3687</v>
      </c>
      <c r="AL1287" s="259"/>
      <c r="AM1287" s="259" t="s">
        <v>3667</v>
      </c>
      <c r="AN1287" s="449"/>
      <c r="AO1287" s="449"/>
      <c r="AP1287" s="449"/>
      <c r="AQ1287" s="392" t="str">
        <f>IFERROR(VLOOKUP(BG1287,#REF!,1,0),"")</f>
        <v/>
      </c>
      <c r="AS1287" s="259" t="s">
        <v>3237</v>
      </c>
      <c r="BD1287" s="202" t="str">
        <f t="shared" si="191"/>
        <v>X Series X3X3 xDrive 30d M Sport Package</v>
      </c>
      <c r="BE1287" s="261" t="str">
        <f t="shared" si="197"/>
        <v>0218</v>
      </c>
      <c r="BF1287" s="407" t="s">
        <v>1799</v>
      </c>
      <c r="BG1287" s="202" t="str">
        <f t="shared" si="192"/>
        <v>0218-1286</v>
      </c>
    </row>
    <row r="1288" spans="1:59">
      <c r="A1288" s="405">
        <v>5062</v>
      </c>
      <c r="B1288" s="406">
        <v>5062</v>
      </c>
      <c r="C1288" s="261" t="str">
        <f t="shared" si="193"/>
        <v>0008-0218</v>
      </c>
      <c r="D1288" s="261" t="str">
        <f t="shared" si="194"/>
        <v>0008-0218-0005</v>
      </c>
      <c r="E1288" s="407" t="s">
        <v>1800</v>
      </c>
      <c r="F1288" s="261" t="str">
        <f>TEXT(VLOOKUP(J1288,'[3]1'!$B$2:$D$37,2,0),"0000")</f>
        <v>0008</v>
      </c>
      <c r="G1288" s="261" t="str">
        <f t="shared" si="195"/>
        <v>0218</v>
      </c>
      <c r="H1288" s="408">
        <f t="shared" si="196"/>
        <v>5</v>
      </c>
      <c r="I1288" s="407" t="s">
        <v>1800</v>
      </c>
      <c r="J1288" s="258" t="s">
        <v>184</v>
      </c>
      <c r="K1288" s="258" t="s">
        <v>188</v>
      </c>
      <c r="L1288" s="258" t="s">
        <v>1426</v>
      </c>
      <c r="M1288" s="429">
        <v>112800000</v>
      </c>
      <c r="N1288" s="258">
        <v>2993</v>
      </c>
      <c r="O1288" s="258" t="s">
        <v>77</v>
      </c>
      <c r="P1288" s="258" t="s">
        <v>73</v>
      </c>
      <c r="Q1288" s="258" t="s">
        <v>72</v>
      </c>
      <c r="R1288" s="258">
        <v>5</v>
      </c>
      <c r="S1288" s="410">
        <v>7</v>
      </c>
      <c r="T1288" s="261">
        <v>6</v>
      </c>
      <c r="U1288" s="261">
        <v>6</v>
      </c>
      <c r="V1288" s="258" t="s">
        <v>71</v>
      </c>
      <c r="W1288" s="261" t="str">
        <f t="shared" si="198"/>
        <v>BMWX Series X3X3 M112800000</v>
      </c>
      <c r="X1288" s="411">
        <f t="shared" si="199"/>
        <v>5062</v>
      </c>
      <c r="Y1288" s="261">
        <v>6</v>
      </c>
      <c r="Z1288" s="261">
        <v>6</v>
      </c>
      <c r="AA1288" s="407" t="s">
        <v>1800</v>
      </c>
      <c r="AB1288" s="258" t="s">
        <v>70</v>
      </c>
      <c r="AC1288" s="258"/>
      <c r="AD1288" s="258">
        <v>4</v>
      </c>
      <c r="AE1288" s="258">
        <v>0</v>
      </c>
      <c r="AF1288" s="259"/>
      <c r="AG1288" s="260"/>
      <c r="AH1288" s="259"/>
      <c r="AI1288" s="259"/>
      <c r="AJ1288" s="260"/>
      <c r="AK1288" s="259">
        <v>11</v>
      </c>
      <c r="AL1288" s="259"/>
      <c r="AM1288" s="259" t="s">
        <v>3965</v>
      </c>
      <c r="AN1288" s="449"/>
      <c r="AO1288" s="449"/>
      <c r="AP1288" s="449"/>
      <c r="AQ1288" s="392" t="str">
        <f>IFERROR(VLOOKUP(BG1288,#REF!,1,0),"")</f>
        <v/>
      </c>
      <c r="AS1288" s="259" t="s">
        <v>3229</v>
      </c>
      <c r="BD1288" s="202" t="str">
        <f t="shared" si="191"/>
        <v>X Series X3X3 M</v>
      </c>
      <c r="BE1288" s="261" t="str">
        <f t="shared" si="197"/>
        <v>0218</v>
      </c>
      <c r="BF1288" s="407" t="s">
        <v>1800</v>
      </c>
      <c r="BG1288" s="202" t="str">
        <f t="shared" si="192"/>
        <v>0218-1287</v>
      </c>
    </row>
    <row r="1289" spans="1:59">
      <c r="A1289" s="405">
        <v>5063</v>
      </c>
      <c r="B1289" s="406">
        <v>5063</v>
      </c>
      <c r="C1289" s="261" t="str">
        <f t="shared" si="193"/>
        <v>0008-0218</v>
      </c>
      <c r="D1289" s="261" t="str">
        <f t="shared" si="194"/>
        <v>0008-0218-0006</v>
      </c>
      <c r="E1289" s="407" t="s">
        <v>1801</v>
      </c>
      <c r="F1289" s="261" t="str">
        <f>TEXT(VLOOKUP(J1289,'[3]1'!$B$2:$D$37,2,0),"0000")</f>
        <v>0008</v>
      </c>
      <c r="G1289" s="261" t="str">
        <f t="shared" si="195"/>
        <v>0218</v>
      </c>
      <c r="H1289" s="408">
        <f t="shared" si="196"/>
        <v>6</v>
      </c>
      <c r="I1289" s="407" t="s">
        <v>1801</v>
      </c>
      <c r="J1289" s="413" t="s">
        <v>184</v>
      </c>
      <c r="K1289" s="413" t="s">
        <v>188</v>
      </c>
      <c r="L1289" s="413" t="s">
        <v>2802</v>
      </c>
      <c r="M1289" s="429">
        <v>89100000</v>
      </c>
      <c r="N1289" s="416">
        <v>2998</v>
      </c>
      <c r="O1289" s="258" t="s">
        <v>77</v>
      </c>
      <c r="P1289" s="413" t="s">
        <v>73</v>
      </c>
      <c r="Q1289" s="413" t="s">
        <v>72</v>
      </c>
      <c r="R1289" s="416">
        <v>5</v>
      </c>
      <c r="S1289" s="410">
        <v>7</v>
      </c>
      <c r="T1289" s="261">
        <v>6</v>
      </c>
      <c r="U1289" s="261">
        <v>6</v>
      </c>
      <c r="V1289" s="258" t="s">
        <v>71</v>
      </c>
      <c r="W1289" s="261" t="str">
        <f t="shared" si="198"/>
        <v>BMWX Series X3M40i89100000</v>
      </c>
      <c r="X1289" s="411">
        <f t="shared" si="199"/>
        <v>5063</v>
      </c>
      <c r="Y1289" s="261">
        <v>6</v>
      </c>
      <c r="Z1289" s="261">
        <v>6</v>
      </c>
      <c r="AA1289" s="407" t="s">
        <v>1801</v>
      </c>
      <c r="AB1289" s="258" t="s">
        <v>70</v>
      </c>
      <c r="AC1289" s="258"/>
      <c r="AD1289" s="258">
        <v>6</v>
      </c>
      <c r="AE1289" s="258">
        <v>0</v>
      </c>
      <c r="AF1289" s="259"/>
      <c r="AG1289" s="260"/>
      <c r="AH1289" s="259"/>
      <c r="AI1289" s="259"/>
      <c r="AJ1289" s="260"/>
      <c r="AK1289" s="259">
        <v>11</v>
      </c>
      <c r="AL1289" s="259"/>
      <c r="AM1289" s="259" t="s">
        <v>3965</v>
      </c>
      <c r="AN1289" s="449"/>
      <c r="AO1289" s="449"/>
      <c r="AP1289" s="449"/>
      <c r="AQ1289" s="392" t="str">
        <f>IFERROR(VLOOKUP(BG1289,#REF!,1,0),"")</f>
        <v/>
      </c>
      <c r="AS1289" s="259" t="s">
        <v>3229</v>
      </c>
      <c r="AZ1289" s="202" t="e">
        <f>VLOOKUP(#REF!,잔가군!$B:$C,2,0)</f>
        <v>#REF!</v>
      </c>
      <c r="BA1289" s="202" t="e">
        <f>S1289-#REF!</f>
        <v>#REF!</v>
      </c>
      <c r="BD1289" s="202" t="str">
        <f t="shared" si="191"/>
        <v>X Series X3M40i</v>
      </c>
      <c r="BE1289" s="261" t="str">
        <f t="shared" si="197"/>
        <v>0218</v>
      </c>
      <c r="BF1289" s="407" t="s">
        <v>1801</v>
      </c>
      <c r="BG1289" s="202" t="str">
        <f t="shared" si="192"/>
        <v>0218-1288</v>
      </c>
    </row>
    <row r="1290" spans="1:59">
      <c r="A1290" s="405">
        <v>5064</v>
      </c>
      <c r="B1290" s="406">
        <v>5064</v>
      </c>
      <c r="C1290" s="261" t="str">
        <f t="shared" si="193"/>
        <v>0008-0218</v>
      </c>
      <c r="D1290" s="261" t="str">
        <f t="shared" si="194"/>
        <v>0008-0218-0007</v>
      </c>
      <c r="E1290" s="407" t="s">
        <v>1802</v>
      </c>
      <c r="F1290" s="261" t="str">
        <f>TEXT(VLOOKUP(J1290,'[3]1'!$B$2:$D$37,2,0),"0000")</f>
        <v>0008</v>
      </c>
      <c r="G1290" s="261" t="str">
        <f t="shared" si="195"/>
        <v>0218</v>
      </c>
      <c r="H1290" s="408">
        <f t="shared" si="196"/>
        <v>7</v>
      </c>
      <c r="I1290" s="407" t="s">
        <v>1802</v>
      </c>
      <c r="J1290" s="258" t="s">
        <v>184</v>
      </c>
      <c r="K1290" s="258" t="s">
        <v>188</v>
      </c>
      <c r="L1290" s="258" t="s">
        <v>3709</v>
      </c>
      <c r="M1290" s="510">
        <v>64400000</v>
      </c>
      <c r="N1290" s="426">
        <v>1998</v>
      </c>
      <c r="O1290" s="258" t="s">
        <v>77</v>
      </c>
      <c r="P1290" s="426" t="s">
        <v>73</v>
      </c>
      <c r="Q1290" s="258" t="s">
        <v>72</v>
      </c>
      <c r="R1290" s="426">
        <v>5</v>
      </c>
      <c r="S1290" s="427">
        <v>3</v>
      </c>
      <c r="T1290" s="261">
        <v>6</v>
      </c>
      <c r="U1290" s="261">
        <v>6</v>
      </c>
      <c r="V1290" s="258" t="s">
        <v>1969</v>
      </c>
      <c r="W1290" s="261" t="str">
        <f t="shared" si="198"/>
        <v>BMWX Series X3xDrive 20i xLine64400000</v>
      </c>
      <c r="X1290" s="411">
        <f t="shared" si="199"/>
        <v>5064</v>
      </c>
      <c r="Y1290" s="261">
        <v>6</v>
      </c>
      <c r="Z1290" s="261">
        <v>6</v>
      </c>
      <c r="AA1290" s="407" t="s">
        <v>1802</v>
      </c>
      <c r="AB1290" s="258" t="s">
        <v>1965</v>
      </c>
      <c r="AC1290" s="258"/>
      <c r="AD1290" s="258">
        <v>7</v>
      </c>
      <c r="AE1290" s="258"/>
      <c r="AF1290" s="259"/>
      <c r="AG1290" s="260"/>
      <c r="AH1290" s="259"/>
      <c r="AI1290" s="259"/>
      <c r="AJ1290" s="260"/>
      <c r="AK1290" s="259">
        <v>4</v>
      </c>
      <c r="AL1290" s="259"/>
      <c r="AM1290" s="259" t="s">
        <v>3957</v>
      </c>
      <c r="AN1290" s="449"/>
      <c r="AO1290" s="449"/>
      <c r="AP1290" s="449"/>
      <c r="AQ1290" s="392" t="str">
        <f>IFERROR(VLOOKUP(BG1290,#REF!,1,0),"")</f>
        <v/>
      </c>
      <c r="AS1290" s="259" t="s">
        <v>3237</v>
      </c>
      <c r="AT1290" s="392" t="s">
        <v>3179</v>
      </c>
      <c r="AW1290" s="392" t="s">
        <v>3958</v>
      </c>
      <c r="AY1290" s="312" t="s">
        <v>3108</v>
      </c>
      <c r="BD1290" s="202" t="str">
        <f t="shared" si="191"/>
        <v>X Series X3xDrive 20i xLine</v>
      </c>
      <c r="BE1290" s="261" t="str">
        <f t="shared" si="197"/>
        <v>0218</v>
      </c>
      <c r="BF1290" s="407" t="s">
        <v>1802</v>
      </c>
      <c r="BG1290" s="202" t="str">
        <f t="shared" si="192"/>
        <v>0218-1289</v>
      </c>
    </row>
    <row r="1291" spans="1:59">
      <c r="A1291" s="405">
        <v>5065</v>
      </c>
      <c r="B1291" s="406">
        <v>5065</v>
      </c>
      <c r="C1291" s="261" t="str">
        <f t="shared" si="193"/>
        <v>0008-0218</v>
      </c>
      <c r="D1291" s="261" t="str">
        <f t="shared" si="194"/>
        <v>0008-0218-0008</v>
      </c>
      <c r="E1291" s="407" t="s">
        <v>1803</v>
      </c>
      <c r="F1291" s="261" t="str">
        <f>TEXT(VLOOKUP(J1291,'[3]1'!$B$2:$D$37,2,0),"0000")</f>
        <v>0008</v>
      </c>
      <c r="G1291" s="261" t="str">
        <f t="shared" si="195"/>
        <v>0218</v>
      </c>
      <c r="H1291" s="408">
        <f t="shared" si="196"/>
        <v>8</v>
      </c>
      <c r="I1291" s="407" t="s">
        <v>1803</v>
      </c>
      <c r="J1291" s="258" t="s">
        <v>184</v>
      </c>
      <c r="K1291" s="258" t="s">
        <v>188</v>
      </c>
      <c r="L1291" s="258" t="s">
        <v>3710</v>
      </c>
      <c r="M1291" s="429">
        <v>66500000</v>
      </c>
      <c r="N1291" s="426">
        <v>1998</v>
      </c>
      <c r="O1291" s="258" t="s">
        <v>77</v>
      </c>
      <c r="P1291" s="426" t="s">
        <v>73</v>
      </c>
      <c r="Q1291" s="258" t="s">
        <v>72</v>
      </c>
      <c r="R1291" s="426">
        <v>5</v>
      </c>
      <c r="S1291" s="427">
        <v>3</v>
      </c>
      <c r="T1291" s="261">
        <v>6</v>
      </c>
      <c r="U1291" s="261">
        <v>6</v>
      </c>
      <c r="V1291" s="258" t="s">
        <v>3105</v>
      </c>
      <c r="W1291" s="261" t="str">
        <f t="shared" si="198"/>
        <v>BMWX Series X3xDrive 20i M Sport Package66500000</v>
      </c>
      <c r="X1291" s="411">
        <f t="shared" si="199"/>
        <v>5065</v>
      </c>
      <c r="Y1291" s="261">
        <v>6</v>
      </c>
      <c r="Z1291" s="261">
        <v>6</v>
      </c>
      <c r="AA1291" s="407" t="s">
        <v>1803</v>
      </c>
      <c r="AB1291" s="258" t="s">
        <v>3110</v>
      </c>
      <c r="AC1291" s="258"/>
      <c r="AD1291" s="258">
        <v>7</v>
      </c>
      <c r="AE1291" s="258"/>
      <c r="AF1291" s="259"/>
      <c r="AG1291" s="260"/>
      <c r="AH1291" s="259"/>
      <c r="AI1291" s="259"/>
      <c r="AJ1291" s="260"/>
      <c r="AK1291" s="259">
        <v>4</v>
      </c>
      <c r="AL1291" s="259"/>
      <c r="AM1291" s="259" t="s">
        <v>3957</v>
      </c>
      <c r="AN1291" s="449"/>
      <c r="AO1291" s="449"/>
      <c r="AP1291" s="449"/>
      <c r="AQ1291" s="392" t="str">
        <f>IFERROR(VLOOKUP(BG1291,#REF!,1,0),"")</f>
        <v/>
      </c>
      <c r="AS1291" s="259" t="s">
        <v>3237</v>
      </c>
      <c r="AT1291" s="392" t="s">
        <v>3099</v>
      </c>
      <c r="AW1291" s="392" t="s">
        <v>3958</v>
      </c>
      <c r="AY1291" s="312" t="s">
        <v>3108</v>
      </c>
      <c r="BD1291" s="202" t="str">
        <f t="shared" si="191"/>
        <v>X Series X3xDrive 20i M Sport Package</v>
      </c>
      <c r="BE1291" s="261" t="str">
        <f t="shared" si="197"/>
        <v>0218</v>
      </c>
      <c r="BF1291" s="407" t="s">
        <v>1803</v>
      </c>
      <c r="BG1291" s="202" t="str">
        <f t="shared" si="192"/>
        <v>0218-1290</v>
      </c>
    </row>
    <row r="1292" spans="1:59">
      <c r="A1292" s="405">
        <v>5066</v>
      </c>
      <c r="B1292" s="406">
        <v>5066</v>
      </c>
      <c r="C1292" s="261" t="str">
        <f t="shared" si="193"/>
        <v>0008-0218</v>
      </c>
      <c r="D1292" s="261" t="str">
        <f t="shared" si="194"/>
        <v>0008-0218-0009</v>
      </c>
      <c r="E1292" s="407" t="s">
        <v>1804</v>
      </c>
      <c r="F1292" s="261" t="str">
        <f>TEXT(VLOOKUP(J1292,'[3]1'!$B$2:$D$37,2,0),"0000")</f>
        <v>0008</v>
      </c>
      <c r="G1292" s="261" t="str">
        <f t="shared" si="195"/>
        <v>0218</v>
      </c>
      <c r="H1292" s="408">
        <f t="shared" si="196"/>
        <v>9</v>
      </c>
      <c r="I1292" s="407" t="s">
        <v>1804</v>
      </c>
      <c r="J1292" s="258" t="s">
        <v>184</v>
      </c>
      <c r="K1292" s="258" t="s">
        <v>188</v>
      </c>
      <c r="L1292" s="258" t="s">
        <v>3711</v>
      </c>
      <c r="M1292" s="429">
        <v>67200000</v>
      </c>
      <c r="N1292" s="426">
        <v>1995</v>
      </c>
      <c r="O1292" s="426" t="s">
        <v>78</v>
      </c>
      <c r="P1292" s="426" t="s">
        <v>73</v>
      </c>
      <c r="Q1292" s="258" t="s">
        <v>72</v>
      </c>
      <c r="R1292" s="426">
        <v>5</v>
      </c>
      <c r="S1292" s="427">
        <v>1</v>
      </c>
      <c r="T1292" s="261">
        <v>6</v>
      </c>
      <c r="U1292" s="261">
        <v>6</v>
      </c>
      <c r="V1292" s="258" t="s">
        <v>3105</v>
      </c>
      <c r="W1292" s="261" t="str">
        <f t="shared" si="198"/>
        <v>BMWX Series X3xDrive 20d xline67200000</v>
      </c>
      <c r="X1292" s="411">
        <f t="shared" si="199"/>
        <v>5066</v>
      </c>
      <c r="Y1292" s="261">
        <v>6</v>
      </c>
      <c r="Z1292" s="261">
        <v>6</v>
      </c>
      <c r="AA1292" s="407" t="s">
        <v>1804</v>
      </c>
      <c r="AB1292" s="258" t="s">
        <v>3110</v>
      </c>
      <c r="AC1292" s="258"/>
      <c r="AD1292" s="258">
        <v>7</v>
      </c>
      <c r="AE1292" s="258"/>
      <c r="AF1292" s="259"/>
      <c r="AG1292" s="260"/>
      <c r="AH1292" s="259"/>
      <c r="AI1292" s="259"/>
      <c r="AJ1292" s="260"/>
      <c r="AK1292" s="259">
        <v>4</v>
      </c>
      <c r="AL1292" s="259"/>
      <c r="AM1292" s="259" t="s">
        <v>3957</v>
      </c>
      <c r="AN1292" s="449"/>
      <c r="AO1292" s="449"/>
      <c r="AP1292" s="449"/>
      <c r="AQ1292" s="392" t="str">
        <f>IFERROR(VLOOKUP(BG1292,#REF!,1,0),"")</f>
        <v/>
      </c>
      <c r="AS1292" s="259" t="s">
        <v>3189</v>
      </c>
      <c r="AT1292" s="392" t="s">
        <v>3099</v>
      </c>
      <c r="AW1292" s="392" t="s">
        <v>3958</v>
      </c>
      <c r="AY1292" s="312" t="s">
        <v>3108</v>
      </c>
      <c r="BD1292" s="202" t="str">
        <f t="shared" si="191"/>
        <v>X Series X3xDrive 20d xline</v>
      </c>
      <c r="BE1292" s="261" t="str">
        <f t="shared" si="197"/>
        <v>0218</v>
      </c>
      <c r="BF1292" s="407" t="s">
        <v>1804</v>
      </c>
      <c r="BG1292" s="202" t="str">
        <f t="shared" si="192"/>
        <v>0218-1291</v>
      </c>
    </row>
    <row r="1293" spans="1:59">
      <c r="A1293" s="405">
        <v>5067</v>
      </c>
      <c r="B1293" s="406">
        <v>5067</v>
      </c>
      <c r="C1293" s="261" t="str">
        <f t="shared" si="193"/>
        <v>0008-0218</v>
      </c>
      <c r="D1293" s="261" t="str">
        <f t="shared" si="194"/>
        <v>0008-0218-0010</v>
      </c>
      <c r="E1293" s="407" t="s">
        <v>1805</v>
      </c>
      <c r="F1293" s="261" t="str">
        <f>TEXT(VLOOKUP(J1293,'[3]1'!$B$2:$D$37,2,0),"0000")</f>
        <v>0008</v>
      </c>
      <c r="G1293" s="261" t="str">
        <f t="shared" si="195"/>
        <v>0218</v>
      </c>
      <c r="H1293" s="408">
        <f t="shared" si="196"/>
        <v>10</v>
      </c>
      <c r="I1293" s="407" t="s">
        <v>1805</v>
      </c>
      <c r="J1293" s="258" t="s">
        <v>184</v>
      </c>
      <c r="K1293" s="258" t="s">
        <v>188</v>
      </c>
      <c r="L1293" s="258" t="s">
        <v>3712</v>
      </c>
      <c r="M1293" s="429">
        <v>70100000</v>
      </c>
      <c r="N1293" s="426">
        <v>1995</v>
      </c>
      <c r="O1293" s="426" t="s">
        <v>78</v>
      </c>
      <c r="P1293" s="426" t="s">
        <v>73</v>
      </c>
      <c r="Q1293" s="258" t="s">
        <v>72</v>
      </c>
      <c r="R1293" s="426">
        <v>5</v>
      </c>
      <c r="S1293" s="427">
        <v>1</v>
      </c>
      <c r="T1293" s="261">
        <v>6</v>
      </c>
      <c r="U1293" s="261">
        <v>6</v>
      </c>
      <c r="V1293" s="258" t="s">
        <v>3105</v>
      </c>
      <c r="W1293" s="261" t="str">
        <f t="shared" si="198"/>
        <v>BMWX Series X3xDrive 20d M Sport Package70100000</v>
      </c>
      <c r="X1293" s="411">
        <f t="shared" si="199"/>
        <v>5067</v>
      </c>
      <c r="Y1293" s="261">
        <v>6</v>
      </c>
      <c r="Z1293" s="261">
        <v>6</v>
      </c>
      <c r="AA1293" s="407" t="s">
        <v>1805</v>
      </c>
      <c r="AB1293" s="258" t="s">
        <v>3110</v>
      </c>
      <c r="AC1293" s="258"/>
      <c r="AD1293" s="258">
        <v>7</v>
      </c>
      <c r="AE1293" s="258"/>
      <c r="AF1293" s="259"/>
      <c r="AG1293" s="260"/>
      <c r="AH1293" s="259"/>
      <c r="AI1293" s="259"/>
      <c r="AJ1293" s="260"/>
      <c r="AK1293" s="259">
        <v>4</v>
      </c>
      <c r="AL1293" s="259"/>
      <c r="AM1293" s="259" t="s">
        <v>3957</v>
      </c>
      <c r="AN1293" s="449"/>
      <c r="AO1293" s="449"/>
      <c r="AP1293" s="449"/>
      <c r="AQ1293" s="392" t="str">
        <f>IFERROR(VLOOKUP(BG1293,#REF!,1,0),"")</f>
        <v/>
      </c>
      <c r="AS1293" s="259" t="s">
        <v>3189</v>
      </c>
      <c r="AT1293" s="392" t="s">
        <v>3099</v>
      </c>
      <c r="AW1293" s="392" t="s">
        <v>3958</v>
      </c>
      <c r="AY1293" s="312" t="s">
        <v>3108</v>
      </c>
      <c r="BD1293" s="202" t="str">
        <f t="shared" si="191"/>
        <v>X Series X3xDrive 20d M Sport Package</v>
      </c>
      <c r="BE1293" s="261" t="str">
        <f t="shared" si="197"/>
        <v>0218</v>
      </c>
      <c r="BF1293" s="407" t="s">
        <v>1805</v>
      </c>
      <c r="BG1293" s="202" t="str">
        <f t="shared" si="192"/>
        <v>0218-1292</v>
      </c>
    </row>
    <row r="1294" spans="1:59">
      <c r="A1294" s="405">
        <v>5068</v>
      </c>
      <c r="B1294" s="406">
        <v>5068</v>
      </c>
      <c r="C1294" s="261" t="str">
        <f t="shared" si="193"/>
        <v>0008-0218</v>
      </c>
      <c r="D1294" s="261" t="str">
        <f t="shared" si="194"/>
        <v>0008-0218-0011</v>
      </c>
      <c r="E1294" s="407" t="s">
        <v>1806</v>
      </c>
      <c r="F1294" s="261" t="str">
        <f>TEXT(VLOOKUP(J1294,'[3]1'!$B$2:$D$37,2,0),"0000")</f>
        <v>0008</v>
      </c>
      <c r="G1294" s="261" t="str">
        <f t="shared" si="195"/>
        <v>0218</v>
      </c>
      <c r="H1294" s="408">
        <f t="shared" si="196"/>
        <v>11</v>
      </c>
      <c r="I1294" s="407" t="s">
        <v>1806</v>
      </c>
      <c r="J1294" s="258" t="s">
        <v>184</v>
      </c>
      <c r="K1294" s="258" t="s">
        <v>188</v>
      </c>
      <c r="L1294" s="258" t="s">
        <v>3713</v>
      </c>
      <c r="M1294" s="429">
        <v>85100000</v>
      </c>
      <c r="N1294" s="426">
        <v>2993</v>
      </c>
      <c r="O1294" s="426" t="s">
        <v>78</v>
      </c>
      <c r="P1294" s="426" t="s">
        <v>73</v>
      </c>
      <c r="Q1294" s="258" t="s">
        <v>72</v>
      </c>
      <c r="R1294" s="426">
        <v>5</v>
      </c>
      <c r="S1294" s="427">
        <v>3</v>
      </c>
      <c r="T1294" s="261">
        <v>6</v>
      </c>
      <c r="U1294" s="261">
        <v>6</v>
      </c>
      <c r="V1294" s="258" t="s">
        <v>3105</v>
      </c>
      <c r="W1294" s="261" t="str">
        <f t="shared" si="198"/>
        <v>BMWX Series X3xDrive 30d M Sport Package85100000</v>
      </c>
      <c r="X1294" s="411">
        <f t="shared" si="199"/>
        <v>5068</v>
      </c>
      <c r="Y1294" s="261">
        <v>6</v>
      </c>
      <c r="Z1294" s="261">
        <v>6</v>
      </c>
      <c r="AA1294" s="407" t="s">
        <v>1806</v>
      </c>
      <c r="AB1294" s="258" t="s">
        <v>3110</v>
      </c>
      <c r="AC1294" s="258"/>
      <c r="AD1294" s="258">
        <v>7</v>
      </c>
      <c r="AE1294" s="258"/>
      <c r="AF1294" s="259"/>
      <c r="AG1294" s="260"/>
      <c r="AH1294" s="259"/>
      <c r="AI1294" s="259"/>
      <c r="AJ1294" s="260"/>
      <c r="AK1294" s="259" t="s">
        <v>3687</v>
      </c>
      <c r="AL1294" s="259"/>
      <c r="AM1294" s="259" t="s">
        <v>3667</v>
      </c>
      <c r="AN1294" s="449"/>
      <c r="AO1294" s="449"/>
      <c r="AP1294" s="449"/>
      <c r="AQ1294" s="392" t="str">
        <f>IFERROR(VLOOKUP(BG1294,#REF!,1,0),"")</f>
        <v/>
      </c>
      <c r="AS1294" s="259" t="s">
        <v>3237</v>
      </c>
      <c r="AT1294" s="392" t="s">
        <v>3099</v>
      </c>
      <c r="AW1294" s="392" t="s">
        <v>3098</v>
      </c>
      <c r="AY1294" s="312" t="s">
        <v>3108</v>
      </c>
      <c r="BD1294" s="202" t="str">
        <f t="shared" si="191"/>
        <v>X Series X3xDrive 30d M Sport Package</v>
      </c>
      <c r="BE1294" s="261" t="str">
        <f t="shared" si="197"/>
        <v>0218</v>
      </c>
      <c r="BF1294" s="407" t="s">
        <v>1806</v>
      </c>
      <c r="BG1294" s="202" t="str">
        <f t="shared" si="192"/>
        <v>0218-1293</v>
      </c>
    </row>
    <row r="1295" spans="1:59">
      <c r="A1295" s="405">
        <v>5069</v>
      </c>
      <c r="B1295" s="406">
        <v>5069</v>
      </c>
      <c r="C1295" s="261" t="str">
        <f t="shared" si="193"/>
        <v>0008-0218</v>
      </c>
      <c r="D1295" s="261" t="str">
        <f t="shared" si="194"/>
        <v>0008-0218-0012</v>
      </c>
      <c r="E1295" s="407" t="s">
        <v>1807</v>
      </c>
      <c r="F1295" s="261" t="str">
        <f>TEXT(VLOOKUP(J1295,'[3]1'!$B$2:$D$37,2,0),"0000")</f>
        <v>0008</v>
      </c>
      <c r="G1295" s="261" t="str">
        <f t="shared" si="195"/>
        <v>0218</v>
      </c>
      <c r="H1295" s="408">
        <f t="shared" si="196"/>
        <v>12</v>
      </c>
      <c r="I1295" s="407" t="s">
        <v>1807</v>
      </c>
      <c r="J1295" s="258" t="s">
        <v>184</v>
      </c>
      <c r="K1295" s="258" t="s">
        <v>188</v>
      </c>
      <c r="L1295" s="258" t="s">
        <v>3714</v>
      </c>
      <c r="M1295" s="429">
        <v>75200000</v>
      </c>
      <c r="N1295" s="426">
        <v>1998</v>
      </c>
      <c r="O1295" s="426" t="s">
        <v>1173</v>
      </c>
      <c r="P1295" s="426" t="s">
        <v>73</v>
      </c>
      <c r="Q1295" s="258" t="s">
        <v>72</v>
      </c>
      <c r="R1295" s="426">
        <v>5</v>
      </c>
      <c r="S1295" s="427">
        <v>4</v>
      </c>
      <c r="T1295" s="261">
        <v>6</v>
      </c>
      <c r="U1295" s="261">
        <v>6</v>
      </c>
      <c r="V1295" s="258" t="s">
        <v>1969</v>
      </c>
      <c r="W1295" s="261" t="str">
        <f t="shared" si="198"/>
        <v>BMWX Series X3xDrive 30e xline75200000</v>
      </c>
      <c r="X1295" s="411">
        <f t="shared" si="199"/>
        <v>5069</v>
      </c>
      <c r="Y1295" s="261">
        <v>6</v>
      </c>
      <c r="Z1295" s="261">
        <v>6</v>
      </c>
      <c r="AA1295" s="407" t="s">
        <v>1807</v>
      </c>
      <c r="AB1295" s="258" t="s">
        <v>3110</v>
      </c>
      <c r="AC1295" s="258"/>
      <c r="AD1295" s="258">
        <v>7</v>
      </c>
      <c r="AE1295" s="258"/>
      <c r="AF1295" s="259"/>
      <c r="AG1295" s="260"/>
      <c r="AH1295" s="259"/>
      <c r="AI1295" s="259"/>
      <c r="AJ1295" s="260"/>
      <c r="AK1295" s="259">
        <v>4</v>
      </c>
      <c r="AL1295" s="259"/>
      <c r="AM1295" s="259" t="s">
        <v>3957</v>
      </c>
      <c r="AN1295" s="449"/>
      <c r="AO1295" s="449"/>
      <c r="AP1295" s="449"/>
      <c r="AQ1295" s="392" t="str">
        <f>IFERROR(VLOOKUP(BG1295,#REF!,1,0),"")</f>
        <v/>
      </c>
      <c r="AS1295" s="259" t="s">
        <v>3226</v>
      </c>
      <c r="AT1295" s="392" t="s">
        <v>3099</v>
      </c>
      <c r="AW1295" s="392" t="s">
        <v>3973</v>
      </c>
      <c r="AY1295" s="312" t="s">
        <v>3108</v>
      </c>
      <c r="BD1295" s="202" t="str">
        <f t="shared" si="191"/>
        <v>X Series X3xDrive 30e xline</v>
      </c>
      <c r="BE1295" s="261" t="str">
        <f t="shared" si="197"/>
        <v>0218</v>
      </c>
      <c r="BF1295" s="407" t="s">
        <v>1807</v>
      </c>
      <c r="BG1295" s="202" t="str">
        <f t="shared" si="192"/>
        <v>0218-1294</v>
      </c>
    </row>
    <row r="1296" spans="1:59">
      <c r="A1296" s="405">
        <v>5070</v>
      </c>
      <c r="B1296" s="406">
        <v>5070</v>
      </c>
      <c r="C1296" s="261" t="str">
        <f t="shared" si="193"/>
        <v>0008-0218</v>
      </c>
      <c r="D1296" s="261" t="str">
        <f t="shared" si="194"/>
        <v>0008-0218-0013</v>
      </c>
      <c r="E1296" s="407" t="s">
        <v>1808</v>
      </c>
      <c r="F1296" s="261" t="str">
        <f>TEXT(VLOOKUP(J1296,'[3]1'!$B$2:$D$37,2,0),"0000")</f>
        <v>0008</v>
      </c>
      <c r="G1296" s="261" t="str">
        <f t="shared" si="195"/>
        <v>0218</v>
      </c>
      <c r="H1296" s="408">
        <f t="shared" si="196"/>
        <v>13</v>
      </c>
      <c r="I1296" s="407" t="s">
        <v>1808</v>
      </c>
      <c r="J1296" s="258" t="s">
        <v>184</v>
      </c>
      <c r="K1296" s="258" t="s">
        <v>188</v>
      </c>
      <c r="L1296" s="523" t="s">
        <v>3241</v>
      </c>
      <c r="M1296" s="520">
        <v>83700000</v>
      </c>
      <c r="N1296" s="426">
        <v>1998</v>
      </c>
      <c r="O1296" s="426" t="s">
        <v>1173</v>
      </c>
      <c r="P1296" s="426" t="s">
        <v>73</v>
      </c>
      <c r="Q1296" s="258" t="s">
        <v>72</v>
      </c>
      <c r="R1296" s="426">
        <v>5</v>
      </c>
      <c r="S1296" s="427">
        <v>4</v>
      </c>
      <c r="T1296" s="261">
        <v>6</v>
      </c>
      <c r="U1296" s="261">
        <v>6</v>
      </c>
      <c r="V1296" s="258" t="s">
        <v>1969</v>
      </c>
      <c r="W1296" s="261" t="str">
        <f t="shared" si="198"/>
        <v>BMWX Series X3X3 30e M sport pro xDrive83700000</v>
      </c>
      <c r="X1296" s="411">
        <f t="shared" si="199"/>
        <v>5070</v>
      </c>
      <c r="Y1296" s="261">
        <v>6</v>
      </c>
      <c r="Z1296" s="261">
        <v>6</v>
      </c>
      <c r="AA1296" s="407" t="s">
        <v>1808</v>
      </c>
      <c r="AB1296" s="258" t="s">
        <v>1965</v>
      </c>
      <c r="AC1296" s="258"/>
      <c r="AD1296" s="258">
        <v>7</v>
      </c>
      <c r="AE1296" s="258"/>
      <c r="AF1296" s="259"/>
      <c r="AG1296" s="260"/>
      <c r="AH1296" s="259"/>
      <c r="AI1296" s="259"/>
      <c r="AJ1296" s="260"/>
      <c r="AK1296" s="259">
        <v>4</v>
      </c>
      <c r="AL1296" s="259"/>
      <c r="AM1296" s="259" t="s">
        <v>3957</v>
      </c>
      <c r="AN1296" s="449"/>
      <c r="AO1296" s="449"/>
      <c r="AP1296" s="449"/>
      <c r="AQ1296" s="392" t="str">
        <f>IFERROR(VLOOKUP(BG1296,#REF!,1,0),"")</f>
        <v/>
      </c>
      <c r="AS1296" s="259" t="s">
        <v>3226</v>
      </c>
      <c r="AW1296" s="392" t="s">
        <v>3973</v>
      </c>
      <c r="AY1296" s="312" t="s">
        <v>3108</v>
      </c>
      <c r="BD1296" s="202" t="str">
        <f t="shared" si="191"/>
        <v>X Series X3X3 30e M sport pro xDrive</v>
      </c>
      <c r="BE1296" s="261" t="str">
        <f t="shared" si="197"/>
        <v>0218</v>
      </c>
      <c r="BF1296" s="407" t="s">
        <v>1808</v>
      </c>
      <c r="BG1296" s="202" t="str">
        <f t="shared" si="192"/>
        <v>0218-1295</v>
      </c>
    </row>
    <row r="1297" spans="1:59">
      <c r="A1297" s="405">
        <v>5071</v>
      </c>
      <c r="B1297" s="406">
        <v>5071</v>
      </c>
      <c r="C1297" s="261" t="str">
        <f t="shared" si="193"/>
        <v>0008-0218</v>
      </c>
      <c r="D1297" s="261" t="str">
        <f t="shared" si="194"/>
        <v>0008-0218-0014</v>
      </c>
      <c r="E1297" s="407" t="s">
        <v>1809</v>
      </c>
      <c r="F1297" s="261" t="str">
        <f>TEXT(VLOOKUP(J1297,'[3]1'!$B$2:$D$37,2,0),"0000")</f>
        <v>0008</v>
      </c>
      <c r="G1297" s="261" t="str">
        <f t="shared" si="195"/>
        <v>0218</v>
      </c>
      <c r="H1297" s="408">
        <f t="shared" si="196"/>
        <v>14</v>
      </c>
      <c r="I1297" s="407" t="s">
        <v>1809</v>
      </c>
      <c r="J1297" s="258" t="s">
        <v>184</v>
      </c>
      <c r="K1297" s="258" t="s">
        <v>188</v>
      </c>
      <c r="L1297" s="258" t="s">
        <v>3715</v>
      </c>
      <c r="M1297" s="429">
        <v>78200000</v>
      </c>
      <c r="N1297" s="426">
        <v>1998</v>
      </c>
      <c r="O1297" s="426" t="s">
        <v>1173</v>
      </c>
      <c r="P1297" s="426" t="s">
        <v>73</v>
      </c>
      <c r="Q1297" s="258" t="s">
        <v>72</v>
      </c>
      <c r="R1297" s="426">
        <v>5</v>
      </c>
      <c r="S1297" s="427">
        <v>4</v>
      </c>
      <c r="T1297" s="261">
        <v>6</v>
      </c>
      <c r="U1297" s="261">
        <v>6</v>
      </c>
      <c r="V1297" s="258" t="s">
        <v>1969</v>
      </c>
      <c r="W1297" s="261" t="str">
        <f t="shared" si="198"/>
        <v>BMWX Series X3xDrive 30e M Sport Package78200000</v>
      </c>
      <c r="X1297" s="411">
        <f t="shared" si="199"/>
        <v>5071</v>
      </c>
      <c r="Y1297" s="261">
        <v>6</v>
      </c>
      <c r="Z1297" s="261">
        <v>6</v>
      </c>
      <c r="AA1297" s="407" t="s">
        <v>1809</v>
      </c>
      <c r="AB1297" s="258" t="s">
        <v>3110</v>
      </c>
      <c r="AC1297" s="258"/>
      <c r="AD1297" s="258">
        <v>7</v>
      </c>
      <c r="AE1297" s="258"/>
      <c r="AF1297" s="259"/>
      <c r="AG1297" s="260"/>
      <c r="AH1297" s="259"/>
      <c r="AI1297" s="259"/>
      <c r="AJ1297" s="260"/>
      <c r="AK1297" s="259">
        <v>4</v>
      </c>
      <c r="AL1297" s="259"/>
      <c r="AM1297" s="259" t="s">
        <v>3957</v>
      </c>
      <c r="AN1297" s="449"/>
      <c r="AO1297" s="449"/>
      <c r="AP1297" s="449"/>
      <c r="AQ1297" s="392" t="str">
        <f>IFERROR(VLOOKUP(BG1297,#REF!,1,0),"")</f>
        <v/>
      </c>
      <c r="AS1297" s="259" t="s">
        <v>3226</v>
      </c>
      <c r="AT1297" s="392" t="s">
        <v>3099</v>
      </c>
      <c r="AW1297" s="392" t="s">
        <v>3973</v>
      </c>
      <c r="AY1297" s="312" t="s">
        <v>3108</v>
      </c>
      <c r="BD1297" s="202" t="str">
        <f t="shared" si="191"/>
        <v>X Series X3xDrive 30e M Sport Package</v>
      </c>
      <c r="BE1297" s="261" t="str">
        <f t="shared" si="197"/>
        <v>0218</v>
      </c>
      <c r="BF1297" s="407" t="s">
        <v>1809</v>
      </c>
      <c r="BG1297" s="202" t="str">
        <f t="shared" si="192"/>
        <v>0218-1296</v>
      </c>
    </row>
    <row r="1298" spans="1:59">
      <c r="A1298" s="405">
        <v>5072</v>
      </c>
      <c r="B1298" s="406">
        <v>5072</v>
      </c>
      <c r="C1298" s="261" t="str">
        <f t="shared" si="193"/>
        <v>0008-0219</v>
      </c>
      <c r="D1298" s="261" t="str">
        <f t="shared" si="194"/>
        <v>0008-0219-0001</v>
      </c>
      <c r="E1298" s="407" t="s">
        <v>1810</v>
      </c>
      <c r="F1298" s="261" t="str">
        <f>TEXT(VLOOKUP(J1298,'[3]1'!$B$2:$D$37,2,0),"0000")</f>
        <v>0008</v>
      </c>
      <c r="G1298" s="261" t="str">
        <f t="shared" si="195"/>
        <v>0219</v>
      </c>
      <c r="H1298" s="408">
        <f t="shared" si="196"/>
        <v>1</v>
      </c>
      <c r="I1298" s="407" t="s">
        <v>1810</v>
      </c>
      <c r="J1298" s="258" t="s">
        <v>184</v>
      </c>
      <c r="K1298" s="258" t="s">
        <v>187</v>
      </c>
      <c r="L1298" s="258" t="s">
        <v>1239</v>
      </c>
      <c r="M1298" s="429">
        <v>73300000</v>
      </c>
      <c r="N1298" s="258">
        <v>1995</v>
      </c>
      <c r="O1298" s="258" t="s">
        <v>78</v>
      </c>
      <c r="P1298" s="258" t="s">
        <v>73</v>
      </c>
      <c r="Q1298" s="258" t="s">
        <v>72</v>
      </c>
      <c r="R1298" s="258">
        <v>5</v>
      </c>
      <c r="S1298" s="410">
        <v>1</v>
      </c>
      <c r="T1298" s="261">
        <v>6</v>
      </c>
      <c r="U1298" s="261">
        <v>6</v>
      </c>
      <c r="V1298" s="258" t="s">
        <v>71</v>
      </c>
      <c r="W1298" s="261" t="str">
        <f t="shared" si="198"/>
        <v>BMWX Series X4X4 xDrive 20d M Sport Package73300000</v>
      </c>
      <c r="X1298" s="411">
        <f t="shared" si="199"/>
        <v>5072</v>
      </c>
      <c r="Y1298" s="261">
        <v>6</v>
      </c>
      <c r="Z1298" s="261">
        <v>6</v>
      </c>
      <c r="AA1298" s="407" t="s">
        <v>1810</v>
      </c>
      <c r="AB1298" s="258" t="s">
        <v>70</v>
      </c>
      <c r="AC1298" s="258"/>
      <c r="AD1298" s="258">
        <v>2</v>
      </c>
      <c r="AE1298" s="258">
        <v>1</v>
      </c>
      <c r="AF1298" s="259"/>
      <c r="AG1298" s="260"/>
      <c r="AH1298" s="259"/>
      <c r="AI1298" s="259"/>
      <c r="AJ1298" s="260"/>
      <c r="AK1298" s="259">
        <v>6</v>
      </c>
      <c r="AL1298" s="259"/>
      <c r="AM1298" s="259" t="s">
        <v>3655</v>
      </c>
      <c r="AN1298" s="449"/>
      <c r="AO1298" s="449"/>
      <c r="AP1298" s="449"/>
      <c r="AQ1298" s="392" t="str">
        <f>IFERROR(VLOOKUP(BG1298,#REF!,1,0),"")</f>
        <v/>
      </c>
      <c r="AS1298" s="259" t="s">
        <v>3189</v>
      </c>
      <c r="BD1298" s="202" t="str">
        <f t="shared" si="191"/>
        <v>X Series X4X4 xDrive 20d M Sport Package</v>
      </c>
      <c r="BE1298" s="261" t="str">
        <f t="shared" si="197"/>
        <v>0219</v>
      </c>
      <c r="BF1298" s="407" t="s">
        <v>1810</v>
      </c>
      <c r="BG1298" s="202" t="str">
        <f t="shared" si="192"/>
        <v>0219-1297</v>
      </c>
    </row>
    <row r="1299" spans="1:59">
      <c r="A1299" s="405">
        <v>5073</v>
      </c>
      <c r="B1299" s="406">
        <v>5073</v>
      </c>
      <c r="C1299" s="261" t="str">
        <f t="shared" si="193"/>
        <v>0008-0219</v>
      </c>
      <c r="D1299" s="261" t="str">
        <f t="shared" si="194"/>
        <v>0008-0219-0002</v>
      </c>
      <c r="E1299" s="407" t="s">
        <v>1811</v>
      </c>
      <c r="F1299" s="261" t="str">
        <f>TEXT(VLOOKUP(J1299,'[3]1'!$B$2:$D$37,2,0),"0000")</f>
        <v>0008</v>
      </c>
      <c r="G1299" s="261" t="str">
        <f t="shared" si="195"/>
        <v>0219</v>
      </c>
      <c r="H1299" s="408">
        <f t="shared" si="196"/>
        <v>2</v>
      </c>
      <c r="I1299" s="407" t="s">
        <v>1811</v>
      </c>
      <c r="J1299" s="258" t="s">
        <v>184</v>
      </c>
      <c r="K1299" s="258" t="s">
        <v>187</v>
      </c>
      <c r="L1299" s="258" t="s">
        <v>1289</v>
      </c>
      <c r="M1299" s="429">
        <v>70300000</v>
      </c>
      <c r="N1299" s="258">
        <v>1995</v>
      </c>
      <c r="O1299" s="258" t="s">
        <v>78</v>
      </c>
      <c r="P1299" s="258" t="s">
        <v>73</v>
      </c>
      <c r="Q1299" s="258" t="s">
        <v>72</v>
      </c>
      <c r="R1299" s="258">
        <v>5</v>
      </c>
      <c r="S1299" s="410">
        <v>1</v>
      </c>
      <c r="T1299" s="261">
        <v>6</v>
      </c>
      <c r="U1299" s="261">
        <v>6</v>
      </c>
      <c r="V1299" s="258" t="s">
        <v>71</v>
      </c>
      <c r="W1299" s="261" t="str">
        <f t="shared" si="198"/>
        <v>BMWX Series X4X4 xDrive 20d xLine70300000</v>
      </c>
      <c r="X1299" s="411">
        <f t="shared" si="199"/>
        <v>5073</v>
      </c>
      <c r="Y1299" s="261">
        <v>6</v>
      </c>
      <c r="Z1299" s="261">
        <v>6</v>
      </c>
      <c r="AA1299" s="407" t="s">
        <v>1811</v>
      </c>
      <c r="AB1299" s="258" t="s">
        <v>70</v>
      </c>
      <c r="AC1299" s="258"/>
      <c r="AD1299" s="258">
        <v>2</v>
      </c>
      <c r="AE1299" s="258">
        <v>1</v>
      </c>
      <c r="AF1299" s="259"/>
      <c r="AG1299" s="260"/>
      <c r="AH1299" s="259"/>
      <c r="AI1299" s="259"/>
      <c r="AJ1299" s="260"/>
      <c r="AK1299" s="259">
        <v>6</v>
      </c>
      <c r="AL1299" s="259"/>
      <c r="AM1299" s="259" t="s">
        <v>3655</v>
      </c>
      <c r="AN1299" s="449"/>
      <c r="AO1299" s="449"/>
      <c r="AP1299" s="449"/>
      <c r="AQ1299" s="392" t="str">
        <f>IFERROR(VLOOKUP(BG1299,#REF!,1,0),"")</f>
        <v/>
      </c>
      <c r="AS1299" s="259" t="s">
        <v>3189</v>
      </c>
      <c r="BD1299" s="202" t="str">
        <f t="shared" si="191"/>
        <v>X Series X4X4 xDrive 20d xLine</v>
      </c>
      <c r="BE1299" s="261" t="str">
        <f t="shared" si="197"/>
        <v>0219</v>
      </c>
      <c r="BF1299" s="407" t="s">
        <v>1811</v>
      </c>
      <c r="BG1299" s="202" t="str">
        <f t="shared" si="192"/>
        <v>0219-1298</v>
      </c>
    </row>
    <row r="1300" spans="1:59">
      <c r="A1300" s="405">
        <v>5074</v>
      </c>
      <c r="B1300" s="406">
        <v>5074</v>
      </c>
      <c r="C1300" s="261" t="str">
        <f t="shared" si="193"/>
        <v>0008-0219</v>
      </c>
      <c r="D1300" s="261" t="str">
        <f t="shared" si="194"/>
        <v>0008-0219-0003</v>
      </c>
      <c r="E1300" s="407" t="s">
        <v>1812</v>
      </c>
      <c r="F1300" s="261" t="str">
        <f>TEXT(VLOOKUP(J1300,'[3]1'!$B$2:$D$37,2,0),"0000")</f>
        <v>0008</v>
      </c>
      <c r="G1300" s="261" t="str">
        <f t="shared" si="195"/>
        <v>0219</v>
      </c>
      <c r="H1300" s="408">
        <f t="shared" si="196"/>
        <v>3</v>
      </c>
      <c r="I1300" s="407" t="s">
        <v>1812</v>
      </c>
      <c r="J1300" s="258" t="s">
        <v>184</v>
      </c>
      <c r="K1300" s="258" t="s">
        <v>187</v>
      </c>
      <c r="L1300" s="258" t="s">
        <v>1409</v>
      </c>
      <c r="M1300" s="429">
        <v>73800000</v>
      </c>
      <c r="N1300" s="258">
        <v>1995</v>
      </c>
      <c r="O1300" s="258" t="s">
        <v>78</v>
      </c>
      <c r="P1300" s="258" t="s">
        <v>73</v>
      </c>
      <c r="Q1300" s="258" t="s">
        <v>72</v>
      </c>
      <c r="R1300" s="258">
        <v>5</v>
      </c>
      <c r="S1300" s="410">
        <v>1</v>
      </c>
      <c r="T1300" s="261">
        <v>6</v>
      </c>
      <c r="U1300" s="261">
        <v>6</v>
      </c>
      <c r="V1300" s="258" t="s">
        <v>71</v>
      </c>
      <c r="W1300" s="261" t="str">
        <f t="shared" si="198"/>
        <v>BMWX Series X4X4 xDrive 20d M Sport X73800000</v>
      </c>
      <c r="X1300" s="411">
        <f t="shared" si="199"/>
        <v>5074</v>
      </c>
      <c r="Y1300" s="261">
        <v>6</v>
      </c>
      <c r="Z1300" s="261">
        <v>6</v>
      </c>
      <c r="AA1300" s="407" t="s">
        <v>1812</v>
      </c>
      <c r="AB1300" s="258" t="s">
        <v>70</v>
      </c>
      <c r="AC1300" s="258"/>
      <c r="AD1300" s="258">
        <v>2</v>
      </c>
      <c r="AE1300" s="258">
        <v>1</v>
      </c>
      <c r="AF1300" s="259"/>
      <c r="AG1300" s="260"/>
      <c r="AH1300" s="259"/>
      <c r="AI1300" s="259"/>
      <c r="AJ1300" s="260"/>
      <c r="AK1300" s="259">
        <v>6</v>
      </c>
      <c r="AL1300" s="259"/>
      <c r="AM1300" s="259" t="s">
        <v>3655</v>
      </c>
      <c r="AN1300" s="449"/>
      <c r="AO1300" s="449"/>
      <c r="AP1300" s="449"/>
      <c r="AQ1300" s="392" t="str">
        <f>IFERROR(VLOOKUP(BG1300,#REF!,1,0),"")</f>
        <v/>
      </c>
      <c r="AS1300" s="259" t="s">
        <v>3189</v>
      </c>
      <c r="BD1300" s="202" t="str">
        <f t="shared" si="191"/>
        <v>X Series X4X4 xDrive 20d M Sport X</v>
      </c>
      <c r="BE1300" s="261" t="str">
        <f t="shared" si="197"/>
        <v>0219</v>
      </c>
      <c r="BF1300" s="407" t="s">
        <v>1812</v>
      </c>
      <c r="BG1300" s="202" t="str">
        <f t="shared" si="192"/>
        <v>0219-1299</v>
      </c>
    </row>
    <row r="1301" spans="1:59">
      <c r="A1301" s="405">
        <v>5075</v>
      </c>
      <c r="B1301" s="406">
        <v>5075</v>
      </c>
      <c r="C1301" s="261" t="str">
        <f t="shared" si="193"/>
        <v>0008-0219</v>
      </c>
      <c r="D1301" s="261" t="str">
        <f t="shared" si="194"/>
        <v>0008-0219-0004</v>
      </c>
      <c r="E1301" s="407" t="s">
        <v>1813</v>
      </c>
      <c r="F1301" s="261" t="str">
        <f>TEXT(VLOOKUP(J1301,'[3]1'!$B$2:$D$37,2,0),"0000")</f>
        <v>0008</v>
      </c>
      <c r="G1301" s="261" t="str">
        <f t="shared" si="195"/>
        <v>0219</v>
      </c>
      <c r="H1301" s="408">
        <f t="shared" si="196"/>
        <v>4</v>
      </c>
      <c r="I1301" s="407" t="s">
        <v>1813</v>
      </c>
      <c r="J1301" s="258" t="s">
        <v>184</v>
      </c>
      <c r="K1301" s="258" t="s">
        <v>187</v>
      </c>
      <c r="L1301" s="258" t="s">
        <v>1943</v>
      </c>
      <c r="M1301" s="429">
        <v>68700000</v>
      </c>
      <c r="N1301" s="258">
        <v>1998</v>
      </c>
      <c r="O1301" s="258" t="s">
        <v>77</v>
      </c>
      <c r="P1301" s="258" t="s">
        <v>73</v>
      </c>
      <c r="Q1301" s="258" t="s">
        <v>72</v>
      </c>
      <c r="R1301" s="258">
        <v>5</v>
      </c>
      <c r="S1301" s="410">
        <v>3</v>
      </c>
      <c r="T1301" s="261">
        <v>6</v>
      </c>
      <c r="U1301" s="261">
        <v>6</v>
      </c>
      <c r="V1301" s="258" t="s">
        <v>71</v>
      </c>
      <c r="W1301" s="261" t="str">
        <f t="shared" si="198"/>
        <v>BMWX Series X4X4 xDrive 20i M Sport X68700000</v>
      </c>
      <c r="X1301" s="411">
        <f t="shared" si="199"/>
        <v>5075</v>
      </c>
      <c r="Y1301" s="261">
        <v>6</v>
      </c>
      <c r="Z1301" s="261">
        <v>6</v>
      </c>
      <c r="AA1301" s="407" t="s">
        <v>1813</v>
      </c>
      <c r="AB1301" s="258" t="s">
        <v>70</v>
      </c>
      <c r="AC1301" s="258"/>
      <c r="AD1301" s="258">
        <v>4</v>
      </c>
      <c r="AE1301" s="258">
        <v>0</v>
      </c>
      <c r="AF1301" s="458"/>
      <c r="AG1301" s="260"/>
      <c r="AH1301" s="259"/>
      <c r="AI1301" s="259"/>
      <c r="AJ1301" s="260"/>
      <c r="AK1301" s="259">
        <v>6</v>
      </c>
      <c r="AL1301" s="259"/>
      <c r="AM1301" s="259" t="s">
        <v>3655</v>
      </c>
      <c r="AN1301" s="449"/>
      <c r="AO1301" s="449"/>
      <c r="AP1301" s="449"/>
      <c r="AQ1301" s="392" t="str">
        <f>IFERROR(VLOOKUP(BG1301,#REF!,1,0),"")</f>
        <v/>
      </c>
      <c r="AS1301" s="259" t="s">
        <v>3237</v>
      </c>
      <c r="BD1301" s="202" t="str">
        <f t="shared" si="191"/>
        <v>X Series X4X4 xDrive 20i M Sport X</v>
      </c>
      <c r="BE1301" s="261" t="str">
        <f t="shared" si="197"/>
        <v>0219</v>
      </c>
      <c r="BF1301" s="407" t="s">
        <v>1813</v>
      </c>
      <c r="BG1301" s="202" t="str">
        <f t="shared" si="192"/>
        <v>0219-1300</v>
      </c>
    </row>
    <row r="1302" spans="1:59">
      <c r="A1302" s="405">
        <v>5076</v>
      </c>
      <c r="B1302" s="406">
        <v>5076</v>
      </c>
      <c r="C1302" s="261" t="str">
        <f t="shared" si="193"/>
        <v>0008-0219</v>
      </c>
      <c r="D1302" s="261" t="str">
        <f t="shared" si="194"/>
        <v>0008-0219-0005</v>
      </c>
      <c r="E1302" s="407" t="s">
        <v>1814</v>
      </c>
      <c r="F1302" s="261" t="str">
        <f>TEXT(VLOOKUP(J1302,'[3]1'!$B$2:$D$37,2,0),"0000")</f>
        <v>0008</v>
      </c>
      <c r="G1302" s="261" t="str">
        <f t="shared" si="195"/>
        <v>0219</v>
      </c>
      <c r="H1302" s="408">
        <f t="shared" si="196"/>
        <v>5</v>
      </c>
      <c r="I1302" s="407" t="s">
        <v>1814</v>
      </c>
      <c r="J1302" s="258" t="s">
        <v>184</v>
      </c>
      <c r="K1302" s="258" t="s">
        <v>187</v>
      </c>
      <c r="L1302" s="258" t="s">
        <v>1944</v>
      </c>
      <c r="M1302" s="429">
        <v>66400000</v>
      </c>
      <c r="N1302" s="258">
        <v>1998</v>
      </c>
      <c r="O1302" s="258" t="s">
        <v>77</v>
      </c>
      <c r="P1302" s="258" t="s">
        <v>73</v>
      </c>
      <c r="Q1302" s="258" t="s">
        <v>72</v>
      </c>
      <c r="R1302" s="258">
        <v>5</v>
      </c>
      <c r="S1302" s="410">
        <v>3</v>
      </c>
      <c r="T1302" s="261">
        <v>6</v>
      </c>
      <c r="U1302" s="261">
        <v>6</v>
      </c>
      <c r="V1302" s="258" t="s">
        <v>71</v>
      </c>
      <c r="W1302" s="261" t="str">
        <f t="shared" si="198"/>
        <v>BMWX Series X4X4 xDrive 20i X line66400000</v>
      </c>
      <c r="X1302" s="411">
        <f t="shared" si="199"/>
        <v>5076</v>
      </c>
      <c r="Y1302" s="261">
        <v>6</v>
      </c>
      <c r="Z1302" s="261">
        <v>6</v>
      </c>
      <c r="AA1302" s="407" t="s">
        <v>1814</v>
      </c>
      <c r="AB1302" s="258" t="s">
        <v>70</v>
      </c>
      <c r="AC1302" s="258"/>
      <c r="AD1302" s="258">
        <v>4</v>
      </c>
      <c r="AE1302" s="258">
        <v>0</v>
      </c>
      <c r="AF1302" s="458"/>
      <c r="AG1302" s="260"/>
      <c r="AH1302" s="259"/>
      <c r="AI1302" s="259"/>
      <c r="AJ1302" s="260"/>
      <c r="AK1302" s="259">
        <v>6</v>
      </c>
      <c r="AL1302" s="259"/>
      <c r="AM1302" s="259" t="s">
        <v>3655</v>
      </c>
      <c r="AN1302" s="449"/>
      <c r="AO1302" s="449"/>
      <c r="AP1302" s="449"/>
      <c r="AQ1302" s="392" t="str">
        <f>IFERROR(VLOOKUP(BG1302,#REF!,1,0),"")</f>
        <v/>
      </c>
      <c r="AS1302" s="259" t="s">
        <v>3237</v>
      </c>
      <c r="BD1302" s="202" t="str">
        <f t="shared" si="191"/>
        <v>X Series X4X4 xDrive 20i X line</v>
      </c>
      <c r="BE1302" s="261" t="str">
        <f t="shared" si="197"/>
        <v>0219</v>
      </c>
      <c r="BF1302" s="407" t="s">
        <v>1814</v>
      </c>
      <c r="BG1302" s="202" t="str">
        <f t="shared" si="192"/>
        <v>0219-1301</v>
      </c>
    </row>
    <row r="1303" spans="1:59">
      <c r="A1303" s="405">
        <v>5077</v>
      </c>
      <c r="B1303" s="406">
        <v>5077</v>
      </c>
      <c r="C1303" s="261" t="str">
        <f t="shared" si="193"/>
        <v>0008-0219</v>
      </c>
      <c r="D1303" s="261" t="str">
        <f t="shared" si="194"/>
        <v>0008-0219-0006</v>
      </c>
      <c r="E1303" s="407" t="s">
        <v>1815</v>
      </c>
      <c r="F1303" s="261" t="str">
        <f>TEXT(VLOOKUP(J1303,'[3]1'!$B$2:$D$37,2,0),"0000")</f>
        <v>0008</v>
      </c>
      <c r="G1303" s="261" t="str">
        <f t="shared" si="195"/>
        <v>0219</v>
      </c>
      <c r="H1303" s="408">
        <f t="shared" si="196"/>
        <v>6</v>
      </c>
      <c r="I1303" s="407" t="s">
        <v>1815</v>
      </c>
      <c r="J1303" s="258" t="s">
        <v>184</v>
      </c>
      <c r="K1303" s="258" t="s">
        <v>187</v>
      </c>
      <c r="L1303" s="258" t="s">
        <v>1427</v>
      </c>
      <c r="M1303" s="429">
        <v>120900000</v>
      </c>
      <c r="N1303" s="258">
        <v>2993</v>
      </c>
      <c r="O1303" s="258" t="s">
        <v>77</v>
      </c>
      <c r="P1303" s="258" t="s">
        <v>73</v>
      </c>
      <c r="Q1303" s="258" t="s">
        <v>72</v>
      </c>
      <c r="R1303" s="258">
        <v>5</v>
      </c>
      <c r="S1303" s="410">
        <v>7</v>
      </c>
      <c r="T1303" s="261">
        <v>6</v>
      </c>
      <c r="U1303" s="261">
        <v>6</v>
      </c>
      <c r="V1303" s="258" t="s">
        <v>71</v>
      </c>
      <c r="W1303" s="261" t="str">
        <f t="shared" si="198"/>
        <v>BMWX Series X4X4 M120900000</v>
      </c>
      <c r="X1303" s="411">
        <f t="shared" si="199"/>
        <v>5077</v>
      </c>
      <c r="Y1303" s="261">
        <v>6</v>
      </c>
      <c r="Z1303" s="261">
        <v>6</v>
      </c>
      <c r="AA1303" s="407" t="s">
        <v>1815</v>
      </c>
      <c r="AB1303" s="258" t="s">
        <v>70</v>
      </c>
      <c r="AC1303" s="258"/>
      <c r="AD1303" s="258">
        <v>4</v>
      </c>
      <c r="AE1303" s="258">
        <v>0</v>
      </c>
      <c r="AF1303" s="259"/>
      <c r="AG1303" s="260"/>
      <c r="AH1303" s="259"/>
      <c r="AI1303" s="259"/>
      <c r="AJ1303" s="260"/>
      <c r="AK1303" s="259">
        <v>11</v>
      </c>
      <c r="AL1303" s="259"/>
      <c r="AM1303" s="259" t="s">
        <v>3965</v>
      </c>
      <c r="AN1303" s="449"/>
      <c r="AO1303" s="449"/>
      <c r="AP1303" s="449"/>
      <c r="AQ1303" s="392" t="str">
        <f>IFERROR(VLOOKUP(BG1303,#REF!,1,0),"")</f>
        <v/>
      </c>
      <c r="AS1303" s="259" t="s">
        <v>3229</v>
      </c>
      <c r="AW1303" s="392" t="s">
        <v>3958</v>
      </c>
      <c r="BD1303" s="202" t="str">
        <f t="shared" si="191"/>
        <v>X Series X4X4 M</v>
      </c>
      <c r="BE1303" s="261" t="str">
        <f t="shared" si="197"/>
        <v>0219</v>
      </c>
      <c r="BF1303" s="407" t="s">
        <v>1815</v>
      </c>
      <c r="BG1303" s="202" t="str">
        <f t="shared" si="192"/>
        <v>0219-1302</v>
      </c>
    </row>
    <row r="1304" spans="1:59">
      <c r="A1304" s="405">
        <v>5078</v>
      </c>
      <c r="B1304" s="406">
        <v>5078</v>
      </c>
      <c r="C1304" s="261" t="str">
        <f t="shared" si="193"/>
        <v>0008-0219</v>
      </c>
      <c r="D1304" s="261" t="str">
        <f t="shared" si="194"/>
        <v>0008-0219-0007</v>
      </c>
      <c r="E1304" s="407" t="s">
        <v>1816</v>
      </c>
      <c r="F1304" s="261" t="str">
        <f>TEXT(VLOOKUP(J1304,'[3]1'!$B$2:$D$37,2,0),"0000")</f>
        <v>0008</v>
      </c>
      <c r="G1304" s="261" t="str">
        <f t="shared" si="195"/>
        <v>0219</v>
      </c>
      <c r="H1304" s="408">
        <f t="shared" si="196"/>
        <v>7</v>
      </c>
      <c r="I1304" s="407" t="s">
        <v>1816</v>
      </c>
      <c r="J1304" s="413" t="s">
        <v>184</v>
      </c>
      <c r="K1304" s="413" t="s">
        <v>187</v>
      </c>
      <c r="L1304" s="413" t="s">
        <v>2802</v>
      </c>
      <c r="M1304" s="429">
        <v>91200000</v>
      </c>
      <c r="N1304" s="416">
        <v>2998</v>
      </c>
      <c r="O1304" s="258" t="s">
        <v>77</v>
      </c>
      <c r="P1304" s="413" t="s">
        <v>73</v>
      </c>
      <c r="Q1304" s="413" t="s">
        <v>72</v>
      </c>
      <c r="R1304" s="416">
        <v>5</v>
      </c>
      <c r="S1304" s="410">
        <v>7</v>
      </c>
      <c r="T1304" s="261">
        <v>6</v>
      </c>
      <c r="U1304" s="261">
        <v>6</v>
      </c>
      <c r="V1304" s="258" t="s">
        <v>71</v>
      </c>
      <c r="W1304" s="261" t="str">
        <f t="shared" si="198"/>
        <v>BMWX Series X4M40i91200000</v>
      </c>
      <c r="X1304" s="411">
        <f t="shared" si="199"/>
        <v>5078</v>
      </c>
      <c r="Y1304" s="261">
        <v>6</v>
      </c>
      <c r="Z1304" s="261">
        <v>6</v>
      </c>
      <c r="AA1304" s="407" t="s">
        <v>1816</v>
      </c>
      <c r="AB1304" s="258" t="s">
        <v>70</v>
      </c>
      <c r="AC1304" s="258"/>
      <c r="AD1304" s="258">
        <v>6</v>
      </c>
      <c r="AE1304" s="258">
        <v>0</v>
      </c>
      <c r="AF1304" s="259"/>
      <c r="AG1304" s="260"/>
      <c r="AH1304" s="259"/>
      <c r="AI1304" s="259"/>
      <c r="AJ1304" s="260"/>
      <c r="AK1304" s="259">
        <v>11</v>
      </c>
      <c r="AL1304" s="259"/>
      <c r="AM1304" s="259" t="s">
        <v>3965</v>
      </c>
      <c r="AN1304" s="449"/>
      <c r="AO1304" s="449"/>
      <c r="AP1304" s="449"/>
      <c r="AQ1304" s="392" t="str">
        <f>IFERROR(VLOOKUP(BG1304,#REF!,1,0),"")</f>
        <v/>
      </c>
      <c r="AS1304" s="259" t="s">
        <v>3229</v>
      </c>
      <c r="BD1304" s="202" t="str">
        <f t="shared" si="191"/>
        <v>X Series X4M40i</v>
      </c>
      <c r="BE1304" s="261" t="str">
        <f t="shared" si="197"/>
        <v>0219</v>
      </c>
      <c r="BF1304" s="407" t="s">
        <v>1816</v>
      </c>
      <c r="BG1304" s="202" t="str">
        <f t="shared" si="192"/>
        <v>0219-1303</v>
      </c>
    </row>
    <row r="1305" spans="1:59">
      <c r="A1305" s="405">
        <v>5079</v>
      </c>
      <c r="B1305" s="406">
        <v>5079</v>
      </c>
      <c r="C1305" s="261" t="str">
        <f t="shared" si="193"/>
        <v>0008-0220</v>
      </c>
      <c r="D1305" s="261" t="str">
        <f t="shared" si="194"/>
        <v>0008-0220-0001</v>
      </c>
      <c r="E1305" s="407" t="s">
        <v>1817</v>
      </c>
      <c r="F1305" s="261" t="str">
        <f>TEXT(VLOOKUP(J1305,'[3]1'!$B$2:$D$37,2,0),"0000")</f>
        <v>0008</v>
      </c>
      <c r="G1305" s="261" t="str">
        <f t="shared" si="195"/>
        <v>0220</v>
      </c>
      <c r="H1305" s="408">
        <f t="shared" si="196"/>
        <v>1</v>
      </c>
      <c r="I1305" s="407" t="s">
        <v>1817</v>
      </c>
      <c r="J1305" s="258" t="s">
        <v>184</v>
      </c>
      <c r="K1305" s="258" t="s">
        <v>186</v>
      </c>
      <c r="L1305" s="258" t="s">
        <v>2058</v>
      </c>
      <c r="M1305" s="429">
        <v>107600000</v>
      </c>
      <c r="N1305" s="258">
        <v>2993</v>
      </c>
      <c r="O1305" s="258" t="s">
        <v>78</v>
      </c>
      <c r="P1305" s="258" t="s">
        <v>73</v>
      </c>
      <c r="Q1305" s="258" t="s">
        <v>72</v>
      </c>
      <c r="R1305" s="258">
        <v>5</v>
      </c>
      <c r="S1305" s="410">
        <v>1</v>
      </c>
      <c r="T1305" s="261">
        <v>6</v>
      </c>
      <c r="U1305" s="261">
        <v>6</v>
      </c>
      <c r="V1305" s="258" t="s">
        <v>71</v>
      </c>
      <c r="W1305" s="261" t="str">
        <f t="shared" si="198"/>
        <v>BMWX Series X5x5 xDrive 30d M Sport Package 107600000</v>
      </c>
      <c r="X1305" s="411">
        <f t="shared" si="199"/>
        <v>5079</v>
      </c>
      <c r="Y1305" s="261">
        <v>6</v>
      </c>
      <c r="Z1305" s="261">
        <v>6</v>
      </c>
      <c r="AA1305" s="407" t="s">
        <v>1817</v>
      </c>
      <c r="AB1305" s="258" t="s">
        <v>70</v>
      </c>
      <c r="AC1305" s="258"/>
      <c r="AD1305" s="258">
        <v>2</v>
      </c>
      <c r="AE1305" s="258">
        <v>2</v>
      </c>
      <c r="AF1305" s="259"/>
      <c r="AG1305" s="260"/>
      <c r="AH1305" s="259"/>
      <c r="AI1305" s="259"/>
      <c r="AJ1305" s="260"/>
      <c r="AK1305" s="259">
        <v>4</v>
      </c>
      <c r="AL1305" s="259"/>
      <c r="AM1305" s="259" t="s">
        <v>3957</v>
      </c>
      <c r="AN1305" s="449"/>
      <c r="AO1305" s="449"/>
      <c r="AP1305" s="449"/>
      <c r="AQ1305" s="392" t="str">
        <f>IFERROR(VLOOKUP(BG1305,#REF!,1,0),"")</f>
        <v/>
      </c>
      <c r="AS1305" s="259" t="s">
        <v>3189</v>
      </c>
      <c r="AW1305" s="392" t="s">
        <v>3958</v>
      </c>
      <c r="BD1305" s="202" t="str">
        <f t="shared" si="191"/>
        <v xml:space="preserve">X Series X5x5 xDrive 30d M Sport Package </v>
      </c>
      <c r="BE1305" s="261" t="str">
        <f t="shared" si="197"/>
        <v>0220</v>
      </c>
      <c r="BF1305" s="407" t="s">
        <v>1817</v>
      </c>
      <c r="BG1305" s="202" t="str">
        <f t="shared" si="192"/>
        <v>0220-1304</v>
      </c>
    </row>
    <row r="1306" spans="1:59">
      <c r="A1306" s="405">
        <v>5080</v>
      </c>
      <c r="B1306" s="406">
        <v>5080</v>
      </c>
      <c r="C1306" s="261" t="str">
        <f t="shared" si="193"/>
        <v>0008-0220</v>
      </c>
      <c r="D1306" s="261" t="str">
        <f t="shared" si="194"/>
        <v>0008-0220-0002</v>
      </c>
      <c r="E1306" s="407" t="s">
        <v>1818</v>
      </c>
      <c r="F1306" s="261" t="str">
        <f>TEXT(VLOOKUP(J1306,'[3]1'!$B$2:$D$37,2,0),"0000")</f>
        <v>0008</v>
      </c>
      <c r="G1306" s="261" t="str">
        <f t="shared" si="195"/>
        <v>0220</v>
      </c>
      <c r="H1306" s="408">
        <f t="shared" si="196"/>
        <v>2</v>
      </c>
      <c r="I1306" s="407" t="s">
        <v>1818</v>
      </c>
      <c r="J1306" s="258" t="s">
        <v>184</v>
      </c>
      <c r="K1306" s="258" t="s">
        <v>186</v>
      </c>
      <c r="L1306" s="258" t="s">
        <v>2060</v>
      </c>
      <c r="M1306" s="429">
        <v>103300000</v>
      </c>
      <c r="N1306" s="258">
        <v>2993</v>
      </c>
      <c r="O1306" s="258" t="s">
        <v>78</v>
      </c>
      <c r="P1306" s="258" t="s">
        <v>73</v>
      </c>
      <c r="Q1306" s="258" t="s">
        <v>72</v>
      </c>
      <c r="R1306" s="258">
        <v>7</v>
      </c>
      <c r="S1306" s="410">
        <v>1</v>
      </c>
      <c r="T1306" s="261">
        <v>6</v>
      </c>
      <c r="U1306" s="261">
        <v>6</v>
      </c>
      <c r="V1306" s="258" t="s">
        <v>71</v>
      </c>
      <c r="W1306" s="261" t="str">
        <f t="shared" si="198"/>
        <v>BMWX Series X5x5 xDrive 30d xLine(7인승)103300000</v>
      </c>
      <c r="X1306" s="411">
        <f t="shared" si="199"/>
        <v>5080</v>
      </c>
      <c r="Y1306" s="261">
        <v>6</v>
      </c>
      <c r="Z1306" s="261">
        <v>6</v>
      </c>
      <c r="AA1306" s="407" t="s">
        <v>1818</v>
      </c>
      <c r="AB1306" s="258" t="s">
        <v>70</v>
      </c>
      <c r="AC1306" s="258"/>
      <c r="AD1306" s="258">
        <v>2</v>
      </c>
      <c r="AE1306" s="258">
        <v>2</v>
      </c>
      <c r="AF1306" s="259"/>
      <c r="AG1306" s="260"/>
      <c r="AH1306" s="259"/>
      <c r="AI1306" s="259"/>
      <c r="AJ1306" s="260"/>
      <c r="AK1306" s="259">
        <v>4</v>
      </c>
      <c r="AL1306" s="259"/>
      <c r="AM1306" s="259" t="s">
        <v>3957</v>
      </c>
      <c r="AN1306" s="449"/>
      <c r="AO1306" s="449"/>
      <c r="AP1306" s="449"/>
      <c r="AQ1306" s="392" t="str">
        <f>IFERROR(VLOOKUP(BG1306,#REF!,1,0),"")</f>
        <v/>
      </c>
      <c r="AS1306" s="259" t="s">
        <v>3189</v>
      </c>
      <c r="AW1306" s="392" t="s">
        <v>3958</v>
      </c>
      <c r="BD1306" s="202" t="str">
        <f t="shared" si="191"/>
        <v>X Series X5x5 xDrive 30d xLine(7인승)</v>
      </c>
      <c r="BE1306" s="261" t="str">
        <f t="shared" si="197"/>
        <v>0220</v>
      </c>
      <c r="BF1306" s="407" t="s">
        <v>1818</v>
      </c>
      <c r="BG1306" s="202" t="str">
        <f t="shared" si="192"/>
        <v>0220-1305</v>
      </c>
    </row>
    <row r="1307" spans="1:59">
      <c r="A1307" s="405">
        <v>5081</v>
      </c>
      <c r="B1307" s="406">
        <v>5081</v>
      </c>
      <c r="C1307" s="261" t="str">
        <f t="shared" si="193"/>
        <v>0008-0220</v>
      </c>
      <c r="D1307" s="261" t="str">
        <f t="shared" si="194"/>
        <v>0008-0220-0003</v>
      </c>
      <c r="E1307" s="407" t="s">
        <v>1819</v>
      </c>
      <c r="F1307" s="261" t="str">
        <f>TEXT(VLOOKUP(J1307,'[3]1'!$B$2:$D$37,2,0),"0000")</f>
        <v>0008</v>
      </c>
      <c r="G1307" s="261" t="str">
        <f t="shared" si="195"/>
        <v>0220</v>
      </c>
      <c r="H1307" s="408">
        <f t="shared" si="196"/>
        <v>3</v>
      </c>
      <c r="I1307" s="407" t="s">
        <v>1819</v>
      </c>
      <c r="J1307" s="258" t="s">
        <v>184</v>
      </c>
      <c r="K1307" s="258" t="s">
        <v>186</v>
      </c>
      <c r="L1307" s="258" t="s">
        <v>3740</v>
      </c>
      <c r="M1307" s="429">
        <v>116000000</v>
      </c>
      <c r="N1307" s="258">
        <v>2998</v>
      </c>
      <c r="O1307" s="258" t="s">
        <v>77</v>
      </c>
      <c r="P1307" s="258" t="s">
        <v>73</v>
      </c>
      <c r="Q1307" s="258" t="s">
        <v>72</v>
      </c>
      <c r="R1307" s="258">
        <v>5</v>
      </c>
      <c r="S1307" s="410">
        <v>4</v>
      </c>
      <c r="T1307" s="261">
        <v>6</v>
      </c>
      <c r="U1307" s="261">
        <v>6</v>
      </c>
      <c r="V1307" s="258" t="s">
        <v>1969</v>
      </c>
      <c r="W1307" s="261" t="str">
        <f t="shared" si="198"/>
        <v>BMWX Series X5x5 xDrive 40i m sport116000000</v>
      </c>
      <c r="X1307" s="411">
        <f t="shared" si="199"/>
        <v>5081</v>
      </c>
      <c r="Y1307" s="261">
        <v>6</v>
      </c>
      <c r="Z1307" s="261">
        <v>6</v>
      </c>
      <c r="AA1307" s="407" t="s">
        <v>1819</v>
      </c>
      <c r="AB1307" s="267" t="s">
        <v>70</v>
      </c>
      <c r="AC1307" s="267"/>
      <c r="AD1307" s="267">
        <v>5</v>
      </c>
      <c r="AE1307" s="267">
        <v>2</v>
      </c>
      <c r="AF1307" s="270"/>
      <c r="AG1307" s="307"/>
      <c r="AH1307" s="270"/>
      <c r="AI1307" s="270"/>
      <c r="AJ1307" s="307"/>
      <c r="AK1307" s="259">
        <v>4</v>
      </c>
      <c r="AL1307" s="259"/>
      <c r="AM1307" s="259" t="s">
        <v>3957</v>
      </c>
      <c r="AN1307" s="449"/>
      <c r="AO1307" s="449"/>
      <c r="AP1307" s="449"/>
      <c r="AQ1307" s="392" t="str">
        <f>IFERROR(VLOOKUP(BG1307,#REF!,1,0),"")</f>
        <v/>
      </c>
      <c r="AS1307" s="259" t="s">
        <v>3226</v>
      </c>
      <c r="AW1307" s="392" t="s">
        <v>3958</v>
      </c>
      <c r="BD1307" s="202" t="str">
        <f t="shared" si="191"/>
        <v>X Series X5x5 xDrive 40i m sport</v>
      </c>
      <c r="BE1307" s="261" t="str">
        <f t="shared" si="197"/>
        <v>0220</v>
      </c>
      <c r="BF1307" s="407" t="s">
        <v>1819</v>
      </c>
      <c r="BG1307" s="202" t="str">
        <f t="shared" si="192"/>
        <v>0220-1306</v>
      </c>
    </row>
    <row r="1308" spans="1:59">
      <c r="A1308" s="405">
        <v>5082</v>
      </c>
      <c r="B1308" s="406">
        <v>5082</v>
      </c>
      <c r="C1308" s="261" t="str">
        <f t="shared" si="193"/>
        <v>0008-0220</v>
      </c>
      <c r="D1308" s="261" t="str">
        <f t="shared" si="194"/>
        <v>0008-0220-0004</v>
      </c>
      <c r="E1308" s="407" t="s">
        <v>1820</v>
      </c>
      <c r="F1308" s="261" t="str">
        <f>TEXT(VLOOKUP(J1308,'[3]1'!$B$2:$D$37,2,0),"0000")</f>
        <v>0008</v>
      </c>
      <c r="G1308" s="261" t="str">
        <f t="shared" si="195"/>
        <v>0220</v>
      </c>
      <c r="H1308" s="408">
        <f t="shared" si="196"/>
        <v>4</v>
      </c>
      <c r="I1308" s="407" t="s">
        <v>1820</v>
      </c>
      <c r="J1308" s="258" t="s">
        <v>184</v>
      </c>
      <c r="K1308" s="258" t="s">
        <v>186</v>
      </c>
      <c r="L1308" s="258" t="s">
        <v>1970</v>
      </c>
      <c r="M1308" s="429">
        <v>106900000</v>
      </c>
      <c r="N1308" s="258">
        <v>2998</v>
      </c>
      <c r="O1308" s="258" t="s">
        <v>77</v>
      </c>
      <c r="P1308" s="258" t="s">
        <v>73</v>
      </c>
      <c r="Q1308" s="258" t="s">
        <v>72</v>
      </c>
      <c r="R1308" s="258">
        <v>5</v>
      </c>
      <c r="S1308" s="410">
        <v>4</v>
      </c>
      <c r="T1308" s="261">
        <v>6</v>
      </c>
      <c r="U1308" s="261">
        <v>6</v>
      </c>
      <c r="V1308" s="258" t="s">
        <v>1969</v>
      </c>
      <c r="W1308" s="261" t="str">
        <f t="shared" si="198"/>
        <v>BMWX Series X5x5 xDrive 40i xLine106900000</v>
      </c>
      <c r="X1308" s="411">
        <f t="shared" si="199"/>
        <v>5082</v>
      </c>
      <c r="Y1308" s="261">
        <v>6</v>
      </c>
      <c r="Z1308" s="261">
        <v>6</v>
      </c>
      <c r="AA1308" s="407" t="s">
        <v>1820</v>
      </c>
      <c r="AB1308" s="267" t="s">
        <v>70</v>
      </c>
      <c r="AC1308" s="267"/>
      <c r="AD1308" s="267">
        <v>5</v>
      </c>
      <c r="AE1308" s="267">
        <v>2</v>
      </c>
      <c r="AF1308" s="270"/>
      <c r="AG1308" s="307"/>
      <c r="AH1308" s="270"/>
      <c r="AI1308" s="270"/>
      <c r="AJ1308" s="307"/>
      <c r="AK1308" s="259">
        <v>4</v>
      </c>
      <c r="AL1308" s="259"/>
      <c r="AM1308" s="259" t="s">
        <v>3957</v>
      </c>
      <c r="AN1308" s="449"/>
      <c r="AO1308" s="449"/>
      <c r="AP1308" s="449"/>
      <c r="AQ1308" s="392" t="str">
        <f>IFERROR(VLOOKUP(BG1308,#REF!,1,0),"")</f>
        <v/>
      </c>
      <c r="AS1308" s="259" t="s">
        <v>3226</v>
      </c>
      <c r="AW1308" s="392" t="s">
        <v>3958</v>
      </c>
      <c r="BD1308" s="202" t="str">
        <f t="shared" si="191"/>
        <v>X Series X5x5 xDrive 40i xLine</v>
      </c>
      <c r="BE1308" s="261" t="str">
        <f t="shared" si="197"/>
        <v>0220</v>
      </c>
      <c r="BF1308" s="407" t="s">
        <v>1820</v>
      </c>
      <c r="BG1308" s="202" t="str">
        <f t="shared" si="192"/>
        <v>0220-1307</v>
      </c>
    </row>
    <row r="1309" spans="1:59">
      <c r="A1309" s="405">
        <v>5083</v>
      </c>
      <c r="B1309" s="406">
        <v>5083</v>
      </c>
      <c r="C1309" s="261" t="str">
        <f t="shared" si="193"/>
        <v>0008-0220</v>
      </c>
      <c r="D1309" s="261" t="str">
        <f t="shared" si="194"/>
        <v>0008-0220-0005</v>
      </c>
      <c r="E1309" s="407" t="s">
        <v>1821</v>
      </c>
      <c r="F1309" s="261" t="str">
        <f>TEXT(VLOOKUP(J1309,'[3]1'!$B$2:$D$37,2,0),"0000")</f>
        <v>0008</v>
      </c>
      <c r="G1309" s="261" t="str">
        <f t="shared" si="195"/>
        <v>0220</v>
      </c>
      <c r="H1309" s="408">
        <f t="shared" si="196"/>
        <v>5</v>
      </c>
      <c r="I1309" s="407" t="s">
        <v>1821</v>
      </c>
      <c r="J1309" s="258" t="s">
        <v>184</v>
      </c>
      <c r="K1309" s="258" t="s">
        <v>186</v>
      </c>
      <c r="L1309" s="258" t="s">
        <v>3185</v>
      </c>
      <c r="M1309" s="429">
        <v>113600000</v>
      </c>
      <c r="N1309" s="258">
        <v>2998</v>
      </c>
      <c r="O1309" s="258" t="s">
        <v>77</v>
      </c>
      <c r="P1309" s="258" t="s">
        <v>73</v>
      </c>
      <c r="Q1309" s="258" t="s">
        <v>72</v>
      </c>
      <c r="R1309" s="258">
        <v>7</v>
      </c>
      <c r="S1309" s="410">
        <v>4</v>
      </c>
      <c r="T1309" s="261">
        <v>6</v>
      </c>
      <c r="U1309" s="261">
        <v>6</v>
      </c>
      <c r="V1309" s="258" t="s">
        <v>1969</v>
      </c>
      <c r="W1309" s="261" t="str">
        <f t="shared" si="198"/>
        <v>BMWX Series X5x5 xDrive 40i xLine (7인승)113600000</v>
      </c>
      <c r="X1309" s="411">
        <f t="shared" si="199"/>
        <v>5083</v>
      </c>
      <c r="Y1309" s="261">
        <v>6</v>
      </c>
      <c r="Z1309" s="261">
        <v>6</v>
      </c>
      <c r="AA1309" s="407" t="s">
        <v>1821</v>
      </c>
      <c r="AB1309" s="267" t="s">
        <v>70</v>
      </c>
      <c r="AC1309" s="267"/>
      <c r="AD1309" s="267">
        <v>5</v>
      </c>
      <c r="AE1309" s="267">
        <v>2</v>
      </c>
      <c r="AF1309" s="270"/>
      <c r="AG1309" s="307"/>
      <c r="AH1309" s="270"/>
      <c r="AI1309" s="270"/>
      <c r="AJ1309" s="307"/>
      <c r="AK1309" s="259">
        <v>4</v>
      </c>
      <c r="AL1309" s="259"/>
      <c r="AM1309" s="259" t="s">
        <v>3957</v>
      </c>
      <c r="AN1309" s="449"/>
      <c r="AO1309" s="449"/>
      <c r="AP1309" s="449"/>
      <c r="AQ1309" s="392" t="str">
        <f>IFERROR(VLOOKUP(BG1309,#REF!,1,0),"")</f>
        <v/>
      </c>
      <c r="AS1309" s="259" t="s">
        <v>3226</v>
      </c>
      <c r="AT1309" s="392" t="s">
        <v>3184</v>
      </c>
      <c r="AW1309" s="392" t="s">
        <v>3958</v>
      </c>
      <c r="BD1309" s="202" t="str">
        <f t="shared" si="191"/>
        <v>X Series X5x5 xDrive 40i xLine (7인승)</v>
      </c>
      <c r="BE1309" s="261" t="str">
        <f t="shared" si="197"/>
        <v>0220</v>
      </c>
      <c r="BF1309" s="407" t="s">
        <v>1821</v>
      </c>
      <c r="BG1309" s="202" t="str">
        <f t="shared" si="192"/>
        <v>0220-1308</v>
      </c>
    </row>
    <row r="1310" spans="1:59">
      <c r="A1310" s="405">
        <v>5084</v>
      </c>
      <c r="B1310" s="406">
        <v>5084</v>
      </c>
      <c r="C1310" s="261" t="str">
        <f t="shared" si="193"/>
        <v>0008-0220</v>
      </c>
      <c r="D1310" s="261" t="str">
        <f t="shared" si="194"/>
        <v>0008-0220-0006</v>
      </c>
      <c r="E1310" s="407" t="s">
        <v>1822</v>
      </c>
      <c r="F1310" s="261" t="str">
        <f>TEXT(VLOOKUP(J1310,'[3]1'!$B$2:$D$37,2,0),"0000")</f>
        <v>0008</v>
      </c>
      <c r="G1310" s="261" t="str">
        <f t="shared" si="195"/>
        <v>0220</v>
      </c>
      <c r="H1310" s="408">
        <f t="shared" si="196"/>
        <v>6</v>
      </c>
      <c r="I1310" s="407" t="s">
        <v>1822</v>
      </c>
      <c r="J1310" s="258" t="s">
        <v>184</v>
      </c>
      <c r="K1310" s="258" t="s">
        <v>186</v>
      </c>
      <c r="L1310" s="258" t="s">
        <v>3741</v>
      </c>
      <c r="M1310" s="429">
        <v>113600000</v>
      </c>
      <c r="N1310" s="258">
        <v>2993</v>
      </c>
      <c r="O1310" s="258" t="s">
        <v>1961</v>
      </c>
      <c r="P1310" s="258" t="s">
        <v>73</v>
      </c>
      <c r="Q1310" s="258" t="s">
        <v>72</v>
      </c>
      <c r="R1310" s="258">
        <v>5</v>
      </c>
      <c r="S1310" s="410">
        <v>4</v>
      </c>
      <c r="T1310" s="261">
        <v>6</v>
      </c>
      <c r="U1310" s="261">
        <v>6</v>
      </c>
      <c r="V1310" s="258" t="s">
        <v>1969</v>
      </c>
      <c r="W1310" s="261" t="str">
        <f t="shared" si="198"/>
        <v>BMWX Series X5x5 xDrive 40d M스포츠 프로113600000</v>
      </c>
      <c r="X1310" s="411">
        <f t="shared" si="199"/>
        <v>5084</v>
      </c>
      <c r="Y1310" s="261">
        <v>6</v>
      </c>
      <c r="Z1310" s="261">
        <v>6</v>
      </c>
      <c r="AA1310" s="407" t="s">
        <v>1822</v>
      </c>
      <c r="AB1310" s="267" t="s">
        <v>70</v>
      </c>
      <c r="AC1310" s="267"/>
      <c r="AD1310" s="267">
        <v>5</v>
      </c>
      <c r="AE1310" s="267">
        <v>2</v>
      </c>
      <c r="AF1310" s="270"/>
      <c r="AG1310" s="307"/>
      <c r="AH1310" s="270"/>
      <c r="AI1310" s="270"/>
      <c r="AJ1310" s="307"/>
      <c r="AK1310" s="259">
        <v>4</v>
      </c>
      <c r="AL1310" s="259"/>
      <c r="AM1310" s="259" t="s">
        <v>3957</v>
      </c>
      <c r="AN1310" s="449"/>
      <c r="AO1310" s="449"/>
      <c r="AP1310" s="449"/>
      <c r="AQ1310" s="392" t="str">
        <f>IFERROR(VLOOKUP(BG1310,#REF!,1,0),"")</f>
        <v/>
      </c>
      <c r="AS1310" s="259" t="s">
        <v>3226</v>
      </c>
      <c r="AT1310" s="392" t="s">
        <v>3179</v>
      </c>
      <c r="AW1310" s="392" t="s">
        <v>3958</v>
      </c>
      <c r="BD1310" s="202" t="str">
        <f t="shared" si="191"/>
        <v>X Series X5x5 xDrive 40d M스포츠 프로</v>
      </c>
      <c r="BE1310" s="261" t="str">
        <f t="shared" si="197"/>
        <v>0220</v>
      </c>
      <c r="BF1310" s="407" t="s">
        <v>1822</v>
      </c>
      <c r="BG1310" s="202" t="str">
        <f t="shared" si="192"/>
        <v>0220-1309</v>
      </c>
    </row>
    <row r="1311" spans="1:59">
      <c r="A1311" s="405">
        <v>5085</v>
      </c>
      <c r="B1311" s="406">
        <v>5085</v>
      </c>
      <c r="C1311" s="261" t="str">
        <f t="shared" si="193"/>
        <v>0008-0220</v>
      </c>
      <c r="D1311" s="261" t="str">
        <f t="shared" si="194"/>
        <v>0008-0220-0007</v>
      </c>
      <c r="E1311" s="407" t="s">
        <v>1823</v>
      </c>
      <c r="F1311" s="261" t="str">
        <f>TEXT(VLOOKUP(J1311,'[3]1'!$B$2:$D$37,2,0),"0000")</f>
        <v>0008</v>
      </c>
      <c r="G1311" s="261" t="str">
        <f t="shared" si="195"/>
        <v>0220</v>
      </c>
      <c r="H1311" s="408">
        <f t="shared" si="196"/>
        <v>7</v>
      </c>
      <c r="I1311" s="407" t="s">
        <v>1823</v>
      </c>
      <c r="J1311" s="258" t="s">
        <v>184</v>
      </c>
      <c r="K1311" s="258" t="s">
        <v>186</v>
      </c>
      <c r="L1311" s="258" t="s">
        <v>3742</v>
      </c>
      <c r="M1311" s="429">
        <v>113600000</v>
      </c>
      <c r="N1311" s="258">
        <v>2993</v>
      </c>
      <c r="O1311" s="258" t="s">
        <v>1961</v>
      </c>
      <c r="P1311" s="258" t="s">
        <v>73</v>
      </c>
      <c r="Q1311" s="258" t="s">
        <v>72</v>
      </c>
      <c r="R1311" s="258">
        <v>5</v>
      </c>
      <c r="S1311" s="410">
        <v>4</v>
      </c>
      <c r="T1311" s="261">
        <v>6</v>
      </c>
      <c r="U1311" s="261">
        <v>6</v>
      </c>
      <c r="V1311" s="258" t="s">
        <v>1969</v>
      </c>
      <c r="W1311" s="261" t="str">
        <f t="shared" si="198"/>
        <v>BMWX Series X5x5 xDrive 40d M스포츠 프로 LCI113600000</v>
      </c>
      <c r="X1311" s="411">
        <f t="shared" si="199"/>
        <v>5085</v>
      </c>
      <c r="Y1311" s="261">
        <v>6</v>
      </c>
      <c r="Z1311" s="261">
        <v>6</v>
      </c>
      <c r="AA1311" s="407" t="s">
        <v>1823</v>
      </c>
      <c r="AB1311" s="267" t="s">
        <v>70</v>
      </c>
      <c r="AC1311" s="267"/>
      <c r="AD1311" s="267">
        <v>5</v>
      </c>
      <c r="AE1311" s="267">
        <v>2</v>
      </c>
      <c r="AF1311" s="270"/>
      <c r="AG1311" s="307"/>
      <c r="AH1311" s="270"/>
      <c r="AI1311" s="270"/>
      <c r="AJ1311" s="307"/>
      <c r="AK1311" s="259">
        <v>4</v>
      </c>
      <c r="AL1311" s="259"/>
      <c r="AM1311" s="259" t="s">
        <v>3957</v>
      </c>
      <c r="AN1311" s="449"/>
      <c r="AO1311" s="449"/>
      <c r="AP1311" s="449"/>
      <c r="AQ1311" s="392" t="str">
        <f>IFERROR(VLOOKUP(BG1311,#REF!,1,0),"")</f>
        <v/>
      </c>
      <c r="AS1311" s="259" t="s">
        <v>3226</v>
      </c>
      <c r="AT1311" s="392" t="s">
        <v>3179</v>
      </c>
      <c r="AW1311" s="392" t="s">
        <v>3958</v>
      </c>
      <c r="BD1311" s="202" t="str">
        <f t="shared" si="191"/>
        <v>X Series X5x5 xDrive 40d M스포츠 프로 LCI</v>
      </c>
      <c r="BE1311" s="261" t="str">
        <f t="shared" si="197"/>
        <v>0220</v>
      </c>
      <c r="BF1311" s="407" t="s">
        <v>1823</v>
      </c>
      <c r="BG1311" s="202" t="str">
        <f t="shared" si="192"/>
        <v>0220-1310</v>
      </c>
    </row>
    <row r="1312" spans="1:59">
      <c r="A1312" s="405">
        <v>5086</v>
      </c>
      <c r="B1312" s="406">
        <v>5086</v>
      </c>
      <c r="C1312" s="261" t="str">
        <f t="shared" si="193"/>
        <v>0008-0220</v>
      </c>
      <c r="D1312" s="261" t="str">
        <f t="shared" si="194"/>
        <v>0008-0220-0008</v>
      </c>
      <c r="E1312" s="407" t="s">
        <v>1824</v>
      </c>
      <c r="F1312" s="261" t="str">
        <f>TEXT(VLOOKUP(J1312,'[3]1'!$B$2:$D$37,2,0),"0000")</f>
        <v>0008</v>
      </c>
      <c r="G1312" s="261" t="str">
        <f t="shared" si="195"/>
        <v>0220</v>
      </c>
      <c r="H1312" s="408">
        <f t="shared" si="196"/>
        <v>8</v>
      </c>
      <c r="I1312" s="407" t="s">
        <v>1824</v>
      </c>
      <c r="J1312" s="258" t="s">
        <v>184</v>
      </c>
      <c r="K1312" s="258" t="s">
        <v>186</v>
      </c>
      <c r="L1312" s="258" t="s">
        <v>3488</v>
      </c>
      <c r="M1312" s="429">
        <v>121720000</v>
      </c>
      <c r="N1312" s="258">
        <v>2998</v>
      </c>
      <c r="O1312" s="258" t="s">
        <v>74</v>
      </c>
      <c r="P1312" s="258" t="s">
        <v>73</v>
      </c>
      <c r="Q1312" s="258" t="s">
        <v>72</v>
      </c>
      <c r="R1312" s="258">
        <v>5</v>
      </c>
      <c r="S1312" s="410">
        <v>17</v>
      </c>
      <c r="T1312" s="261">
        <v>6</v>
      </c>
      <c r="U1312" s="261">
        <v>6</v>
      </c>
      <c r="V1312" s="258" t="s">
        <v>1969</v>
      </c>
      <c r="W1312" s="261" t="str">
        <f t="shared" si="198"/>
        <v>BMWX Series X5xDrive50e LCI xLine121720000</v>
      </c>
      <c r="X1312" s="411">
        <f t="shared" si="199"/>
        <v>5086</v>
      </c>
      <c r="Y1312" s="261">
        <v>6</v>
      </c>
      <c r="Z1312" s="261">
        <v>6</v>
      </c>
      <c r="AA1312" s="407" t="s">
        <v>1824</v>
      </c>
      <c r="AB1312" s="258" t="s">
        <v>70</v>
      </c>
      <c r="AC1312" s="258"/>
      <c r="AD1312" s="258">
        <v>5</v>
      </c>
      <c r="AE1312" s="258">
        <v>0</v>
      </c>
      <c r="AF1312" s="259"/>
      <c r="AG1312" s="260"/>
      <c r="AH1312" s="259"/>
      <c r="AI1312" s="259"/>
      <c r="AJ1312" s="260"/>
      <c r="AK1312" s="259">
        <v>4</v>
      </c>
      <c r="AL1312" s="259"/>
      <c r="AM1312" s="259" t="s">
        <v>3957</v>
      </c>
      <c r="AN1312" s="449"/>
      <c r="AO1312" s="449"/>
      <c r="AP1312" s="449"/>
      <c r="AQ1312" s="392" t="str">
        <f>IFERROR(VLOOKUP(BG1312,#REF!,1,0),"")</f>
        <v/>
      </c>
      <c r="AS1312" s="259" t="s">
        <v>1994</v>
      </c>
      <c r="AU1312" s="392" t="s">
        <v>3489</v>
      </c>
      <c r="AW1312" s="392" t="s">
        <v>3958</v>
      </c>
      <c r="AX1312" s="392">
        <v>2024.02</v>
      </c>
      <c r="BC1312" s="202" t="s">
        <v>3367</v>
      </c>
      <c r="BD1312" s="202" t="str">
        <f t="shared" si="191"/>
        <v>X Series X5xDrive50e LCI xLine</v>
      </c>
      <c r="BE1312" s="261" t="str">
        <f t="shared" si="197"/>
        <v>0220</v>
      </c>
      <c r="BF1312" s="407" t="s">
        <v>1824</v>
      </c>
      <c r="BG1312" s="202" t="str">
        <f t="shared" si="192"/>
        <v>0220-1311</v>
      </c>
    </row>
    <row r="1313" spans="1:59">
      <c r="A1313" s="405">
        <v>5087</v>
      </c>
      <c r="B1313" s="406">
        <v>5087</v>
      </c>
      <c r="C1313" s="261" t="str">
        <f t="shared" si="193"/>
        <v>0008-0220</v>
      </c>
      <c r="D1313" s="261" t="str">
        <f t="shared" si="194"/>
        <v>0008-0220-0009</v>
      </c>
      <c r="E1313" s="407" t="s">
        <v>1825</v>
      </c>
      <c r="F1313" s="261" t="str">
        <f>TEXT(VLOOKUP(J1313,'[3]1'!$B$2:$D$37,2,0),"0000")</f>
        <v>0008</v>
      </c>
      <c r="G1313" s="261" t="str">
        <f t="shared" si="195"/>
        <v>0220</v>
      </c>
      <c r="H1313" s="408">
        <f t="shared" si="196"/>
        <v>9</v>
      </c>
      <c r="I1313" s="407" t="s">
        <v>1825</v>
      </c>
      <c r="J1313" s="258" t="s">
        <v>184</v>
      </c>
      <c r="K1313" s="258" t="s">
        <v>186</v>
      </c>
      <c r="L1313" s="258" t="s">
        <v>3490</v>
      </c>
      <c r="M1313" s="429">
        <v>113220000</v>
      </c>
      <c r="N1313" s="258">
        <v>2998</v>
      </c>
      <c r="O1313" s="258" t="s">
        <v>74</v>
      </c>
      <c r="P1313" s="258" t="s">
        <v>73</v>
      </c>
      <c r="Q1313" s="258" t="s">
        <v>72</v>
      </c>
      <c r="R1313" s="258">
        <v>5</v>
      </c>
      <c r="S1313" s="410">
        <v>17</v>
      </c>
      <c r="T1313" s="261">
        <v>6</v>
      </c>
      <c r="U1313" s="261">
        <v>6</v>
      </c>
      <c r="V1313" s="258" t="s">
        <v>1969</v>
      </c>
      <c r="W1313" s="261" t="str">
        <f t="shared" si="198"/>
        <v>BMWX Series X5xDrive50e LCI M Sport Package Pro113220000</v>
      </c>
      <c r="X1313" s="411">
        <f t="shared" si="199"/>
        <v>5087</v>
      </c>
      <c r="Y1313" s="261">
        <v>6</v>
      </c>
      <c r="Z1313" s="261">
        <v>6</v>
      </c>
      <c r="AA1313" s="407" t="s">
        <v>1825</v>
      </c>
      <c r="AB1313" s="258" t="s">
        <v>70</v>
      </c>
      <c r="AC1313" s="258"/>
      <c r="AD1313" s="258">
        <v>5</v>
      </c>
      <c r="AE1313" s="258">
        <v>0</v>
      </c>
      <c r="AF1313" s="259"/>
      <c r="AG1313" s="260"/>
      <c r="AH1313" s="259"/>
      <c r="AI1313" s="259"/>
      <c r="AJ1313" s="260"/>
      <c r="AK1313" s="259">
        <v>4</v>
      </c>
      <c r="AL1313" s="259"/>
      <c r="AM1313" s="259" t="s">
        <v>3957</v>
      </c>
      <c r="AN1313" s="449"/>
      <c r="AO1313" s="449"/>
      <c r="AP1313" s="449"/>
      <c r="AQ1313" s="392" t="str">
        <f>IFERROR(VLOOKUP(BG1313,#REF!,1,0),"")</f>
        <v/>
      </c>
      <c r="AS1313" s="259" t="s">
        <v>1994</v>
      </c>
      <c r="AU1313" s="392" t="s">
        <v>3489</v>
      </c>
      <c r="AW1313" s="392" t="s">
        <v>3958</v>
      </c>
      <c r="AX1313" s="392">
        <v>2024.02</v>
      </c>
      <c r="BC1313" s="202" t="s">
        <v>3367</v>
      </c>
      <c r="BD1313" s="202" t="str">
        <f t="shared" si="191"/>
        <v>X Series X5xDrive50e LCI M Sport Package Pro</v>
      </c>
      <c r="BE1313" s="261" t="str">
        <f t="shared" si="197"/>
        <v>0220</v>
      </c>
      <c r="BF1313" s="407" t="s">
        <v>1825</v>
      </c>
      <c r="BG1313" s="202" t="str">
        <f t="shared" si="192"/>
        <v>0220-1312</v>
      </c>
    </row>
    <row r="1314" spans="1:59">
      <c r="A1314" s="405">
        <v>5088</v>
      </c>
      <c r="B1314" s="406">
        <v>5088</v>
      </c>
      <c r="C1314" s="261" t="str">
        <f t="shared" si="193"/>
        <v>0008-0220</v>
      </c>
      <c r="D1314" s="261" t="str">
        <f t="shared" si="194"/>
        <v>0008-0220-0010</v>
      </c>
      <c r="E1314" s="407" t="s">
        <v>1826</v>
      </c>
      <c r="F1314" s="261" t="str">
        <f>TEXT(VLOOKUP(J1314,'[3]1'!$B$2:$D$37,2,0),"0000")</f>
        <v>0008</v>
      </c>
      <c r="G1314" s="261" t="str">
        <f t="shared" si="195"/>
        <v>0220</v>
      </c>
      <c r="H1314" s="408">
        <f t="shared" si="196"/>
        <v>10</v>
      </c>
      <c r="I1314" s="407" t="s">
        <v>1826</v>
      </c>
      <c r="J1314" s="258" t="s">
        <v>184</v>
      </c>
      <c r="K1314" s="258" t="s">
        <v>186</v>
      </c>
      <c r="L1314" s="258" t="s">
        <v>3491</v>
      </c>
      <c r="M1314" s="429">
        <v>113220000</v>
      </c>
      <c r="N1314" s="258">
        <v>2998</v>
      </c>
      <c r="O1314" s="258" t="s">
        <v>74</v>
      </c>
      <c r="P1314" s="258" t="s">
        <v>73</v>
      </c>
      <c r="Q1314" s="258" t="s">
        <v>72</v>
      </c>
      <c r="R1314" s="258">
        <v>5</v>
      </c>
      <c r="S1314" s="410">
        <v>17</v>
      </c>
      <c r="T1314" s="261">
        <v>6</v>
      </c>
      <c r="U1314" s="261">
        <v>6</v>
      </c>
      <c r="V1314" s="258" t="s">
        <v>1969</v>
      </c>
      <c r="W1314" s="261" t="str">
        <f t="shared" si="198"/>
        <v>BMWX Series X550e xDrive xLine LCI (P1)113220000</v>
      </c>
      <c r="X1314" s="411">
        <f t="shared" si="199"/>
        <v>5088</v>
      </c>
      <c r="Y1314" s="261">
        <v>6</v>
      </c>
      <c r="Z1314" s="261">
        <v>6</v>
      </c>
      <c r="AA1314" s="407" t="s">
        <v>1826</v>
      </c>
      <c r="AB1314" s="258" t="s">
        <v>70</v>
      </c>
      <c r="AC1314" s="258"/>
      <c r="AD1314" s="258">
        <v>5</v>
      </c>
      <c r="AE1314" s="258">
        <v>0</v>
      </c>
      <c r="AF1314" s="259"/>
      <c r="AG1314" s="260"/>
      <c r="AH1314" s="259"/>
      <c r="AI1314" s="259"/>
      <c r="AJ1314" s="260"/>
      <c r="AK1314" s="259">
        <v>4</v>
      </c>
      <c r="AL1314" s="259"/>
      <c r="AM1314" s="259" t="s">
        <v>3957</v>
      </c>
      <c r="AN1314" s="449"/>
      <c r="AO1314" s="449"/>
      <c r="AP1314" s="449"/>
      <c r="AQ1314" s="392" t="str">
        <f>IFERROR(VLOOKUP(BG1314,#REF!,1,0),"")</f>
        <v/>
      </c>
      <c r="AS1314" s="259" t="s">
        <v>3339</v>
      </c>
      <c r="AT1314" s="392">
        <v>2024.01</v>
      </c>
      <c r="AW1314" s="392" t="s">
        <v>3958</v>
      </c>
      <c r="BD1314" s="202" t="str">
        <f t="shared" si="191"/>
        <v>X Series X550e xDrive xLine LCI (P1)</v>
      </c>
      <c r="BE1314" s="261" t="str">
        <f t="shared" si="197"/>
        <v>0220</v>
      </c>
      <c r="BF1314" s="407" t="s">
        <v>1826</v>
      </c>
      <c r="BG1314" s="202" t="str">
        <f t="shared" si="192"/>
        <v>0220-1313</v>
      </c>
    </row>
    <row r="1315" spans="1:59">
      <c r="A1315" s="405">
        <v>5089</v>
      </c>
      <c r="B1315" s="406">
        <v>5089</v>
      </c>
      <c r="C1315" s="261" t="str">
        <f t="shared" si="193"/>
        <v>0008-0220</v>
      </c>
      <c r="D1315" s="261" t="str">
        <f t="shared" si="194"/>
        <v>0008-0220-0011</v>
      </c>
      <c r="E1315" s="407" t="s">
        <v>1827</v>
      </c>
      <c r="F1315" s="261" t="str">
        <f>TEXT(VLOOKUP(J1315,'[3]1'!$B$2:$D$37,2,0),"0000")</f>
        <v>0008</v>
      </c>
      <c r="G1315" s="261" t="str">
        <f t="shared" si="195"/>
        <v>0220</v>
      </c>
      <c r="H1315" s="408">
        <f t="shared" si="196"/>
        <v>11</v>
      </c>
      <c r="I1315" s="407" t="s">
        <v>1827</v>
      </c>
      <c r="J1315" s="260" t="s">
        <v>3152</v>
      </c>
      <c r="K1315" s="258" t="s">
        <v>186</v>
      </c>
      <c r="L1315" s="260" t="s">
        <v>3314</v>
      </c>
      <c r="M1315" s="429">
        <v>158000000</v>
      </c>
      <c r="N1315" s="260">
        <v>4395</v>
      </c>
      <c r="O1315" s="258" t="s">
        <v>77</v>
      </c>
      <c r="P1315" s="260" t="s">
        <v>73</v>
      </c>
      <c r="Q1315" s="260" t="s">
        <v>72</v>
      </c>
      <c r="R1315" s="260">
        <v>5</v>
      </c>
      <c r="S1315" s="410">
        <v>17</v>
      </c>
      <c r="T1315" s="261">
        <v>6</v>
      </c>
      <c r="U1315" s="261">
        <v>6</v>
      </c>
      <c r="V1315" s="260" t="s">
        <v>1969</v>
      </c>
      <c r="W1315" s="261" t="str">
        <f t="shared" si="198"/>
        <v>BMWX Series X5 M60i158000000</v>
      </c>
      <c r="X1315" s="411">
        <f t="shared" si="199"/>
        <v>5089</v>
      </c>
      <c r="Y1315" s="261">
        <v>6</v>
      </c>
      <c r="Z1315" s="261">
        <v>6</v>
      </c>
      <c r="AA1315" s="407" t="s">
        <v>1827</v>
      </c>
      <c r="AB1315" s="260" t="s">
        <v>70</v>
      </c>
      <c r="AC1315" s="260"/>
      <c r="AD1315" s="260"/>
      <c r="AE1315" s="260"/>
      <c r="AF1315" s="260"/>
      <c r="AG1315" s="260"/>
      <c r="AH1315" s="259"/>
      <c r="AI1315" s="260"/>
      <c r="AJ1315" s="260"/>
      <c r="AK1315" s="259">
        <v>14</v>
      </c>
      <c r="AL1315" s="259"/>
      <c r="AM1315" s="259" t="s">
        <v>3974</v>
      </c>
      <c r="AN1315" s="449"/>
      <c r="AO1315" s="449"/>
      <c r="AP1315" s="449"/>
      <c r="AQ1315" s="392" t="str">
        <f>IFERROR(VLOOKUP(BG1315,#REF!,1,0),"")</f>
        <v/>
      </c>
      <c r="AS1315" s="259" t="s">
        <v>3315</v>
      </c>
      <c r="AT1315" s="392" t="s">
        <v>3156</v>
      </c>
      <c r="AW1315" s="392" t="s">
        <v>3959</v>
      </c>
      <c r="BD1315" s="202" t="str">
        <f t="shared" si="191"/>
        <v>X Series X5 M60i</v>
      </c>
      <c r="BE1315" s="261" t="str">
        <f t="shared" si="197"/>
        <v>0220</v>
      </c>
      <c r="BF1315" s="407" t="s">
        <v>1827</v>
      </c>
      <c r="BG1315" s="202" t="str">
        <f t="shared" si="192"/>
        <v>0220-1314</v>
      </c>
    </row>
    <row r="1316" spans="1:59">
      <c r="A1316" s="405">
        <v>5090</v>
      </c>
      <c r="B1316" s="406">
        <v>5090</v>
      </c>
      <c r="C1316" s="261" t="str">
        <f t="shared" si="193"/>
        <v>0008-0221</v>
      </c>
      <c r="D1316" s="261" t="str">
        <f t="shared" si="194"/>
        <v>0008-0221-0001</v>
      </c>
      <c r="E1316" s="407" t="s">
        <v>1828</v>
      </c>
      <c r="F1316" s="261" t="str">
        <f>TEXT(VLOOKUP(J1316,'[3]1'!$B$2:$D$37,2,0),"0000")</f>
        <v>0008</v>
      </c>
      <c r="G1316" s="261" t="str">
        <f t="shared" si="195"/>
        <v>0221</v>
      </c>
      <c r="H1316" s="408">
        <f t="shared" si="196"/>
        <v>1</v>
      </c>
      <c r="I1316" s="407" t="s">
        <v>1828</v>
      </c>
      <c r="J1316" s="258" t="s">
        <v>184</v>
      </c>
      <c r="K1316" s="258" t="s">
        <v>185</v>
      </c>
      <c r="L1316" s="258" t="s">
        <v>3371</v>
      </c>
      <c r="M1316" s="429">
        <v>119300000</v>
      </c>
      <c r="N1316" s="258">
        <v>2993</v>
      </c>
      <c r="O1316" s="258" t="s">
        <v>78</v>
      </c>
      <c r="P1316" s="258" t="s">
        <v>73</v>
      </c>
      <c r="Q1316" s="258" t="s">
        <v>72</v>
      </c>
      <c r="R1316" s="258">
        <v>5</v>
      </c>
      <c r="S1316" s="410">
        <v>1</v>
      </c>
      <c r="T1316" s="261">
        <v>6</v>
      </c>
      <c r="U1316" s="261">
        <v>6</v>
      </c>
      <c r="V1316" s="258" t="s">
        <v>71</v>
      </c>
      <c r="W1316" s="261" t="str">
        <f t="shared" si="198"/>
        <v>BMWX Series X630d xDrive M Sport Package119300000</v>
      </c>
      <c r="X1316" s="411">
        <f t="shared" si="199"/>
        <v>5090</v>
      </c>
      <c r="Y1316" s="261">
        <v>6</v>
      </c>
      <c r="Z1316" s="261">
        <v>6</v>
      </c>
      <c r="AA1316" s="407" t="s">
        <v>1828</v>
      </c>
      <c r="AB1316" s="258" t="s">
        <v>70</v>
      </c>
      <c r="AC1316" s="258"/>
      <c r="AD1316" s="258">
        <v>2</v>
      </c>
      <c r="AE1316" s="258">
        <v>0</v>
      </c>
      <c r="AF1316" s="259"/>
      <c r="AG1316" s="260"/>
      <c r="AH1316" s="259"/>
      <c r="AI1316" s="259"/>
      <c r="AJ1316" s="260"/>
      <c r="AK1316" s="259">
        <v>4</v>
      </c>
      <c r="AL1316" s="259"/>
      <c r="AM1316" s="259" t="s">
        <v>3957</v>
      </c>
      <c r="AN1316" s="449"/>
      <c r="AO1316" s="449"/>
      <c r="AP1316" s="449"/>
      <c r="AQ1316" s="392" t="str">
        <f>IFERROR(VLOOKUP(BG1316,#REF!,1,0),"")</f>
        <v/>
      </c>
      <c r="AS1316" s="259" t="s">
        <v>3189</v>
      </c>
      <c r="AT1316" s="392">
        <v>2024.02</v>
      </c>
      <c r="AW1316" s="392" t="s">
        <v>3961</v>
      </c>
      <c r="BD1316" s="202" t="str">
        <f t="shared" si="191"/>
        <v>X Series X630d xDrive M Sport Package</v>
      </c>
      <c r="BE1316" s="261" t="str">
        <f t="shared" si="197"/>
        <v>0221</v>
      </c>
      <c r="BF1316" s="407" t="s">
        <v>1828</v>
      </c>
      <c r="BG1316" s="202" t="str">
        <f t="shared" si="192"/>
        <v>0221-1315</v>
      </c>
    </row>
    <row r="1317" spans="1:59">
      <c r="A1317" s="405">
        <v>5091</v>
      </c>
      <c r="B1317" s="406">
        <v>5091</v>
      </c>
      <c r="C1317" s="261" t="str">
        <f t="shared" si="193"/>
        <v>0008-0221</v>
      </c>
      <c r="D1317" s="261" t="str">
        <f t="shared" si="194"/>
        <v>0008-0221-0002</v>
      </c>
      <c r="E1317" s="407" t="s">
        <v>1829</v>
      </c>
      <c r="F1317" s="261" t="str">
        <f>TEXT(VLOOKUP(J1317,'[3]1'!$B$2:$D$37,2,0),"0000")</f>
        <v>0008</v>
      </c>
      <c r="G1317" s="261" t="str">
        <f t="shared" si="195"/>
        <v>0221</v>
      </c>
      <c r="H1317" s="408">
        <f t="shared" si="196"/>
        <v>2</v>
      </c>
      <c r="I1317" s="407" t="s">
        <v>1829</v>
      </c>
      <c r="J1317" s="258" t="s">
        <v>184</v>
      </c>
      <c r="K1317" s="258" t="s">
        <v>185</v>
      </c>
      <c r="L1317" s="258" t="s">
        <v>3370</v>
      </c>
      <c r="M1317" s="429">
        <v>112300000</v>
      </c>
      <c r="N1317" s="258">
        <v>2993</v>
      </c>
      <c r="O1317" s="258" t="s">
        <v>78</v>
      </c>
      <c r="P1317" s="258" t="s">
        <v>73</v>
      </c>
      <c r="Q1317" s="258" t="s">
        <v>72</v>
      </c>
      <c r="R1317" s="258">
        <v>5</v>
      </c>
      <c r="S1317" s="410">
        <v>1</v>
      </c>
      <c r="T1317" s="261">
        <v>6</v>
      </c>
      <c r="U1317" s="261">
        <v>6</v>
      </c>
      <c r="V1317" s="258" t="s">
        <v>71</v>
      </c>
      <c r="W1317" s="261" t="str">
        <f t="shared" si="198"/>
        <v>BMWX Series X6X6 xDrive 30d LCI M Sport112300000</v>
      </c>
      <c r="X1317" s="411">
        <f t="shared" si="199"/>
        <v>5091</v>
      </c>
      <c r="Y1317" s="261">
        <v>6</v>
      </c>
      <c r="Z1317" s="261">
        <v>6</v>
      </c>
      <c r="AA1317" s="407" t="s">
        <v>1829</v>
      </c>
      <c r="AB1317" s="258" t="s">
        <v>70</v>
      </c>
      <c r="AC1317" s="258"/>
      <c r="AD1317" s="258">
        <v>2</v>
      </c>
      <c r="AE1317" s="258">
        <v>0</v>
      </c>
      <c r="AF1317" s="259"/>
      <c r="AG1317" s="260"/>
      <c r="AH1317" s="259"/>
      <c r="AI1317" s="259"/>
      <c r="AJ1317" s="260"/>
      <c r="AK1317" s="259">
        <v>4</v>
      </c>
      <c r="AL1317" s="259"/>
      <c r="AM1317" s="259" t="s">
        <v>3957</v>
      </c>
      <c r="AN1317" s="449"/>
      <c r="AO1317" s="449"/>
      <c r="AP1317" s="449"/>
      <c r="AQ1317" s="392" t="str">
        <f>IFERROR(VLOOKUP(BG1317,#REF!,1,0),"")</f>
        <v/>
      </c>
      <c r="AS1317" s="259" t="s">
        <v>3189</v>
      </c>
      <c r="AW1317" s="392" t="s">
        <v>3961</v>
      </c>
      <c r="BD1317" s="202" t="str">
        <f t="shared" si="191"/>
        <v>X Series X6X6 xDrive 30d LCI M Sport</v>
      </c>
      <c r="BE1317" s="261" t="str">
        <f t="shared" si="197"/>
        <v>0221</v>
      </c>
      <c r="BF1317" s="407" t="s">
        <v>1829</v>
      </c>
      <c r="BG1317" s="202" t="str">
        <f t="shared" si="192"/>
        <v>0221-1316</v>
      </c>
    </row>
    <row r="1318" spans="1:59">
      <c r="A1318" s="405">
        <v>5092</v>
      </c>
      <c r="B1318" s="406">
        <v>5092</v>
      </c>
      <c r="C1318" s="261" t="str">
        <f t="shared" si="193"/>
        <v>0008-0221</v>
      </c>
      <c r="D1318" s="261" t="str">
        <f t="shared" si="194"/>
        <v>0008-0221-0003</v>
      </c>
      <c r="E1318" s="407" t="s">
        <v>1830</v>
      </c>
      <c r="F1318" s="261" t="str">
        <f>TEXT(VLOOKUP(J1318,'[3]1'!$B$2:$D$37,2,0),"0000")</f>
        <v>0008</v>
      </c>
      <c r="G1318" s="261" t="str">
        <f t="shared" si="195"/>
        <v>0221</v>
      </c>
      <c r="H1318" s="408">
        <f t="shared" si="196"/>
        <v>3</v>
      </c>
      <c r="I1318" s="407" t="s">
        <v>1830</v>
      </c>
      <c r="J1318" s="258" t="s">
        <v>184</v>
      </c>
      <c r="K1318" s="258" t="s">
        <v>185</v>
      </c>
      <c r="L1318" s="258" t="s">
        <v>2862</v>
      </c>
      <c r="M1318" s="409">
        <v>122600000</v>
      </c>
      <c r="N1318" s="258">
        <v>2993</v>
      </c>
      <c r="O1318" s="258" t="s">
        <v>78</v>
      </c>
      <c r="P1318" s="258" t="s">
        <v>73</v>
      </c>
      <c r="Q1318" s="258" t="s">
        <v>72</v>
      </c>
      <c r="R1318" s="258">
        <v>5</v>
      </c>
      <c r="S1318" s="410">
        <v>4</v>
      </c>
      <c r="T1318" s="261">
        <v>6</v>
      </c>
      <c r="U1318" s="261">
        <v>6</v>
      </c>
      <c r="V1318" s="258" t="s">
        <v>71</v>
      </c>
      <c r="W1318" s="261" t="str">
        <f t="shared" si="198"/>
        <v>BMWX Series X6X6 xDrive 40d M Sport122600000</v>
      </c>
      <c r="X1318" s="411">
        <f t="shared" si="199"/>
        <v>5092</v>
      </c>
      <c r="Y1318" s="261">
        <v>6</v>
      </c>
      <c r="Z1318" s="261">
        <v>6</v>
      </c>
      <c r="AA1318" s="407" t="s">
        <v>1830</v>
      </c>
      <c r="AB1318" s="258" t="s">
        <v>70</v>
      </c>
      <c r="AC1318" s="258"/>
      <c r="AD1318" s="258">
        <v>2</v>
      </c>
      <c r="AE1318" s="258">
        <v>0</v>
      </c>
      <c r="AF1318" s="259"/>
      <c r="AG1318" s="260"/>
      <c r="AH1318" s="259"/>
      <c r="AI1318" s="259"/>
      <c r="AJ1318" s="260"/>
      <c r="AK1318" s="259" t="s">
        <v>3686</v>
      </c>
      <c r="AL1318" s="259"/>
      <c r="AM1318" s="259" t="s">
        <v>3669</v>
      </c>
      <c r="AN1318" s="449"/>
      <c r="AO1318" s="449"/>
      <c r="AP1318" s="449"/>
      <c r="AQ1318" s="392" t="str">
        <f>IFERROR(VLOOKUP(BG1318,#REF!,1,0),"")</f>
        <v/>
      </c>
      <c r="AS1318" s="259" t="s">
        <v>3226</v>
      </c>
      <c r="AX1318" s="392">
        <v>2024.02</v>
      </c>
      <c r="BC1318" s="202" t="s">
        <v>3369</v>
      </c>
      <c r="BD1318" s="202" t="str">
        <f t="shared" si="191"/>
        <v>X Series X6X6 xDrive 40d M Sport</v>
      </c>
      <c r="BE1318" s="261" t="str">
        <f t="shared" si="197"/>
        <v>0221</v>
      </c>
      <c r="BF1318" s="407" t="s">
        <v>1830</v>
      </c>
      <c r="BG1318" s="202" t="str">
        <f t="shared" si="192"/>
        <v>0221-1317</v>
      </c>
    </row>
    <row r="1319" spans="1:59">
      <c r="A1319" s="405">
        <v>5093</v>
      </c>
      <c r="B1319" s="406">
        <v>5093</v>
      </c>
      <c r="C1319" s="261" t="str">
        <f t="shared" si="193"/>
        <v>0008-0221</v>
      </c>
      <c r="D1319" s="261" t="str">
        <f t="shared" si="194"/>
        <v>0008-0221-0004</v>
      </c>
      <c r="E1319" s="407" t="s">
        <v>1831</v>
      </c>
      <c r="F1319" s="261" t="str">
        <f>TEXT(VLOOKUP(J1319,'[3]1'!$B$2:$D$37,2,0),"0000")</f>
        <v>0008</v>
      </c>
      <c r="G1319" s="261" t="str">
        <f t="shared" si="195"/>
        <v>0221</v>
      </c>
      <c r="H1319" s="408">
        <f t="shared" si="196"/>
        <v>4</v>
      </c>
      <c r="I1319" s="407" t="s">
        <v>1831</v>
      </c>
      <c r="J1319" s="258" t="s">
        <v>184</v>
      </c>
      <c r="K1319" s="258" t="s">
        <v>185</v>
      </c>
      <c r="L1319" s="413" t="s">
        <v>2062</v>
      </c>
      <c r="M1319" s="429">
        <v>120000000</v>
      </c>
      <c r="N1319" s="416">
        <v>2998</v>
      </c>
      <c r="O1319" s="258" t="s">
        <v>77</v>
      </c>
      <c r="P1319" s="413" t="s">
        <v>73</v>
      </c>
      <c r="Q1319" s="413" t="s">
        <v>72</v>
      </c>
      <c r="R1319" s="416">
        <v>5</v>
      </c>
      <c r="S1319" s="410">
        <v>5</v>
      </c>
      <c r="T1319" s="261">
        <v>6</v>
      </c>
      <c r="U1319" s="261">
        <v>6</v>
      </c>
      <c r="V1319" s="258" t="s">
        <v>71</v>
      </c>
      <c r="W1319" s="261" t="str">
        <f t="shared" si="198"/>
        <v>BMWX Series X6x6 40i M Sport Package xDrive120000000</v>
      </c>
      <c r="X1319" s="411">
        <f t="shared" si="199"/>
        <v>5093</v>
      </c>
      <c r="Y1319" s="261">
        <v>6</v>
      </c>
      <c r="Z1319" s="261">
        <v>6</v>
      </c>
      <c r="AA1319" s="407" t="s">
        <v>1831</v>
      </c>
      <c r="AB1319" s="267" t="s">
        <v>70</v>
      </c>
      <c r="AC1319" s="267"/>
      <c r="AD1319" s="267">
        <v>5</v>
      </c>
      <c r="AE1319" s="267">
        <v>2</v>
      </c>
      <c r="AF1319" s="270"/>
      <c r="AG1319" s="307"/>
      <c r="AH1319" s="270"/>
      <c r="AI1319" s="270"/>
      <c r="AJ1319" s="307"/>
      <c r="AK1319" s="259">
        <v>4</v>
      </c>
      <c r="AL1319" s="259"/>
      <c r="AM1319" s="259" t="s">
        <v>3957</v>
      </c>
      <c r="AN1319" s="449"/>
      <c r="AO1319" s="449"/>
      <c r="AP1319" s="449"/>
      <c r="AQ1319" s="392" t="str">
        <f>IFERROR(VLOOKUP(BG1319,#REF!,1,0),"")</f>
        <v/>
      </c>
      <c r="AS1319" s="259" t="s">
        <v>93</v>
      </c>
      <c r="AW1319" s="392" t="s">
        <v>3958</v>
      </c>
      <c r="BD1319" s="202" t="str">
        <f t="shared" si="191"/>
        <v>X Series X6x6 40i M Sport Package xDrive</v>
      </c>
      <c r="BE1319" s="261" t="str">
        <f t="shared" si="197"/>
        <v>0221</v>
      </c>
      <c r="BF1319" s="407" t="s">
        <v>1831</v>
      </c>
      <c r="BG1319" s="202" t="str">
        <f t="shared" si="192"/>
        <v>0221-1318</v>
      </c>
    </row>
    <row r="1320" spans="1:59">
      <c r="A1320" s="405">
        <v>5094</v>
      </c>
      <c r="B1320" s="406">
        <v>5094</v>
      </c>
      <c r="C1320" s="261" t="str">
        <f t="shared" si="193"/>
        <v>0008-0221</v>
      </c>
      <c r="D1320" s="261" t="str">
        <f t="shared" si="194"/>
        <v>0008-0221-0005</v>
      </c>
      <c r="E1320" s="407" t="s">
        <v>3937</v>
      </c>
      <c r="F1320" s="261" t="str">
        <f>TEXT(VLOOKUP(J1320,'[3]1'!$B$2:$D$37,2,0),"0000")</f>
        <v>0008</v>
      </c>
      <c r="G1320" s="261" t="str">
        <f t="shared" si="195"/>
        <v>0221</v>
      </c>
      <c r="H1320" s="408">
        <f t="shared" si="196"/>
        <v>5</v>
      </c>
      <c r="I1320" s="407" t="s">
        <v>3937</v>
      </c>
      <c r="J1320" s="258" t="s">
        <v>184</v>
      </c>
      <c r="K1320" s="258" t="s">
        <v>185</v>
      </c>
      <c r="L1320" s="258" t="s">
        <v>1259</v>
      </c>
      <c r="M1320" s="429">
        <v>177600000</v>
      </c>
      <c r="N1320" s="258">
        <v>4395</v>
      </c>
      <c r="O1320" s="258" t="s">
        <v>77</v>
      </c>
      <c r="P1320" s="258" t="s">
        <v>73</v>
      </c>
      <c r="Q1320" s="258" t="s">
        <v>72</v>
      </c>
      <c r="R1320" s="258">
        <v>5</v>
      </c>
      <c r="S1320" s="410">
        <v>17</v>
      </c>
      <c r="T1320" s="261">
        <v>6</v>
      </c>
      <c r="U1320" s="261">
        <v>6</v>
      </c>
      <c r="V1320" s="258" t="s">
        <v>71</v>
      </c>
      <c r="W1320" s="261" t="str">
        <f t="shared" si="198"/>
        <v>BMWX Series X6X6 M177600000</v>
      </c>
      <c r="X1320" s="411">
        <f t="shared" si="199"/>
        <v>5094</v>
      </c>
      <c r="Y1320" s="261">
        <v>6</v>
      </c>
      <c r="Z1320" s="261">
        <v>6</v>
      </c>
      <c r="AA1320" s="407" t="s">
        <v>3937</v>
      </c>
      <c r="AB1320" s="258" t="s">
        <v>70</v>
      </c>
      <c r="AC1320" s="258"/>
      <c r="AD1320" s="258">
        <v>5</v>
      </c>
      <c r="AE1320" s="258">
        <v>2</v>
      </c>
      <c r="AF1320" s="259"/>
      <c r="AG1320" s="260"/>
      <c r="AH1320" s="259"/>
      <c r="AI1320" s="259"/>
      <c r="AJ1320" s="260"/>
      <c r="AK1320" s="259">
        <v>15</v>
      </c>
      <c r="AL1320" s="259"/>
      <c r="AM1320" s="259" t="s">
        <v>3664</v>
      </c>
      <c r="AN1320" s="449"/>
      <c r="AO1320" s="449"/>
      <c r="AP1320" s="449"/>
      <c r="AQ1320" s="392" t="str">
        <f>IFERROR(VLOOKUP(BG1320,#REF!,1,0),"")</f>
        <v/>
      </c>
      <c r="AS1320" s="259" t="s">
        <v>3368</v>
      </c>
      <c r="BD1320" s="202" t="str">
        <f t="shared" si="191"/>
        <v>X Series X6X6 M</v>
      </c>
      <c r="BE1320" s="261" t="str">
        <f t="shared" si="197"/>
        <v>0221</v>
      </c>
      <c r="BF1320" s="407" t="s">
        <v>3937</v>
      </c>
      <c r="BG1320" s="202" t="str">
        <f t="shared" si="192"/>
        <v>0221-1319</v>
      </c>
    </row>
    <row r="1321" spans="1:59">
      <c r="A1321" s="405">
        <v>5095</v>
      </c>
      <c r="B1321" s="406">
        <v>5095</v>
      </c>
      <c r="C1321" s="261" t="str">
        <f t="shared" si="193"/>
        <v>0008-0221</v>
      </c>
      <c r="D1321" s="261" t="str">
        <f t="shared" si="194"/>
        <v>0008-0221-0006</v>
      </c>
      <c r="E1321" s="407" t="s">
        <v>1832</v>
      </c>
      <c r="F1321" s="261" t="str">
        <f>TEXT(VLOOKUP(J1321,'[3]1'!$B$2:$D$37,2,0),"0000")</f>
        <v>0008</v>
      </c>
      <c r="G1321" s="261" t="str">
        <f t="shared" si="195"/>
        <v>0221</v>
      </c>
      <c r="H1321" s="408">
        <f t="shared" si="196"/>
        <v>6</v>
      </c>
      <c r="I1321" s="407" t="s">
        <v>1832</v>
      </c>
      <c r="J1321" s="413" t="s">
        <v>184</v>
      </c>
      <c r="K1321" s="258" t="s">
        <v>185</v>
      </c>
      <c r="L1321" s="413" t="s">
        <v>3316</v>
      </c>
      <c r="M1321" s="429">
        <v>161500000</v>
      </c>
      <c r="N1321" s="416">
        <v>4395</v>
      </c>
      <c r="O1321" s="258" t="s">
        <v>77</v>
      </c>
      <c r="P1321" s="413" t="s">
        <v>73</v>
      </c>
      <c r="Q1321" s="413" t="s">
        <v>72</v>
      </c>
      <c r="R1321" s="416">
        <v>5</v>
      </c>
      <c r="S1321" s="410">
        <v>15</v>
      </c>
      <c r="T1321" s="261">
        <v>6</v>
      </c>
      <c r="U1321" s="261">
        <v>6</v>
      </c>
      <c r="V1321" s="258" t="s">
        <v>71</v>
      </c>
      <c r="W1321" s="261" t="str">
        <f t="shared" si="198"/>
        <v>BMWX Series X6X6 M60i161500000</v>
      </c>
      <c r="X1321" s="411">
        <f t="shared" si="199"/>
        <v>5095</v>
      </c>
      <c r="Y1321" s="261">
        <v>6</v>
      </c>
      <c r="Z1321" s="261">
        <v>6</v>
      </c>
      <c r="AA1321" s="407" t="s">
        <v>1832</v>
      </c>
      <c r="AB1321" s="258" t="s">
        <v>70</v>
      </c>
      <c r="AC1321" s="258"/>
      <c r="AD1321" s="258">
        <v>6</v>
      </c>
      <c r="AE1321" s="258">
        <v>0</v>
      </c>
      <c r="AF1321" s="259"/>
      <c r="AG1321" s="260"/>
      <c r="AH1321" s="259"/>
      <c r="AI1321" s="259"/>
      <c r="AJ1321" s="260"/>
      <c r="AK1321" s="259">
        <v>14</v>
      </c>
      <c r="AL1321" s="259"/>
      <c r="AM1321" s="259" t="s">
        <v>3974</v>
      </c>
      <c r="AN1321" s="449"/>
      <c r="AO1321" s="449"/>
      <c r="AP1321" s="449"/>
      <c r="AQ1321" s="392" t="str">
        <f>IFERROR(VLOOKUP(BG1321,#REF!,1,0),"")</f>
        <v/>
      </c>
      <c r="AS1321" s="259" t="s">
        <v>3233</v>
      </c>
      <c r="AT1321" s="392" t="s">
        <v>3176</v>
      </c>
      <c r="AW1321" s="392" t="s">
        <v>3975</v>
      </c>
      <c r="BD1321" s="202" t="str">
        <f t="shared" si="191"/>
        <v>X Series X6X6 M60i</v>
      </c>
      <c r="BE1321" s="261" t="str">
        <f t="shared" si="197"/>
        <v>0221</v>
      </c>
      <c r="BF1321" s="407" t="s">
        <v>1832</v>
      </c>
      <c r="BG1321" s="202" t="str">
        <f t="shared" si="192"/>
        <v>0221-1320</v>
      </c>
    </row>
    <row r="1322" spans="1:59">
      <c r="A1322" s="405">
        <v>5096</v>
      </c>
      <c r="B1322" s="406">
        <v>5096</v>
      </c>
      <c r="C1322" s="261" t="str">
        <f t="shared" si="193"/>
        <v>0008-0222</v>
      </c>
      <c r="D1322" s="261" t="str">
        <f t="shared" si="194"/>
        <v>0008-0222-0001</v>
      </c>
      <c r="E1322" s="407" t="s">
        <v>3938</v>
      </c>
      <c r="F1322" s="261" t="str">
        <f>TEXT(VLOOKUP(J1322,'[3]1'!$B$2:$D$37,2,0),"0000")</f>
        <v>0008</v>
      </c>
      <c r="G1322" s="261" t="str">
        <f t="shared" si="195"/>
        <v>0222</v>
      </c>
      <c r="H1322" s="408">
        <f t="shared" si="196"/>
        <v>1</v>
      </c>
      <c r="I1322" s="407" t="s">
        <v>3938</v>
      </c>
      <c r="J1322" s="258" t="s">
        <v>184</v>
      </c>
      <c r="K1322" s="258" t="s">
        <v>1318</v>
      </c>
      <c r="L1322" s="258" t="s">
        <v>1403</v>
      </c>
      <c r="M1322" s="429">
        <v>128300000</v>
      </c>
      <c r="N1322" s="258">
        <v>2998</v>
      </c>
      <c r="O1322" s="258" t="s">
        <v>3366</v>
      </c>
      <c r="P1322" s="258" t="s">
        <v>73</v>
      </c>
      <c r="Q1322" s="258" t="s">
        <v>72</v>
      </c>
      <c r="R1322" s="258">
        <v>6</v>
      </c>
      <c r="S1322" s="410">
        <v>9</v>
      </c>
      <c r="T1322" s="261">
        <v>6</v>
      </c>
      <c r="U1322" s="261">
        <v>6</v>
      </c>
      <c r="V1322" s="258" t="s">
        <v>1969</v>
      </c>
      <c r="W1322" s="261" t="str">
        <f t="shared" si="198"/>
        <v>BMWX Series X7xDrive 40i Design Pure Excellence(6인승)128300000</v>
      </c>
      <c r="X1322" s="411">
        <f t="shared" si="199"/>
        <v>5096</v>
      </c>
      <c r="Y1322" s="261">
        <v>6</v>
      </c>
      <c r="Z1322" s="261">
        <v>6</v>
      </c>
      <c r="AA1322" s="407" t="s">
        <v>3938</v>
      </c>
      <c r="AB1322" s="267" t="s">
        <v>70</v>
      </c>
      <c r="AC1322" s="267"/>
      <c r="AD1322" s="267">
        <v>5</v>
      </c>
      <c r="AE1322" s="267">
        <v>2</v>
      </c>
      <c r="AF1322" s="270"/>
      <c r="AG1322" s="307"/>
      <c r="AH1322" s="270"/>
      <c r="AI1322" s="270"/>
      <c r="AJ1322" s="307"/>
      <c r="AK1322" s="259">
        <v>6</v>
      </c>
      <c r="AL1322" s="259"/>
      <c r="AM1322" s="259" t="s">
        <v>3964</v>
      </c>
      <c r="AN1322" s="449"/>
      <c r="AO1322" s="449"/>
      <c r="AP1322" s="449"/>
      <c r="AQ1322" s="392" t="str">
        <f>IFERROR(VLOOKUP(BG1322,#REF!,1,0),"")</f>
        <v/>
      </c>
      <c r="AS1322" s="259" t="s">
        <v>3222</v>
      </c>
      <c r="AW1322" s="392" t="s">
        <v>3958</v>
      </c>
      <c r="BD1322" s="202" t="str">
        <f t="shared" si="191"/>
        <v>X Series X7xDrive 40i Design Pure Excellence(6인승)</v>
      </c>
      <c r="BE1322" s="261" t="str">
        <f t="shared" si="197"/>
        <v>0222</v>
      </c>
      <c r="BF1322" s="407" t="s">
        <v>3938</v>
      </c>
      <c r="BG1322" s="202" t="str">
        <f t="shared" si="192"/>
        <v>0222-1321</v>
      </c>
    </row>
    <row r="1323" spans="1:59">
      <c r="A1323" s="405">
        <v>5097</v>
      </c>
      <c r="B1323" s="406">
        <v>5097</v>
      </c>
      <c r="C1323" s="261" t="str">
        <f t="shared" si="193"/>
        <v>0008-0222</v>
      </c>
      <c r="D1323" s="261" t="str">
        <f t="shared" si="194"/>
        <v>0008-0222-0002</v>
      </c>
      <c r="E1323" s="407" t="s">
        <v>3939</v>
      </c>
      <c r="F1323" s="261" t="str">
        <f>TEXT(VLOOKUP(J1323,'[3]1'!$B$2:$D$37,2,0),"0000")</f>
        <v>0008</v>
      </c>
      <c r="G1323" s="261" t="str">
        <f t="shared" si="195"/>
        <v>0222</v>
      </c>
      <c r="H1323" s="408">
        <f t="shared" si="196"/>
        <v>2</v>
      </c>
      <c r="I1323" s="407" t="s">
        <v>3939</v>
      </c>
      <c r="J1323" s="258" t="s">
        <v>184</v>
      </c>
      <c r="K1323" s="258" t="s">
        <v>1318</v>
      </c>
      <c r="L1323" s="258" t="s">
        <v>1404</v>
      </c>
      <c r="M1323" s="429">
        <v>126300000</v>
      </c>
      <c r="N1323" s="258">
        <v>2998</v>
      </c>
      <c r="O1323" s="258" t="s">
        <v>3366</v>
      </c>
      <c r="P1323" s="258" t="s">
        <v>73</v>
      </c>
      <c r="Q1323" s="258" t="s">
        <v>72</v>
      </c>
      <c r="R1323" s="258">
        <v>7</v>
      </c>
      <c r="S1323" s="410">
        <v>9</v>
      </c>
      <c r="T1323" s="261">
        <v>6</v>
      </c>
      <c r="U1323" s="261">
        <v>6</v>
      </c>
      <c r="V1323" s="258" t="s">
        <v>1969</v>
      </c>
      <c r="W1323" s="261" t="str">
        <f t="shared" si="198"/>
        <v>BMWX Series X7xDrive 40i Design Pure Excellence(7인승)126300000</v>
      </c>
      <c r="X1323" s="411">
        <f t="shared" si="199"/>
        <v>5097</v>
      </c>
      <c r="Y1323" s="261">
        <v>6</v>
      </c>
      <c r="Z1323" s="261">
        <v>6</v>
      </c>
      <c r="AA1323" s="407" t="s">
        <v>3939</v>
      </c>
      <c r="AB1323" s="267" t="s">
        <v>70</v>
      </c>
      <c r="AC1323" s="267"/>
      <c r="AD1323" s="267">
        <v>5</v>
      </c>
      <c r="AE1323" s="267">
        <v>2</v>
      </c>
      <c r="AF1323" s="270"/>
      <c r="AG1323" s="307"/>
      <c r="AH1323" s="270"/>
      <c r="AI1323" s="270"/>
      <c r="AJ1323" s="307"/>
      <c r="AK1323" s="259">
        <v>6</v>
      </c>
      <c r="AL1323" s="259"/>
      <c r="AM1323" s="259" t="s">
        <v>3964</v>
      </c>
      <c r="AN1323" s="449"/>
      <c r="AO1323" s="449"/>
      <c r="AP1323" s="449"/>
      <c r="AQ1323" s="392" t="str">
        <f>IFERROR(VLOOKUP(BG1323,#REF!,1,0),"")</f>
        <v/>
      </c>
      <c r="AS1323" s="259" t="s">
        <v>3222</v>
      </c>
      <c r="AW1323" s="392" t="s">
        <v>3958</v>
      </c>
      <c r="BD1323" s="202" t="str">
        <f t="shared" si="191"/>
        <v>X Series X7xDrive 40i Design Pure Excellence(7인승)</v>
      </c>
      <c r="BE1323" s="261" t="str">
        <f t="shared" si="197"/>
        <v>0222</v>
      </c>
      <c r="BF1323" s="407" t="s">
        <v>3939</v>
      </c>
      <c r="BG1323" s="202" t="str">
        <f t="shared" si="192"/>
        <v>0222-1322</v>
      </c>
    </row>
    <row r="1324" spans="1:59">
      <c r="A1324" s="405">
        <v>5098</v>
      </c>
      <c r="B1324" s="406">
        <v>5098</v>
      </c>
      <c r="C1324" s="261" t="str">
        <f t="shared" si="193"/>
        <v>0008-0222</v>
      </c>
      <c r="D1324" s="261" t="str">
        <f t="shared" si="194"/>
        <v>0008-0222-0003</v>
      </c>
      <c r="E1324" s="407" t="s">
        <v>3940</v>
      </c>
      <c r="F1324" s="261" t="str">
        <f>TEXT(VLOOKUP(J1324,'[3]1'!$B$2:$D$37,2,0),"0000")</f>
        <v>0008</v>
      </c>
      <c r="G1324" s="261" t="str">
        <f t="shared" si="195"/>
        <v>0222</v>
      </c>
      <c r="H1324" s="408">
        <f t="shared" si="196"/>
        <v>3</v>
      </c>
      <c r="I1324" s="407" t="s">
        <v>3940</v>
      </c>
      <c r="J1324" s="258" t="s">
        <v>184</v>
      </c>
      <c r="K1324" s="258" t="s">
        <v>1318</v>
      </c>
      <c r="L1324" s="258" t="s">
        <v>1405</v>
      </c>
      <c r="M1324" s="429">
        <v>131800000</v>
      </c>
      <c r="N1324" s="258">
        <v>2998</v>
      </c>
      <c r="O1324" s="258" t="s">
        <v>3366</v>
      </c>
      <c r="P1324" s="258" t="s">
        <v>73</v>
      </c>
      <c r="Q1324" s="258" t="s">
        <v>72</v>
      </c>
      <c r="R1324" s="258">
        <v>6</v>
      </c>
      <c r="S1324" s="410">
        <v>9</v>
      </c>
      <c r="T1324" s="261">
        <v>6</v>
      </c>
      <c r="U1324" s="261">
        <v>6</v>
      </c>
      <c r="V1324" s="258" t="s">
        <v>1969</v>
      </c>
      <c r="W1324" s="261" t="str">
        <f t="shared" si="198"/>
        <v>BMWX Series X7xDrive 40i M Sport Package(6인승)131800000</v>
      </c>
      <c r="X1324" s="411">
        <f t="shared" si="199"/>
        <v>5098</v>
      </c>
      <c r="Y1324" s="261">
        <v>6</v>
      </c>
      <c r="Z1324" s="261">
        <v>6</v>
      </c>
      <c r="AA1324" s="407" t="s">
        <v>3940</v>
      </c>
      <c r="AB1324" s="267" t="s">
        <v>70</v>
      </c>
      <c r="AC1324" s="267"/>
      <c r="AD1324" s="267">
        <v>5</v>
      </c>
      <c r="AE1324" s="267">
        <v>2</v>
      </c>
      <c r="AF1324" s="270"/>
      <c r="AG1324" s="307"/>
      <c r="AH1324" s="270"/>
      <c r="AI1324" s="270"/>
      <c r="AJ1324" s="307"/>
      <c r="AK1324" s="259">
        <v>6</v>
      </c>
      <c r="AL1324" s="259"/>
      <c r="AM1324" s="259" t="s">
        <v>3964</v>
      </c>
      <c r="AN1324" s="449"/>
      <c r="AO1324" s="449"/>
      <c r="AP1324" s="449"/>
      <c r="AQ1324" s="392" t="str">
        <f>IFERROR(VLOOKUP(BG1324,#REF!,1,0),"")</f>
        <v/>
      </c>
      <c r="AS1324" s="259" t="s">
        <v>3242</v>
      </c>
      <c r="AW1324" s="392" t="s">
        <v>3958</v>
      </c>
      <c r="BD1324" s="202" t="str">
        <f t="shared" si="191"/>
        <v>X Series X7xDrive 40i M Sport Package(6인승)</v>
      </c>
      <c r="BE1324" s="261" t="str">
        <f t="shared" si="197"/>
        <v>0222</v>
      </c>
      <c r="BF1324" s="407" t="s">
        <v>3940</v>
      </c>
      <c r="BG1324" s="202" t="str">
        <f t="shared" si="192"/>
        <v>0222-1323</v>
      </c>
    </row>
    <row r="1325" spans="1:59">
      <c r="A1325" s="405">
        <v>5099</v>
      </c>
      <c r="B1325" s="406">
        <v>5099</v>
      </c>
      <c r="C1325" s="261" t="str">
        <f t="shared" si="193"/>
        <v>0008-0222</v>
      </c>
      <c r="D1325" s="261" t="str">
        <f t="shared" si="194"/>
        <v>0008-0222-0004</v>
      </c>
      <c r="E1325" s="407" t="s">
        <v>3941</v>
      </c>
      <c r="F1325" s="261" t="str">
        <f>TEXT(VLOOKUP(J1325,'[3]1'!$B$2:$D$37,2,0),"0000")</f>
        <v>0008</v>
      </c>
      <c r="G1325" s="261" t="str">
        <f t="shared" si="195"/>
        <v>0222</v>
      </c>
      <c r="H1325" s="408">
        <f t="shared" si="196"/>
        <v>4</v>
      </c>
      <c r="I1325" s="407" t="s">
        <v>3941</v>
      </c>
      <c r="J1325" s="258" t="s">
        <v>184</v>
      </c>
      <c r="K1325" s="258" t="s">
        <v>1318</v>
      </c>
      <c r="L1325" s="521" t="s">
        <v>3255</v>
      </c>
      <c r="M1325" s="520">
        <v>149300000</v>
      </c>
      <c r="N1325" s="258">
        <v>2998</v>
      </c>
      <c r="O1325" s="258" t="s">
        <v>3366</v>
      </c>
      <c r="P1325" s="258" t="s">
        <v>73</v>
      </c>
      <c r="Q1325" s="258" t="s">
        <v>72</v>
      </c>
      <c r="R1325" s="258">
        <v>7</v>
      </c>
      <c r="S1325" s="410">
        <v>9</v>
      </c>
      <c r="T1325" s="261">
        <v>6</v>
      </c>
      <c r="U1325" s="261">
        <v>6</v>
      </c>
      <c r="V1325" s="258" t="s">
        <v>1969</v>
      </c>
      <c r="W1325" s="261" t="str">
        <f t="shared" si="198"/>
        <v>BMWX Series X7X7 xDrive 40i M sport 7인승149300000</v>
      </c>
      <c r="X1325" s="411">
        <f t="shared" si="199"/>
        <v>5099</v>
      </c>
      <c r="Y1325" s="261">
        <v>6</v>
      </c>
      <c r="Z1325" s="261">
        <v>6</v>
      </c>
      <c r="AA1325" s="407" t="s">
        <v>3941</v>
      </c>
      <c r="AB1325" s="267" t="s">
        <v>70</v>
      </c>
      <c r="AC1325" s="267"/>
      <c r="AD1325" s="267">
        <v>7</v>
      </c>
      <c r="AE1325" s="267">
        <v>0</v>
      </c>
      <c r="AF1325" s="270"/>
      <c r="AG1325" s="307"/>
      <c r="AH1325" s="270"/>
      <c r="AI1325" s="270"/>
      <c r="AJ1325" s="307"/>
      <c r="AK1325" s="259">
        <v>6</v>
      </c>
      <c r="AL1325" s="259"/>
      <c r="AM1325" s="259" t="s">
        <v>3964</v>
      </c>
      <c r="AN1325" s="449"/>
      <c r="AO1325" s="449"/>
      <c r="AP1325" s="449"/>
      <c r="AQ1325" s="392" t="str">
        <f>IFERROR(VLOOKUP(BG1325,#REF!,1,0),"")</f>
        <v/>
      </c>
      <c r="AS1325" s="259" t="s">
        <v>3242</v>
      </c>
      <c r="AW1325" s="392" t="s">
        <v>3958</v>
      </c>
      <c r="BD1325" s="202" t="str">
        <f t="shared" si="191"/>
        <v>X Series X7X7 xDrive 40i M sport 7인승</v>
      </c>
      <c r="BE1325" s="261" t="str">
        <f t="shared" si="197"/>
        <v>0222</v>
      </c>
      <c r="BF1325" s="407" t="s">
        <v>3941</v>
      </c>
      <c r="BG1325" s="202" t="str">
        <f t="shared" si="192"/>
        <v>0222-1324</v>
      </c>
    </row>
    <row r="1326" spans="1:59">
      <c r="A1326" s="405">
        <v>5100</v>
      </c>
      <c r="B1326" s="406">
        <v>5100</v>
      </c>
      <c r="C1326" s="261" t="str">
        <f t="shared" si="193"/>
        <v>0008-0222</v>
      </c>
      <c r="D1326" s="261" t="str">
        <f t="shared" si="194"/>
        <v>0008-0222-0005</v>
      </c>
      <c r="E1326" s="407" t="s">
        <v>1833</v>
      </c>
      <c r="F1326" s="261" t="str">
        <f>TEXT(VLOOKUP(J1326,'[3]1'!$B$2:$D$37,2,0),"0000")</f>
        <v>0008</v>
      </c>
      <c r="G1326" s="261" t="str">
        <f t="shared" si="195"/>
        <v>0222</v>
      </c>
      <c r="H1326" s="408">
        <f t="shared" si="196"/>
        <v>5</v>
      </c>
      <c r="I1326" s="407" t="s">
        <v>1833</v>
      </c>
      <c r="J1326" s="417" t="s">
        <v>184</v>
      </c>
      <c r="K1326" s="417" t="s">
        <v>1318</v>
      </c>
      <c r="L1326" s="417" t="s">
        <v>2850</v>
      </c>
      <c r="M1326" s="418">
        <v>130100000</v>
      </c>
      <c r="N1326" s="419">
        <v>2993</v>
      </c>
      <c r="O1326" s="417" t="s">
        <v>78</v>
      </c>
      <c r="P1326" s="417" t="s">
        <v>73</v>
      </c>
      <c r="Q1326" s="417" t="s">
        <v>72</v>
      </c>
      <c r="R1326" s="419">
        <v>6</v>
      </c>
      <c r="S1326" s="410">
        <v>6</v>
      </c>
      <c r="T1326" s="261">
        <v>6</v>
      </c>
      <c r="U1326" s="261">
        <v>6</v>
      </c>
      <c r="V1326" s="258" t="s">
        <v>71</v>
      </c>
      <c r="W1326" s="261" t="str">
        <f t="shared" si="198"/>
        <v>BMWX Series X7x7 40d DPE_6Seater130100000</v>
      </c>
      <c r="X1326" s="411">
        <f t="shared" si="199"/>
        <v>5100</v>
      </c>
      <c r="Y1326" s="261">
        <v>6</v>
      </c>
      <c r="Z1326" s="261">
        <v>6</v>
      </c>
      <c r="AA1326" s="407" t="s">
        <v>1833</v>
      </c>
      <c r="AB1326" s="258" t="s">
        <v>70</v>
      </c>
      <c r="AC1326" s="258"/>
      <c r="AD1326" s="258">
        <v>4</v>
      </c>
      <c r="AE1326" s="258">
        <v>0</v>
      </c>
      <c r="AF1326" s="259"/>
      <c r="AG1326" s="260"/>
      <c r="AH1326" s="259"/>
      <c r="AI1326" s="259"/>
      <c r="AJ1326" s="260"/>
      <c r="AK1326" s="259">
        <v>6</v>
      </c>
      <c r="AL1326" s="259"/>
      <c r="AM1326" s="259" t="s">
        <v>3964</v>
      </c>
      <c r="AN1326" s="449"/>
      <c r="AO1326" s="449"/>
      <c r="AP1326" s="449"/>
      <c r="AQ1326" s="392" t="str">
        <f>IFERROR(VLOOKUP(BG1326,#REF!,1,0),"")</f>
        <v/>
      </c>
      <c r="AS1326" s="259" t="s">
        <v>150</v>
      </c>
      <c r="AW1326" s="392" t="s">
        <v>3958</v>
      </c>
      <c r="BD1326" s="202" t="str">
        <f t="shared" si="191"/>
        <v>X Series X7x7 40d DPE_6Seater</v>
      </c>
      <c r="BE1326" s="261" t="str">
        <f t="shared" si="197"/>
        <v>0222</v>
      </c>
      <c r="BF1326" s="407" t="s">
        <v>1833</v>
      </c>
      <c r="BG1326" s="202" t="str">
        <f t="shared" si="192"/>
        <v>0222-1325</v>
      </c>
    </row>
    <row r="1327" spans="1:59">
      <c r="A1327" s="405">
        <v>5101</v>
      </c>
      <c r="B1327" s="406">
        <v>5101</v>
      </c>
      <c r="C1327" s="261" t="str">
        <f t="shared" si="193"/>
        <v>0008-0222</v>
      </c>
      <c r="D1327" s="261" t="str">
        <f t="shared" si="194"/>
        <v>0008-0222-0006</v>
      </c>
      <c r="E1327" s="407" t="s">
        <v>1834</v>
      </c>
      <c r="F1327" s="261" t="str">
        <f>TEXT(VLOOKUP(J1327,'[3]1'!$B$2:$D$37,2,0),"0000")</f>
        <v>0008</v>
      </c>
      <c r="G1327" s="261" t="str">
        <f t="shared" si="195"/>
        <v>0222</v>
      </c>
      <c r="H1327" s="408">
        <f t="shared" si="196"/>
        <v>6</v>
      </c>
      <c r="I1327" s="407" t="s">
        <v>1834</v>
      </c>
      <c r="J1327" s="417" t="s">
        <v>184</v>
      </c>
      <c r="K1327" s="417" t="s">
        <v>1318</v>
      </c>
      <c r="L1327" s="417" t="s">
        <v>2851</v>
      </c>
      <c r="M1327" s="418">
        <v>128100000</v>
      </c>
      <c r="N1327" s="419">
        <v>2993</v>
      </c>
      <c r="O1327" s="417" t="s">
        <v>78</v>
      </c>
      <c r="P1327" s="417" t="s">
        <v>73</v>
      </c>
      <c r="Q1327" s="417" t="s">
        <v>72</v>
      </c>
      <c r="R1327" s="419">
        <v>7</v>
      </c>
      <c r="S1327" s="410">
        <v>6</v>
      </c>
      <c r="T1327" s="261">
        <v>6</v>
      </c>
      <c r="U1327" s="261">
        <v>6</v>
      </c>
      <c r="V1327" s="258" t="s">
        <v>71</v>
      </c>
      <c r="W1327" s="261" t="str">
        <f t="shared" si="198"/>
        <v>BMWX Series X7x7 40d DPE_7Seater128100000</v>
      </c>
      <c r="X1327" s="411">
        <f t="shared" si="199"/>
        <v>5101</v>
      </c>
      <c r="Y1327" s="261">
        <v>6</v>
      </c>
      <c r="Z1327" s="261">
        <v>6</v>
      </c>
      <c r="AA1327" s="407" t="s">
        <v>1834</v>
      </c>
      <c r="AB1327" s="258" t="s">
        <v>70</v>
      </c>
      <c r="AC1327" s="258"/>
      <c r="AD1327" s="258">
        <v>4</v>
      </c>
      <c r="AE1327" s="258">
        <v>0</v>
      </c>
      <c r="AF1327" s="259"/>
      <c r="AG1327" s="260"/>
      <c r="AH1327" s="259"/>
      <c r="AI1327" s="259"/>
      <c r="AJ1327" s="260"/>
      <c r="AK1327" s="259">
        <v>6</v>
      </c>
      <c r="AL1327" s="259"/>
      <c r="AM1327" s="259" t="s">
        <v>3964</v>
      </c>
      <c r="AN1327" s="449"/>
      <c r="AO1327" s="449"/>
      <c r="AP1327" s="449"/>
      <c r="AQ1327" s="392" t="str">
        <f>IFERROR(VLOOKUP(BG1327,#REF!,1,0),"")</f>
        <v/>
      </c>
      <c r="AS1327" s="259" t="s">
        <v>150</v>
      </c>
      <c r="AW1327" s="392" t="s">
        <v>3958</v>
      </c>
      <c r="BD1327" s="202" t="str">
        <f t="shared" si="191"/>
        <v>X Series X7x7 40d DPE_7Seater</v>
      </c>
      <c r="BE1327" s="261" t="str">
        <f t="shared" si="197"/>
        <v>0222</v>
      </c>
      <c r="BF1327" s="407" t="s">
        <v>1834</v>
      </c>
      <c r="BG1327" s="202" t="str">
        <f t="shared" si="192"/>
        <v>0222-1326</v>
      </c>
    </row>
    <row r="1328" spans="1:59">
      <c r="A1328" s="405">
        <v>5102</v>
      </c>
      <c r="B1328" s="406">
        <v>5102</v>
      </c>
      <c r="C1328" s="261" t="str">
        <f t="shared" si="193"/>
        <v>0008-0222</v>
      </c>
      <c r="D1328" s="261" t="str">
        <f t="shared" si="194"/>
        <v>0008-0222-0007</v>
      </c>
      <c r="E1328" s="407" t="s">
        <v>1835</v>
      </c>
      <c r="F1328" s="261" t="str">
        <f>TEXT(VLOOKUP(J1328,'[3]1'!$B$2:$D$37,2,0),"0000")</f>
        <v>0008</v>
      </c>
      <c r="G1328" s="261" t="str">
        <f t="shared" si="195"/>
        <v>0222</v>
      </c>
      <c r="H1328" s="408">
        <f t="shared" si="196"/>
        <v>7</v>
      </c>
      <c r="I1328" s="407" t="s">
        <v>1835</v>
      </c>
      <c r="J1328" s="417" t="s">
        <v>184</v>
      </c>
      <c r="K1328" s="417" t="s">
        <v>1318</v>
      </c>
      <c r="L1328" s="417" t="s">
        <v>2852</v>
      </c>
      <c r="M1328" s="418">
        <v>133600000</v>
      </c>
      <c r="N1328" s="419">
        <v>2993</v>
      </c>
      <c r="O1328" s="417" t="s">
        <v>78</v>
      </c>
      <c r="P1328" s="417" t="s">
        <v>73</v>
      </c>
      <c r="Q1328" s="417" t="s">
        <v>72</v>
      </c>
      <c r="R1328" s="419">
        <v>6</v>
      </c>
      <c r="S1328" s="410">
        <v>6</v>
      </c>
      <c r="T1328" s="261">
        <v>6</v>
      </c>
      <c r="U1328" s="261">
        <v>6</v>
      </c>
      <c r="V1328" s="258" t="s">
        <v>71</v>
      </c>
      <c r="W1328" s="261" t="str">
        <f t="shared" si="198"/>
        <v>BMWX Series X7x7 40d M Sport133600000</v>
      </c>
      <c r="X1328" s="411">
        <f t="shared" si="199"/>
        <v>5102</v>
      </c>
      <c r="Y1328" s="261">
        <v>6</v>
      </c>
      <c r="Z1328" s="261">
        <v>6</v>
      </c>
      <c r="AA1328" s="407" t="s">
        <v>1835</v>
      </c>
      <c r="AB1328" s="258" t="s">
        <v>70</v>
      </c>
      <c r="AC1328" s="258"/>
      <c r="AD1328" s="258">
        <v>4</v>
      </c>
      <c r="AE1328" s="258">
        <v>0</v>
      </c>
      <c r="AF1328" s="259"/>
      <c r="AG1328" s="260"/>
      <c r="AH1328" s="259"/>
      <c r="AI1328" s="259"/>
      <c r="AJ1328" s="260"/>
      <c r="AK1328" s="259">
        <v>6</v>
      </c>
      <c r="AL1328" s="259"/>
      <c r="AM1328" s="259" t="s">
        <v>3964</v>
      </c>
      <c r="AN1328" s="449"/>
      <c r="AO1328" s="449"/>
      <c r="AP1328" s="449"/>
      <c r="AQ1328" s="392" t="str">
        <f>IFERROR(VLOOKUP(BG1328,#REF!,1,0),"")</f>
        <v/>
      </c>
      <c r="AS1328" s="259" t="s">
        <v>150</v>
      </c>
      <c r="AW1328" s="392" t="s">
        <v>3958</v>
      </c>
      <c r="BD1328" s="202" t="str">
        <f t="shared" si="191"/>
        <v>X Series X7x7 40d M Sport</v>
      </c>
      <c r="BE1328" s="261" t="str">
        <f t="shared" si="197"/>
        <v>0222</v>
      </c>
      <c r="BF1328" s="407" t="s">
        <v>1835</v>
      </c>
      <c r="BG1328" s="202" t="str">
        <f t="shared" si="192"/>
        <v>0222-1327</v>
      </c>
    </row>
    <row r="1329" spans="1:59">
      <c r="A1329" s="405">
        <v>5103</v>
      </c>
      <c r="B1329" s="406">
        <v>5103</v>
      </c>
      <c r="C1329" s="261" t="str">
        <f t="shared" si="193"/>
        <v>0008-0222</v>
      </c>
      <c r="D1329" s="261" t="str">
        <f t="shared" si="194"/>
        <v>0008-0222-0008</v>
      </c>
      <c r="E1329" s="407" t="s">
        <v>1836</v>
      </c>
      <c r="F1329" s="261" t="str">
        <f>TEXT(VLOOKUP(J1329,'[3]1'!$B$2:$D$37,2,0),"0000")</f>
        <v>0008</v>
      </c>
      <c r="G1329" s="261" t="str">
        <f t="shared" si="195"/>
        <v>0222</v>
      </c>
      <c r="H1329" s="408">
        <f t="shared" si="196"/>
        <v>8</v>
      </c>
      <c r="I1329" s="407" t="s">
        <v>1836</v>
      </c>
      <c r="J1329" s="413" t="s">
        <v>184</v>
      </c>
      <c r="K1329" s="413" t="s">
        <v>1318</v>
      </c>
      <c r="L1329" s="521" t="s">
        <v>3256</v>
      </c>
      <c r="M1329" s="520">
        <v>179600000</v>
      </c>
      <c r="N1329" s="416">
        <v>4395</v>
      </c>
      <c r="O1329" s="258" t="s">
        <v>77</v>
      </c>
      <c r="P1329" s="413" t="s">
        <v>73</v>
      </c>
      <c r="Q1329" s="413" t="s">
        <v>72</v>
      </c>
      <c r="R1329" s="416">
        <v>5</v>
      </c>
      <c r="S1329" s="410">
        <v>15</v>
      </c>
      <c r="T1329" s="261">
        <v>6</v>
      </c>
      <c r="U1329" s="261">
        <v>6</v>
      </c>
      <c r="V1329" s="258" t="s">
        <v>71</v>
      </c>
      <c r="W1329" s="261" t="str">
        <f t="shared" si="198"/>
        <v>BMWX Series X7X7 M60i179600000</v>
      </c>
      <c r="X1329" s="411">
        <f t="shared" si="199"/>
        <v>5103</v>
      </c>
      <c r="Y1329" s="261">
        <v>6</v>
      </c>
      <c r="Z1329" s="261">
        <v>6</v>
      </c>
      <c r="AA1329" s="407" t="s">
        <v>1836</v>
      </c>
      <c r="AB1329" s="258" t="s">
        <v>70</v>
      </c>
      <c r="AC1329" s="258"/>
      <c r="AD1329" s="258">
        <v>7</v>
      </c>
      <c r="AE1329" s="258">
        <v>0</v>
      </c>
      <c r="AF1329" s="259"/>
      <c r="AG1329" s="260"/>
      <c r="AH1329" s="259"/>
      <c r="AI1329" s="259"/>
      <c r="AJ1329" s="260"/>
      <c r="AK1329" s="259">
        <v>14</v>
      </c>
      <c r="AL1329" s="259"/>
      <c r="AM1329" s="259" t="s">
        <v>3974</v>
      </c>
      <c r="AN1329" s="449"/>
      <c r="AO1329" s="449"/>
      <c r="AP1329" s="449"/>
      <c r="AQ1329" s="392" t="str">
        <f>IFERROR(VLOOKUP(BG1329,#REF!,1,0),"")</f>
        <v/>
      </c>
      <c r="AS1329" s="259" t="s">
        <v>3233</v>
      </c>
      <c r="AW1329" s="392" t="s">
        <v>3959</v>
      </c>
      <c r="BD1329" s="202" t="str">
        <f t="shared" si="191"/>
        <v>X Series X7X7 M60i</v>
      </c>
      <c r="BE1329" s="261" t="str">
        <f t="shared" si="197"/>
        <v>0222</v>
      </c>
      <c r="BF1329" s="407" t="s">
        <v>1836</v>
      </c>
      <c r="BG1329" s="202" t="str">
        <f t="shared" si="192"/>
        <v>0222-1328</v>
      </c>
    </row>
    <row r="1330" spans="1:59">
      <c r="A1330" s="405">
        <v>5104</v>
      </c>
      <c r="B1330" s="406">
        <v>5104</v>
      </c>
      <c r="C1330" s="261" t="str">
        <f t="shared" si="193"/>
        <v>0008-0223</v>
      </c>
      <c r="D1330" s="261" t="str">
        <f t="shared" si="194"/>
        <v>0008-0223-0001</v>
      </c>
      <c r="E1330" s="407" t="s">
        <v>1837</v>
      </c>
      <c r="F1330" s="261" t="str">
        <f>TEXT(VLOOKUP(J1330,'[3]1'!$B$2:$D$37,2,0),"0000")</f>
        <v>0008</v>
      </c>
      <c r="G1330" s="261" t="str">
        <f t="shared" si="195"/>
        <v>0223</v>
      </c>
      <c r="H1330" s="408">
        <f t="shared" si="196"/>
        <v>1</v>
      </c>
      <c r="I1330" s="407" t="s">
        <v>1837</v>
      </c>
      <c r="J1330" s="413" t="s">
        <v>184</v>
      </c>
      <c r="K1330" s="413" t="s">
        <v>3304</v>
      </c>
      <c r="L1330" s="521" t="s">
        <v>3437</v>
      </c>
      <c r="M1330" s="520">
        <v>221900000</v>
      </c>
      <c r="N1330" s="416">
        <v>4395</v>
      </c>
      <c r="O1330" s="413" t="s">
        <v>1173</v>
      </c>
      <c r="P1330" s="413" t="s">
        <v>73</v>
      </c>
      <c r="Q1330" s="413" t="s">
        <v>72</v>
      </c>
      <c r="R1330" s="416">
        <v>5</v>
      </c>
      <c r="S1330" s="410">
        <v>17</v>
      </c>
      <c r="T1330" s="261">
        <v>6</v>
      </c>
      <c r="U1330" s="261">
        <v>6</v>
      </c>
      <c r="V1330" s="258" t="s">
        <v>1969</v>
      </c>
      <c r="W1330" s="261" t="str">
        <f t="shared" si="198"/>
        <v>BMWX Series XM50e221900000</v>
      </c>
      <c r="X1330" s="411">
        <f t="shared" si="199"/>
        <v>5104</v>
      </c>
      <c r="Y1330" s="261">
        <v>6</v>
      </c>
      <c r="Z1330" s="261">
        <v>6</v>
      </c>
      <c r="AA1330" s="407" t="s">
        <v>1837</v>
      </c>
      <c r="AB1330" s="258" t="s">
        <v>70</v>
      </c>
      <c r="AC1330" s="258"/>
      <c r="AD1330" s="258">
        <v>7</v>
      </c>
      <c r="AE1330" s="258">
        <v>0</v>
      </c>
      <c r="AF1330" s="259"/>
      <c r="AG1330" s="260"/>
      <c r="AH1330" s="259"/>
      <c r="AI1330" s="259"/>
      <c r="AJ1330" s="260"/>
      <c r="AK1330" s="259">
        <v>18</v>
      </c>
      <c r="AL1330" s="259"/>
      <c r="AM1330" s="259" t="s">
        <v>3976</v>
      </c>
      <c r="AN1330" s="449"/>
      <c r="AO1330" s="449"/>
      <c r="AP1330" s="449"/>
      <c r="AQ1330" s="392" t="str">
        <f>IFERROR(VLOOKUP(BG1330,#REF!,1,0),"")</f>
        <v/>
      </c>
      <c r="AS1330" s="259" t="s">
        <v>3305</v>
      </c>
      <c r="AT1330" s="392">
        <v>2024.02</v>
      </c>
      <c r="AW1330" s="392" t="s">
        <v>3958</v>
      </c>
      <c r="BD1330" s="202" t="str">
        <f t="shared" si="191"/>
        <v>X Series XM50e</v>
      </c>
      <c r="BE1330" s="261" t="str">
        <f t="shared" si="197"/>
        <v>0223</v>
      </c>
      <c r="BF1330" s="407" t="s">
        <v>1837</v>
      </c>
      <c r="BG1330" s="202" t="str">
        <f t="shared" si="192"/>
        <v>0223-1329</v>
      </c>
    </row>
    <row r="1331" spans="1:59">
      <c r="A1331" s="405">
        <v>5105</v>
      </c>
      <c r="B1331" s="406">
        <v>5105</v>
      </c>
      <c r="C1331" s="261" t="str">
        <f t="shared" si="193"/>
        <v>0008-0224</v>
      </c>
      <c r="D1331" s="261" t="str">
        <f t="shared" si="194"/>
        <v>0008-0224-0001</v>
      </c>
      <c r="E1331" s="407" t="s">
        <v>1838</v>
      </c>
      <c r="F1331" s="261" t="str">
        <f>TEXT(VLOOKUP(J1331,'[3]1'!$B$2:$D$37,2,0),"0000")</f>
        <v>0008</v>
      </c>
      <c r="G1331" s="261" t="str">
        <f t="shared" si="195"/>
        <v>0224</v>
      </c>
      <c r="H1331" s="408">
        <f t="shared" si="196"/>
        <v>1</v>
      </c>
      <c r="I1331" s="407" t="s">
        <v>1838</v>
      </c>
      <c r="J1331" s="258" t="s">
        <v>184</v>
      </c>
      <c r="K1331" s="258" t="s">
        <v>1332</v>
      </c>
      <c r="L1331" s="258" t="s">
        <v>1333</v>
      </c>
      <c r="M1331" s="429">
        <v>91600000</v>
      </c>
      <c r="N1331" s="258">
        <v>2998</v>
      </c>
      <c r="O1331" s="258" t="s">
        <v>77</v>
      </c>
      <c r="P1331" s="258" t="s">
        <v>73</v>
      </c>
      <c r="Q1331" s="258" t="s">
        <v>72</v>
      </c>
      <c r="R1331" s="258">
        <v>2</v>
      </c>
      <c r="S1331" s="410">
        <v>15</v>
      </c>
      <c r="T1331" s="261">
        <v>6</v>
      </c>
      <c r="U1331" s="261">
        <v>6</v>
      </c>
      <c r="V1331" s="258" t="s">
        <v>71</v>
      </c>
      <c r="W1331" s="261" t="str">
        <f t="shared" si="198"/>
        <v>BMWZ4 RoadsterZ4 M40i91600000</v>
      </c>
      <c r="X1331" s="411">
        <f t="shared" si="199"/>
        <v>5105</v>
      </c>
      <c r="Y1331" s="261">
        <v>6</v>
      </c>
      <c r="Z1331" s="261">
        <v>6</v>
      </c>
      <c r="AA1331" s="407" t="s">
        <v>1838</v>
      </c>
      <c r="AB1331" s="258" t="s">
        <v>3683</v>
      </c>
      <c r="AC1331" s="258"/>
      <c r="AD1331" s="258">
        <v>5</v>
      </c>
      <c r="AE1331" s="258">
        <v>0</v>
      </c>
      <c r="AF1331" s="259"/>
      <c r="AG1331" s="260"/>
      <c r="AH1331" s="259"/>
      <c r="AI1331" s="259"/>
      <c r="AJ1331" s="260"/>
      <c r="AK1331" s="259">
        <v>14</v>
      </c>
      <c r="AL1331" s="259"/>
      <c r="AM1331" s="259" t="s">
        <v>3728</v>
      </c>
      <c r="AN1331" s="449"/>
      <c r="AO1331" s="449"/>
      <c r="AP1331" s="449"/>
      <c r="AQ1331" s="392" t="str">
        <f>IFERROR(VLOOKUP(BG1331,#REF!,1,0),"")</f>
        <v/>
      </c>
      <c r="AS1331" s="259" t="s">
        <v>3233</v>
      </c>
      <c r="AW1331" s="392" t="s">
        <v>3958</v>
      </c>
      <c r="BD1331" s="202" t="str">
        <f t="shared" si="191"/>
        <v>Z4 RoadsterZ4 M40i</v>
      </c>
      <c r="BE1331" s="261" t="str">
        <f t="shared" si="197"/>
        <v>0224</v>
      </c>
      <c r="BF1331" s="407" t="s">
        <v>1838</v>
      </c>
      <c r="BG1331" s="202" t="str">
        <f t="shared" si="192"/>
        <v>0224-1330</v>
      </c>
    </row>
    <row r="1332" spans="1:59">
      <c r="A1332" s="405">
        <v>5106</v>
      </c>
      <c r="B1332" s="406">
        <v>5106</v>
      </c>
      <c r="C1332" s="261" t="str">
        <f t="shared" si="193"/>
        <v>0008-0224</v>
      </c>
      <c r="D1332" s="261" t="str">
        <f t="shared" si="194"/>
        <v>0008-0224-0002</v>
      </c>
      <c r="E1332" s="407" t="s">
        <v>1839</v>
      </c>
      <c r="F1332" s="261" t="str">
        <f>TEXT(VLOOKUP(J1332,'[3]1'!$B$2:$D$37,2,0),"0000")</f>
        <v>0008</v>
      </c>
      <c r="G1332" s="261" t="str">
        <f t="shared" si="195"/>
        <v>0224</v>
      </c>
      <c r="H1332" s="408">
        <f t="shared" si="196"/>
        <v>2</v>
      </c>
      <c r="I1332" s="407" t="s">
        <v>1839</v>
      </c>
      <c r="J1332" s="258" t="s">
        <v>184</v>
      </c>
      <c r="K1332" s="258" t="s">
        <v>1332</v>
      </c>
      <c r="L1332" s="258" t="s">
        <v>1334</v>
      </c>
      <c r="M1332" s="429">
        <v>68400000</v>
      </c>
      <c r="N1332" s="258">
        <v>1998</v>
      </c>
      <c r="O1332" s="258" t="s">
        <v>77</v>
      </c>
      <c r="P1332" s="258" t="s">
        <v>73</v>
      </c>
      <c r="Q1332" s="258" t="s">
        <v>72</v>
      </c>
      <c r="R1332" s="258">
        <v>2</v>
      </c>
      <c r="S1332" s="410">
        <v>12</v>
      </c>
      <c r="T1332" s="261">
        <v>6</v>
      </c>
      <c r="U1332" s="261">
        <v>6</v>
      </c>
      <c r="V1332" s="258" t="s">
        <v>71</v>
      </c>
      <c r="W1332" s="261" t="str">
        <f t="shared" si="198"/>
        <v>BMWZ4 RoadsterZ4 sDrive 20i M Sport Package68400000</v>
      </c>
      <c r="X1332" s="411">
        <f t="shared" si="199"/>
        <v>5106</v>
      </c>
      <c r="Y1332" s="261">
        <v>6</v>
      </c>
      <c r="Z1332" s="261">
        <v>6</v>
      </c>
      <c r="AA1332" s="407" t="s">
        <v>1839</v>
      </c>
      <c r="AB1332" s="258" t="s">
        <v>3683</v>
      </c>
      <c r="AC1332" s="258"/>
      <c r="AD1332" s="258">
        <v>5</v>
      </c>
      <c r="AE1332" s="258">
        <v>0</v>
      </c>
      <c r="AF1332" s="259"/>
      <c r="AG1332" s="260"/>
      <c r="AH1332" s="259"/>
      <c r="AI1332" s="259"/>
      <c r="AJ1332" s="260"/>
      <c r="AK1332" s="259">
        <v>14</v>
      </c>
      <c r="AL1332" s="259"/>
      <c r="AM1332" s="259" t="s">
        <v>3728</v>
      </c>
      <c r="AN1332" s="449"/>
      <c r="AO1332" s="449"/>
      <c r="AP1332" s="449"/>
      <c r="AQ1332" s="392" t="str">
        <f>IFERROR(VLOOKUP(BG1332,#REF!,1,0),"")</f>
        <v/>
      </c>
      <c r="AS1332" s="259" t="s">
        <v>3228</v>
      </c>
      <c r="AW1332" s="392" t="s">
        <v>3958</v>
      </c>
      <c r="BD1332" s="202" t="str">
        <f t="shared" si="191"/>
        <v>Z4 RoadsterZ4 sDrive 20i M Sport Package</v>
      </c>
      <c r="BE1332" s="261" t="str">
        <f t="shared" si="197"/>
        <v>0224</v>
      </c>
      <c r="BF1332" s="407" t="s">
        <v>1839</v>
      </c>
      <c r="BG1332" s="202" t="str">
        <f t="shared" si="192"/>
        <v>0224-1331</v>
      </c>
    </row>
    <row r="1333" spans="1:59">
      <c r="A1333" s="405">
        <v>5107</v>
      </c>
      <c r="B1333" s="406">
        <v>5107</v>
      </c>
      <c r="C1333" s="261" t="str">
        <f t="shared" si="193"/>
        <v>0007-0225</v>
      </c>
      <c r="D1333" s="261" t="str">
        <f t="shared" si="194"/>
        <v>0007-0225-0001</v>
      </c>
      <c r="E1333" s="407" t="s">
        <v>1840</v>
      </c>
      <c r="F1333" s="261" t="str">
        <f>TEXT(VLOOKUP(J1333,'[3]1'!$B$2:$D$37,2,0),"0000")</f>
        <v>0007</v>
      </c>
      <c r="G1333" s="261" t="str">
        <f t="shared" si="195"/>
        <v>0225</v>
      </c>
      <c r="H1333" s="408">
        <f t="shared" si="196"/>
        <v>1</v>
      </c>
      <c r="I1333" s="407" t="s">
        <v>1840</v>
      </c>
      <c r="J1333" s="258" t="s">
        <v>3262</v>
      </c>
      <c r="K1333" s="258" t="s">
        <v>3000</v>
      </c>
      <c r="L1333" s="258" t="s">
        <v>3001</v>
      </c>
      <c r="M1333" s="316">
        <v>309000000</v>
      </c>
      <c r="N1333" s="266">
        <v>3996</v>
      </c>
      <c r="O1333" s="258" t="s">
        <v>77</v>
      </c>
      <c r="P1333" s="258" t="s">
        <v>1965</v>
      </c>
      <c r="Q1333" s="258" t="s">
        <v>72</v>
      </c>
      <c r="R1333" s="258">
        <v>5</v>
      </c>
      <c r="S1333" s="410">
        <v>17</v>
      </c>
      <c r="T1333" s="261">
        <v>6</v>
      </c>
      <c r="U1333" s="261">
        <v>6</v>
      </c>
      <c r="V1333" s="258" t="s">
        <v>71</v>
      </c>
      <c r="W1333" s="261" t="str">
        <f t="shared" si="198"/>
        <v>BENTLEY벤테이가벤테이가 V8309000000</v>
      </c>
      <c r="X1333" s="411">
        <f t="shared" si="199"/>
        <v>5107</v>
      </c>
      <c r="Y1333" s="261">
        <v>6</v>
      </c>
      <c r="Z1333" s="261">
        <v>6</v>
      </c>
      <c r="AA1333" s="407" t="s">
        <v>1840</v>
      </c>
      <c r="AB1333" s="258" t="s">
        <v>1965</v>
      </c>
      <c r="AC1333" s="258"/>
      <c r="AD1333" s="258">
        <v>6</v>
      </c>
      <c r="AE1333" s="258">
        <v>0</v>
      </c>
      <c r="AF1333" s="259"/>
      <c r="AG1333" s="260"/>
      <c r="AH1333" s="259"/>
      <c r="AI1333" s="259"/>
      <c r="AJ1333" s="260"/>
      <c r="AK1333" s="259">
        <v>18</v>
      </c>
      <c r="AL1333" s="259"/>
      <c r="AM1333" s="259" t="s">
        <v>3667</v>
      </c>
      <c r="AN1333" s="449"/>
      <c r="AO1333" s="449"/>
      <c r="AP1333" s="449"/>
      <c r="AQ1333" s="392" t="str">
        <f>IFERROR(VLOOKUP(BG1333,#REF!,1,0),"")</f>
        <v/>
      </c>
      <c r="AS1333" s="259" t="s">
        <v>3236</v>
      </c>
      <c r="BD1333" s="202" t="str">
        <f t="shared" si="191"/>
        <v>벤테이가벤테이가 V8</v>
      </c>
      <c r="BE1333" s="261" t="str">
        <f t="shared" si="197"/>
        <v>0225</v>
      </c>
      <c r="BF1333" s="407" t="s">
        <v>1840</v>
      </c>
      <c r="BG1333" s="202" t="str">
        <f t="shared" si="192"/>
        <v>0225-1332</v>
      </c>
    </row>
    <row r="1334" spans="1:59">
      <c r="A1334" s="405">
        <v>5108</v>
      </c>
      <c r="B1334" s="406">
        <v>5108</v>
      </c>
      <c r="C1334" s="261" t="str">
        <f t="shared" si="193"/>
        <v>0007-0226</v>
      </c>
      <c r="D1334" s="261" t="str">
        <f t="shared" si="194"/>
        <v>0007-0226-0001</v>
      </c>
      <c r="E1334" s="407" t="s">
        <v>1841</v>
      </c>
      <c r="F1334" s="261" t="str">
        <f>TEXT(VLOOKUP(J1334,'[3]1'!$B$2:$D$37,2,0),"0000")</f>
        <v>0007</v>
      </c>
      <c r="G1334" s="261" t="str">
        <f t="shared" si="195"/>
        <v>0226</v>
      </c>
      <c r="H1334" s="408">
        <f t="shared" si="196"/>
        <v>1</v>
      </c>
      <c r="I1334" s="407" t="s">
        <v>1841</v>
      </c>
      <c r="J1334" s="258" t="s">
        <v>194</v>
      </c>
      <c r="K1334" s="258" t="s">
        <v>196</v>
      </c>
      <c r="L1334" s="258" t="s">
        <v>1253</v>
      </c>
      <c r="M1334" s="409">
        <v>295000000</v>
      </c>
      <c r="N1334" s="258">
        <v>5998</v>
      </c>
      <c r="O1334" s="258" t="s">
        <v>77</v>
      </c>
      <c r="P1334" s="258" t="s">
        <v>73</v>
      </c>
      <c r="Q1334" s="258" t="s">
        <v>72</v>
      </c>
      <c r="R1334" s="258">
        <v>4</v>
      </c>
      <c r="S1334" s="410">
        <v>17</v>
      </c>
      <c r="T1334" s="261">
        <v>6</v>
      </c>
      <c r="U1334" s="261">
        <v>6</v>
      </c>
      <c r="V1334" s="258" t="s">
        <v>71</v>
      </c>
      <c r="W1334" s="261" t="str">
        <f t="shared" si="198"/>
        <v>BENTLEY컨티넨탈 컨버터블GT W12295000000</v>
      </c>
      <c r="X1334" s="411">
        <f t="shared" si="199"/>
        <v>5108</v>
      </c>
      <c r="Y1334" s="261">
        <v>6</v>
      </c>
      <c r="Z1334" s="261">
        <v>6</v>
      </c>
      <c r="AA1334" s="407" t="s">
        <v>1841</v>
      </c>
      <c r="AB1334" s="258" t="s">
        <v>73</v>
      </c>
      <c r="AC1334" s="258"/>
      <c r="AD1334" s="258">
        <v>6</v>
      </c>
      <c r="AE1334" s="258">
        <v>0</v>
      </c>
      <c r="AF1334" s="259"/>
      <c r="AG1334" s="260"/>
      <c r="AH1334" s="259"/>
      <c r="AI1334" s="259"/>
      <c r="AJ1334" s="260"/>
      <c r="AK1334" s="259">
        <v>18</v>
      </c>
      <c r="AL1334" s="259"/>
      <c r="AM1334" s="259" t="s">
        <v>3667</v>
      </c>
      <c r="AN1334" s="449"/>
      <c r="AO1334" s="449"/>
      <c r="AP1334" s="449"/>
      <c r="AQ1334" s="392" t="str">
        <f>IFERROR(VLOOKUP(BG1334,#REF!,1,0),"")</f>
        <v/>
      </c>
      <c r="AS1334" s="259" t="s">
        <v>3236</v>
      </c>
      <c r="BD1334" s="202" t="str">
        <f t="shared" si="191"/>
        <v>컨티넨탈 컨버터블GT W12</v>
      </c>
      <c r="BE1334" s="261" t="str">
        <f t="shared" si="197"/>
        <v>0226</v>
      </c>
      <c r="BF1334" s="407" t="s">
        <v>1841</v>
      </c>
      <c r="BG1334" s="202" t="str">
        <f t="shared" si="192"/>
        <v>0226-1333</v>
      </c>
    </row>
    <row r="1335" spans="1:59">
      <c r="A1335" s="405">
        <v>5109</v>
      </c>
      <c r="B1335" s="406">
        <v>5109</v>
      </c>
      <c r="C1335" s="261" t="str">
        <f t="shared" si="193"/>
        <v>0007-0226</v>
      </c>
      <c r="D1335" s="261" t="str">
        <f t="shared" si="194"/>
        <v>0007-0226-0002</v>
      </c>
      <c r="E1335" s="407" t="s">
        <v>1842</v>
      </c>
      <c r="F1335" s="261" t="str">
        <f>TEXT(VLOOKUP(J1335,'[3]1'!$B$2:$D$37,2,0),"0000")</f>
        <v>0007</v>
      </c>
      <c r="G1335" s="261" t="str">
        <f t="shared" si="195"/>
        <v>0226</v>
      </c>
      <c r="H1335" s="408">
        <f t="shared" si="196"/>
        <v>2</v>
      </c>
      <c r="I1335" s="407" t="s">
        <v>1842</v>
      </c>
      <c r="J1335" s="258" t="s">
        <v>194</v>
      </c>
      <c r="K1335" s="258" t="s">
        <v>196</v>
      </c>
      <c r="L1335" s="258" t="s">
        <v>195</v>
      </c>
      <c r="M1335" s="409">
        <v>263000000</v>
      </c>
      <c r="N1335" s="258">
        <v>3993</v>
      </c>
      <c r="O1335" s="258" t="s">
        <v>77</v>
      </c>
      <c r="P1335" s="258" t="s">
        <v>73</v>
      </c>
      <c r="Q1335" s="258" t="s">
        <v>72</v>
      </c>
      <c r="R1335" s="258">
        <v>4</v>
      </c>
      <c r="S1335" s="410">
        <v>17</v>
      </c>
      <c r="T1335" s="261">
        <v>6</v>
      </c>
      <c r="U1335" s="261">
        <v>6</v>
      </c>
      <c r="V1335" s="258" t="s">
        <v>71</v>
      </c>
      <c r="W1335" s="261" t="str">
        <f t="shared" si="198"/>
        <v>BENTLEY컨티넨탈 컨버터블GTC V8263000000</v>
      </c>
      <c r="X1335" s="411">
        <f t="shared" si="199"/>
        <v>5109</v>
      </c>
      <c r="Y1335" s="261">
        <v>6</v>
      </c>
      <c r="Z1335" s="261">
        <v>6</v>
      </c>
      <c r="AA1335" s="407" t="s">
        <v>1842</v>
      </c>
      <c r="AB1335" s="258" t="s">
        <v>3827</v>
      </c>
      <c r="AC1335" s="258"/>
      <c r="AD1335" s="258">
        <v>6</v>
      </c>
      <c r="AE1335" s="258">
        <v>0</v>
      </c>
      <c r="AF1335" s="259"/>
      <c r="AG1335" s="260"/>
      <c r="AH1335" s="259"/>
      <c r="AI1335" s="259"/>
      <c r="AJ1335" s="260"/>
      <c r="AK1335" s="259">
        <v>18</v>
      </c>
      <c r="AL1335" s="259"/>
      <c r="AM1335" s="259" t="s">
        <v>3667</v>
      </c>
      <c r="AN1335" s="449"/>
      <c r="AO1335" s="449"/>
      <c r="AP1335" s="449"/>
      <c r="AQ1335" s="392" t="str">
        <f>IFERROR(VLOOKUP(BG1335,#REF!,1,0),"")</f>
        <v/>
      </c>
      <c r="AS1335" s="259" t="s">
        <v>3236</v>
      </c>
      <c r="BD1335" s="202" t="str">
        <f t="shared" si="191"/>
        <v>컨티넨탈 컨버터블GTC V8</v>
      </c>
      <c r="BE1335" s="261" t="str">
        <f t="shared" si="197"/>
        <v>0226</v>
      </c>
      <c r="BF1335" s="407" t="s">
        <v>1842</v>
      </c>
      <c r="BG1335" s="202" t="str">
        <f t="shared" si="192"/>
        <v>0226-1334</v>
      </c>
    </row>
    <row r="1336" spans="1:59">
      <c r="A1336" s="405">
        <v>5110</v>
      </c>
      <c r="B1336" s="406">
        <v>5110</v>
      </c>
      <c r="C1336" s="261" t="str">
        <f t="shared" si="193"/>
        <v>0007-0227</v>
      </c>
      <c r="D1336" s="261" t="str">
        <f t="shared" si="194"/>
        <v>0007-0227-0001</v>
      </c>
      <c r="E1336" s="407" t="s">
        <v>1843</v>
      </c>
      <c r="F1336" s="261" t="str">
        <f>TEXT(VLOOKUP(J1336,'[3]1'!$B$2:$D$37,2,0),"0000")</f>
        <v>0007</v>
      </c>
      <c r="G1336" s="261" t="str">
        <f t="shared" si="195"/>
        <v>0227</v>
      </c>
      <c r="H1336" s="408">
        <f t="shared" si="196"/>
        <v>1</v>
      </c>
      <c r="I1336" s="407" t="s">
        <v>1843</v>
      </c>
      <c r="J1336" s="258" t="s">
        <v>194</v>
      </c>
      <c r="K1336" s="258" t="s">
        <v>1254</v>
      </c>
      <c r="L1336" s="258" t="s">
        <v>1255</v>
      </c>
      <c r="M1336" s="409">
        <v>252000000</v>
      </c>
      <c r="N1336" s="258">
        <v>3993</v>
      </c>
      <c r="O1336" s="258" t="s">
        <v>77</v>
      </c>
      <c r="P1336" s="258" t="s">
        <v>73</v>
      </c>
      <c r="Q1336" s="258" t="s">
        <v>72</v>
      </c>
      <c r="R1336" s="258">
        <v>4</v>
      </c>
      <c r="S1336" s="410">
        <v>17</v>
      </c>
      <c r="T1336" s="261">
        <v>6</v>
      </c>
      <c r="U1336" s="261">
        <v>6</v>
      </c>
      <c r="V1336" s="258" t="s">
        <v>71</v>
      </c>
      <c r="W1336" s="261" t="str">
        <f t="shared" si="198"/>
        <v>BENTLEY컨티넨탈 쿠페GT V8252000000</v>
      </c>
      <c r="X1336" s="411">
        <f t="shared" si="199"/>
        <v>5110</v>
      </c>
      <c r="Y1336" s="261">
        <v>6</v>
      </c>
      <c r="Z1336" s="261">
        <v>6</v>
      </c>
      <c r="AA1336" s="407" t="s">
        <v>1843</v>
      </c>
      <c r="AB1336" s="258" t="s">
        <v>3827</v>
      </c>
      <c r="AC1336" s="258"/>
      <c r="AD1336" s="258">
        <v>6</v>
      </c>
      <c r="AE1336" s="258">
        <v>0</v>
      </c>
      <c r="AF1336" s="259"/>
      <c r="AG1336" s="260"/>
      <c r="AH1336" s="259"/>
      <c r="AI1336" s="259"/>
      <c r="AJ1336" s="260"/>
      <c r="AK1336" s="259">
        <v>18</v>
      </c>
      <c r="AL1336" s="259"/>
      <c r="AM1336" s="259" t="s">
        <v>3667</v>
      </c>
      <c r="AN1336" s="449"/>
      <c r="AO1336" s="449"/>
      <c r="AP1336" s="449"/>
      <c r="AQ1336" s="392" t="str">
        <f>IFERROR(VLOOKUP(BG1336,#REF!,1,0),"")</f>
        <v/>
      </c>
      <c r="AS1336" s="259" t="s">
        <v>3236</v>
      </c>
      <c r="BD1336" s="202" t="str">
        <f t="shared" si="191"/>
        <v>컨티넨탈 쿠페GT V8</v>
      </c>
      <c r="BE1336" s="261" t="str">
        <f t="shared" si="197"/>
        <v>0227</v>
      </c>
      <c r="BF1336" s="407" t="s">
        <v>1843</v>
      </c>
      <c r="BG1336" s="202" t="str">
        <f t="shared" si="192"/>
        <v>0227-1335</v>
      </c>
    </row>
    <row r="1337" spans="1:59">
      <c r="A1337" s="405">
        <v>5111</v>
      </c>
      <c r="B1337" s="406">
        <v>5111</v>
      </c>
      <c r="C1337" s="261" t="str">
        <f t="shared" si="193"/>
        <v>0007-0228</v>
      </c>
      <c r="D1337" s="261" t="str">
        <f t="shared" si="194"/>
        <v>0007-0228-0001</v>
      </c>
      <c r="E1337" s="407" t="s">
        <v>1844</v>
      </c>
      <c r="F1337" s="261" t="str">
        <f>TEXT(VLOOKUP(J1337,'[3]1'!$B$2:$D$37,2,0),"0000")</f>
        <v>0007</v>
      </c>
      <c r="G1337" s="261" t="str">
        <f t="shared" si="195"/>
        <v>0228</v>
      </c>
      <c r="H1337" s="408">
        <f t="shared" si="196"/>
        <v>1</v>
      </c>
      <c r="I1337" s="407" t="s">
        <v>1844</v>
      </c>
      <c r="J1337" s="258" t="s">
        <v>194</v>
      </c>
      <c r="K1337" s="258" t="s">
        <v>193</v>
      </c>
      <c r="L1337" s="258" t="s">
        <v>1996</v>
      </c>
      <c r="M1337" s="409">
        <v>330000000</v>
      </c>
      <c r="N1337" s="258">
        <v>3996</v>
      </c>
      <c r="O1337" s="258" t="s">
        <v>77</v>
      </c>
      <c r="P1337" s="258" t="s">
        <v>73</v>
      </c>
      <c r="Q1337" s="258" t="s">
        <v>72</v>
      </c>
      <c r="R1337" s="258">
        <v>5</v>
      </c>
      <c r="S1337" s="410">
        <v>14</v>
      </c>
      <c r="T1337" s="261">
        <v>6</v>
      </c>
      <c r="U1337" s="261">
        <v>6</v>
      </c>
      <c r="V1337" s="258" t="s">
        <v>71</v>
      </c>
      <c r="W1337" s="261" t="str">
        <f t="shared" si="198"/>
        <v>BENTLEY플라잉 스퍼S330000000</v>
      </c>
      <c r="X1337" s="411">
        <f t="shared" si="199"/>
        <v>5111</v>
      </c>
      <c r="Y1337" s="261">
        <v>6</v>
      </c>
      <c r="Z1337" s="261">
        <v>6</v>
      </c>
      <c r="AA1337" s="407" t="s">
        <v>1844</v>
      </c>
      <c r="AB1337" s="258" t="s">
        <v>3827</v>
      </c>
      <c r="AC1337" s="258"/>
      <c r="AD1337" s="258">
        <v>6</v>
      </c>
      <c r="AE1337" s="258">
        <v>0</v>
      </c>
      <c r="AF1337" s="259"/>
      <c r="AG1337" s="260"/>
      <c r="AH1337" s="259"/>
      <c r="AI1337" s="259"/>
      <c r="AJ1337" s="260"/>
      <c r="AK1337" s="259">
        <v>22</v>
      </c>
      <c r="AL1337" s="259"/>
      <c r="AM1337" s="259" t="s">
        <v>3671</v>
      </c>
      <c r="AN1337" s="449"/>
      <c r="AO1337" s="449"/>
      <c r="AP1337" s="449"/>
      <c r="AQ1337" s="392" t="str">
        <f>IFERROR(VLOOKUP(BG1337,#REF!,1,0),"")</f>
        <v/>
      </c>
      <c r="AS1337" s="259" t="s">
        <v>71</v>
      </c>
      <c r="BD1337" s="202" t="str">
        <f t="shared" si="191"/>
        <v>플라잉 스퍼S</v>
      </c>
      <c r="BE1337" s="261" t="str">
        <f t="shared" si="197"/>
        <v>0228</v>
      </c>
      <c r="BF1337" s="407" t="s">
        <v>1844</v>
      </c>
      <c r="BG1337" s="202" t="str">
        <f t="shared" si="192"/>
        <v>0228-1336</v>
      </c>
    </row>
    <row r="1338" spans="1:59">
      <c r="A1338" s="405">
        <v>5112</v>
      </c>
      <c r="B1338" s="406">
        <v>5112</v>
      </c>
      <c r="C1338" s="261" t="str">
        <f t="shared" si="193"/>
        <v>0006-0229</v>
      </c>
      <c r="D1338" s="261" t="str">
        <f t="shared" si="194"/>
        <v>0006-0229-0001</v>
      </c>
      <c r="E1338" s="407" t="s">
        <v>1845</v>
      </c>
      <c r="F1338" s="261" t="str">
        <f>TEXT(VLOOKUP(J1338,'[3]1'!$B$2:$D$37,2,0),"0000")</f>
        <v>0006</v>
      </c>
      <c r="G1338" s="261" t="str">
        <f t="shared" si="195"/>
        <v>0229</v>
      </c>
      <c r="H1338" s="408">
        <f t="shared" si="196"/>
        <v>1</v>
      </c>
      <c r="I1338" s="407" t="s">
        <v>1845</v>
      </c>
      <c r="J1338" s="258" t="s">
        <v>197</v>
      </c>
      <c r="K1338" s="258" t="s">
        <v>3136</v>
      </c>
      <c r="L1338" s="258" t="s">
        <v>1907</v>
      </c>
      <c r="M1338" s="409">
        <v>34100000</v>
      </c>
      <c r="N1338" s="258">
        <v>1984</v>
      </c>
      <c r="O1338" s="258" t="s">
        <v>77</v>
      </c>
      <c r="P1338" s="258" t="s">
        <v>73</v>
      </c>
      <c r="Q1338" s="258" t="s">
        <v>72</v>
      </c>
      <c r="R1338" s="258">
        <v>5</v>
      </c>
      <c r="S1338" s="410">
        <v>10</v>
      </c>
      <c r="T1338" s="261">
        <v>6</v>
      </c>
      <c r="U1338" s="261">
        <v>6</v>
      </c>
      <c r="V1338" s="258" t="s">
        <v>71</v>
      </c>
      <c r="W1338" s="261" t="str">
        <f t="shared" si="198"/>
        <v>AUDIA340 TFSI34100000</v>
      </c>
      <c r="X1338" s="411">
        <f t="shared" si="199"/>
        <v>5112</v>
      </c>
      <c r="Y1338" s="261">
        <v>6</v>
      </c>
      <c r="Z1338" s="261">
        <v>6</v>
      </c>
      <c r="AA1338" s="407" t="s">
        <v>1845</v>
      </c>
      <c r="AB1338" s="258" t="s">
        <v>73</v>
      </c>
      <c r="AC1338" s="258"/>
      <c r="AD1338" s="258">
        <v>3</v>
      </c>
      <c r="AE1338" s="258">
        <v>1</v>
      </c>
      <c r="AF1338" s="259"/>
      <c r="AG1338" s="260"/>
      <c r="AH1338" s="259"/>
      <c r="AI1338" s="259"/>
      <c r="AJ1338" s="260"/>
      <c r="AK1338" s="259">
        <v>15</v>
      </c>
      <c r="AL1338" s="259"/>
      <c r="AM1338" s="259" t="s">
        <v>3664</v>
      </c>
      <c r="AN1338" s="449"/>
      <c r="AO1338" s="449"/>
      <c r="AP1338" s="449"/>
      <c r="AQ1338" s="392" t="str">
        <f>IFERROR(VLOOKUP(BG1338,#REF!,1,0),"")</f>
        <v/>
      </c>
      <c r="AS1338" s="259" t="s">
        <v>3224</v>
      </c>
      <c r="BD1338" s="202" t="str">
        <f t="shared" si="191"/>
        <v>A340 TFSI</v>
      </c>
      <c r="BE1338" s="261" t="str">
        <f t="shared" si="197"/>
        <v>0229</v>
      </c>
      <c r="BF1338" s="407" t="s">
        <v>1845</v>
      </c>
      <c r="BG1338" s="202" t="str">
        <f t="shared" si="192"/>
        <v>0229-1337</v>
      </c>
    </row>
    <row r="1339" spans="1:59">
      <c r="A1339" s="405">
        <v>5113</v>
      </c>
      <c r="B1339" s="406">
        <v>5113</v>
      </c>
      <c r="C1339" s="261" t="str">
        <f t="shared" si="193"/>
        <v>0006-0229</v>
      </c>
      <c r="D1339" s="261" t="str">
        <f t="shared" si="194"/>
        <v>0006-0229-0002</v>
      </c>
      <c r="E1339" s="407" t="s">
        <v>1846</v>
      </c>
      <c r="F1339" s="261" t="str">
        <f>TEXT(VLOOKUP(J1339,'[3]1'!$B$2:$D$37,2,0),"0000")</f>
        <v>0006</v>
      </c>
      <c r="G1339" s="261" t="str">
        <f t="shared" si="195"/>
        <v>0229</v>
      </c>
      <c r="H1339" s="408">
        <f t="shared" si="196"/>
        <v>2</v>
      </c>
      <c r="I1339" s="407" t="s">
        <v>1846</v>
      </c>
      <c r="J1339" s="258" t="s">
        <v>197</v>
      </c>
      <c r="K1339" s="258" t="s">
        <v>3136</v>
      </c>
      <c r="L1339" s="258" t="s">
        <v>3604</v>
      </c>
      <c r="M1339" s="409">
        <v>34100000</v>
      </c>
      <c r="N1339" s="258">
        <v>1984</v>
      </c>
      <c r="O1339" s="258" t="s">
        <v>77</v>
      </c>
      <c r="P1339" s="258" t="s">
        <v>73</v>
      </c>
      <c r="Q1339" s="258" t="s">
        <v>72</v>
      </c>
      <c r="R1339" s="258">
        <v>5</v>
      </c>
      <c r="S1339" s="410">
        <v>10</v>
      </c>
      <c r="T1339" s="261">
        <v>6</v>
      </c>
      <c r="U1339" s="261">
        <v>6</v>
      </c>
      <c r="V1339" s="258" t="s">
        <v>71</v>
      </c>
      <c r="W1339" s="261" t="str">
        <f t="shared" si="198"/>
        <v>AUDIA340 TFSI 프리미엄34100000</v>
      </c>
      <c r="X1339" s="411">
        <f t="shared" si="199"/>
        <v>5113</v>
      </c>
      <c r="Y1339" s="261">
        <v>6</v>
      </c>
      <c r="Z1339" s="261">
        <v>6</v>
      </c>
      <c r="AA1339" s="407" t="s">
        <v>1846</v>
      </c>
      <c r="AB1339" s="258" t="s">
        <v>73</v>
      </c>
      <c r="AC1339" s="258"/>
      <c r="AD1339" s="258">
        <v>3</v>
      </c>
      <c r="AE1339" s="258">
        <v>1</v>
      </c>
      <c r="AF1339" s="259"/>
      <c r="AG1339" s="260"/>
      <c r="AH1339" s="259"/>
      <c r="AI1339" s="259"/>
      <c r="AJ1339" s="260"/>
      <c r="AK1339" s="259">
        <v>15</v>
      </c>
      <c r="AL1339" s="259"/>
      <c r="AM1339" s="259" t="s">
        <v>3664</v>
      </c>
      <c r="AN1339" s="449"/>
      <c r="AO1339" s="449"/>
      <c r="AP1339" s="449"/>
      <c r="AQ1339" s="392" t="str">
        <f>IFERROR(VLOOKUP(BG1339,#REF!,1,0),"")</f>
        <v/>
      </c>
      <c r="AS1339" s="259" t="s">
        <v>3224</v>
      </c>
      <c r="BD1339" s="202" t="str">
        <f t="shared" si="191"/>
        <v>A340 TFSI 프리미엄</v>
      </c>
      <c r="BE1339" s="261" t="str">
        <f t="shared" si="197"/>
        <v>0229</v>
      </c>
      <c r="BF1339" s="407" t="s">
        <v>1846</v>
      </c>
      <c r="BG1339" s="202" t="str">
        <f t="shared" si="192"/>
        <v>0229-1338</v>
      </c>
    </row>
    <row r="1340" spans="1:59">
      <c r="A1340" s="405">
        <v>5114</v>
      </c>
      <c r="B1340" s="406">
        <v>5114</v>
      </c>
      <c r="C1340" s="261" t="str">
        <f t="shared" si="193"/>
        <v>0006-0230</v>
      </c>
      <c r="D1340" s="261" t="str">
        <f t="shared" si="194"/>
        <v>0006-0230-0001</v>
      </c>
      <c r="E1340" s="407" t="s">
        <v>1847</v>
      </c>
      <c r="F1340" s="261" t="str">
        <f>TEXT(VLOOKUP(J1340,'[3]1'!$B$2:$D$37,2,0),"0000")</f>
        <v>0006</v>
      </c>
      <c r="G1340" s="261" t="str">
        <f t="shared" si="195"/>
        <v>0230</v>
      </c>
      <c r="H1340" s="408">
        <f t="shared" si="196"/>
        <v>1</v>
      </c>
      <c r="I1340" s="407" t="s">
        <v>1847</v>
      </c>
      <c r="J1340" s="258" t="s">
        <v>197</v>
      </c>
      <c r="K1340" s="258" t="s">
        <v>3603</v>
      </c>
      <c r="L1340" s="258" t="s">
        <v>3510</v>
      </c>
      <c r="M1340" s="409">
        <v>59639000</v>
      </c>
      <c r="N1340" s="258">
        <v>1984</v>
      </c>
      <c r="O1340" s="258" t="s">
        <v>77</v>
      </c>
      <c r="P1340" s="258" t="s">
        <v>73</v>
      </c>
      <c r="Q1340" s="258" t="s">
        <v>72</v>
      </c>
      <c r="R1340" s="258">
        <v>5</v>
      </c>
      <c r="S1340" s="410">
        <v>15</v>
      </c>
      <c r="T1340" s="261">
        <v>6</v>
      </c>
      <c r="U1340" s="261">
        <v>6</v>
      </c>
      <c r="V1340" s="258" t="s">
        <v>71</v>
      </c>
      <c r="W1340" s="261" t="str">
        <f t="shared" si="198"/>
        <v>AUDIS3S3 2.0 TFSI59639000</v>
      </c>
      <c r="X1340" s="411">
        <f t="shared" si="199"/>
        <v>5114</v>
      </c>
      <c r="Y1340" s="261">
        <v>6</v>
      </c>
      <c r="Z1340" s="261">
        <v>6</v>
      </c>
      <c r="AA1340" s="407" t="s">
        <v>1847</v>
      </c>
      <c r="AB1340" s="258" t="s">
        <v>73</v>
      </c>
      <c r="AC1340" s="258"/>
      <c r="AD1340" s="258">
        <v>3</v>
      </c>
      <c r="AE1340" s="258">
        <v>1</v>
      </c>
      <c r="AF1340" s="259"/>
      <c r="AG1340" s="260"/>
      <c r="AH1340" s="259"/>
      <c r="AI1340" s="259"/>
      <c r="AJ1340" s="260"/>
      <c r="AK1340" s="259">
        <v>16</v>
      </c>
      <c r="AL1340" s="259"/>
      <c r="AM1340" s="259" t="s">
        <v>3665</v>
      </c>
      <c r="AN1340" s="449"/>
      <c r="AO1340" s="449"/>
      <c r="AP1340" s="449"/>
      <c r="AQ1340" s="392" t="str">
        <f>IFERROR(VLOOKUP(BG1340,#REF!,1,0),"")</f>
        <v/>
      </c>
      <c r="AS1340" s="259" t="s">
        <v>1992</v>
      </c>
      <c r="AT1340" s="392">
        <v>2024.02</v>
      </c>
      <c r="AW1340" s="392" t="s">
        <v>1914</v>
      </c>
      <c r="BD1340" s="202" t="str">
        <f t="shared" si="191"/>
        <v>S3S3 2.0 TFSI</v>
      </c>
      <c r="BE1340" s="261" t="str">
        <f t="shared" si="197"/>
        <v>0230</v>
      </c>
      <c r="BF1340" s="407" t="s">
        <v>1847</v>
      </c>
      <c r="BG1340" s="202" t="str">
        <f t="shared" si="192"/>
        <v>0230-1339</v>
      </c>
    </row>
    <row r="1341" spans="1:59">
      <c r="A1341" s="405">
        <v>5115</v>
      </c>
      <c r="B1341" s="406">
        <v>5115</v>
      </c>
      <c r="C1341" s="261" t="str">
        <f t="shared" si="193"/>
        <v>0006-0231</v>
      </c>
      <c r="D1341" s="261" t="str">
        <f t="shared" si="194"/>
        <v>0006-0231-0001</v>
      </c>
      <c r="E1341" s="407" t="s">
        <v>1848</v>
      </c>
      <c r="F1341" s="261" t="str">
        <f>TEXT(VLOOKUP(J1341,'[3]1'!$B$2:$D$37,2,0),"0000")</f>
        <v>0006</v>
      </c>
      <c r="G1341" s="261" t="str">
        <f t="shared" si="195"/>
        <v>0231</v>
      </c>
      <c r="H1341" s="408">
        <f t="shared" si="196"/>
        <v>1</v>
      </c>
      <c r="I1341" s="407" t="s">
        <v>1848</v>
      </c>
      <c r="J1341" s="258" t="s">
        <v>197</v>
      </c>
      <c r="K1341" s="258" t="s">
        <v>1908</v>
      </c>
      <c r="L1341" s="258" t="s">
        <v>3597</v>
      </c>
      <c r="M1341" s="409">
        <v>50200000</v>
      </c>
      <c r="N1341" s="258">
        <v>1968</v>
      </c>
      <c r="O1341" s="258" t="s">
        <v>78</v>
      </c>
      <c r="P1341" s="258" t="s">
        <v>73</v>
      </c>
      <c r="Q1341" s="258" t="s">
        <v>72</v>
      </c>
      <c r="R1341" s="258">
        <v>5</v>
      </c>
      <c r="S1341" s="410">
        <v>3</v>
      </c>
      <c r="T1341" s="261">
        <v>6</v>
      </c>
      <c r="U1341" s="261">
        <v>6</v>
      </c>
      <c r="V1341" s="258" t="s">
        <v>71</v>
      </c>
      <c r="W1341" s="261" t="str">
        <f t="shared" si="198"/>
        <v>AUDIA435 TDI50200000</v>
      </c>
      <c r="X1341" s="411">
        <f t="shared" si="199"/>
        <v>5115</v>
      </c>
      <c r="Y1341" s="261">
        <v>6</v>
      </c>
      <c r="Z1341" s="261">
        <v>6</v>
      </c>
      <c r="AA1341" s="407" t="s">
        <v>1848</v>
      </c>
      <c r="AB1341" s="258" t="s">
        <v>73</v>
      </c>
      <c r="AC1341" s="258"/>
      <c r="AD1341" s="258">
        <v>3</v>
      </c>
      <c r="AE1341" s="258">
        <v>0</v>
      </c>
      <c r="AF1341" s="259"/>
      <c r="AG1341" s="260"/>
      <c r="AH1341" s="259"/>
      <c r="AI1341" s="259"/>
      <c r="AJ1341" s="260"/>
      <c r="AK1341" s="259">
        <v>13</v>
      </c>
      <c r="AL1341" s="259"/>
      <c r="AM1341" s="259" t="s">
        <v>3662</v>
      </c>
      <c r="AN1341" s="449"/>
      <c r="AO1341" s="449"/>
      <c r="AP1341" s="449"/>
      <c r="AQ1341" s="392" t="str">
        <f>IFERROR(VLOOKUP(BG1341,#REF!,1,0),"")</f>
        <v/>
      </c>
      <c r="AS1341" s="259" t="s">
        <v>3237</v>
      </c>
      <c r="BD1341" s="202" t="str">
        <f t="shared" si="191"/>
        <v>A435 TDI</v>
      </c>
      <c r="BE1341" s="261" t="str">
        <f t="shared" si="197"/>
        <v>0231</v>
      </c>
      <c r="BF1341" s="407" t="s">
        <v>1848</v>
      </c>
      <c r="BG1341" s="202" t="str">
        <f t="shared" si="192"/>
        <v>0231-1340</v>
      </c>
    </row>
    <row r="1342" spans="1:59">
      <c r="A1342" s="405">
        <v>5116</v>
      </c>
      <c r="B1342" s="406">
        <v>5116</v>
      </c>
      <c r="C1342" s="261" t="str">
        <f t="shared" si="193"/>
        <v>0006-0231</v>
      </c>
      <c r="D1342" s="261" t="str">
        <f t="shared" si="194"/>
        <v>0006-0231-0002</v>
      </c>
      <c r="E1342" s="407" t="s">
        <v>1849</v>
      </c>
      <c r="F1342" s="261" t="str">
        <f>TEXT(VLOOKUP(J1342,'[3]1'!$B$2:$D$37,2,0),"0000")</f>
        <v>0006</v>
      </c>
      <c r="G1342" s="261" t="str">
        <f t="shared" si="195"/>
        <v>0231</v>
      </c>
      <c r="H1342" s="408">
        <f t="shared" si="196"/>
        <v>2</v>
      </c>
      <c r="I1342" s="407" t="s">
        <v>1849</v>
      </c>
      <c r="J1342" s="258" t="s">
        <v>197</v>
      </c>
      <c r="K1342" s="258" t="s">
        <v>1908</v>
      </c>
      <c r="L1342" s="258" t="s">
        <v>3598</v>
      </c>
      <c r="M1342" s="409">
        <v>59900000</v>
      </c>
      <c r="N1342" s="258">
        <v>1968</v>
      </c>
      <c r="O1342" s="258" t="s">
        <v>78</v>
      </c>
      <c r="P1342" s="258" t="s">
        <v>73</v>
      </c>
      <c r="Q1342" s="258" t="s">
        <v>72</v>
      </c>
      <c r="R1342" s="258">
        <v>5</v>
      </c>
      <c r="S1342" s="410">
        <v>3</v>
      </c>
      <c r="T1342" s="261">
        <v>6</v>
      </c>
      <c r="U1342" s="261">
        <v>6</v>
      </c>
      <c r="V1342" s="258" t="s">
        <v>71</v>
      </c>
      <c r="W1342" s="261" t="str">
        <f t="shared" si="198"/>
        <v>AUDIA440 TDI59900000</v>
      </c>
      <c r="X1342" s="411">
        <f t="shared" si="199"/>
        <v>5116</v>
      </c>
      <c r="Y1342" s="261">
        <v>6</v>
      </c>
      <c r="Z1342" s="261">
        <v>6</v>
      </c>
      <c r="AA1342" s="407" t="s">
        <v>1849</v>
      </c>
      <c r="AB1342" s="258" t="s">
        <v>73</v>
      </c>
      <c r="AC1342" s="258"/>
      <c r="AD1342" s="258">
        <v>3</v>
      </c>
      <c r="AE1342" s="258">
        <v>1</v>
      </c>
      <c r="AF1342" s="259"/>
      <c r="AG1342" s="260"/>
      <c r="AH1342" s="259"/>
      <c r="AI1342" s="259"/>
      <c r="AJ1342" s="260"/>
      <c r="AK1342" s="259">
        <v>13</v>
      </c>
      <c r="AL1342" s="259"/>
      <c r="AM1342" s="259" t="s">
        <v>3662</v>
      </c>
      <c r="AN1342" s="449"/>
      <c r="AO1342" s="449"/>
      <c r="AP1342" s="449"/>
      <c r="AQ1342" s="392" t="str">
        <f>IFERROR(VLOOKUP(BG1342,#REF!,1,0),"")</f>
        <v/>
      </c>
      <c r="AS1342" s="259" t="s">
        <v>3237</v>
      </c>
      <c r="BD1342" s="202" t="str">
        <f t="shared" si="191"/>
        <v>A440 TDI</v>
      </c>
      <c r="BE1342" s="261" t="str">
        <f t="shared" si="197"/>
        <v>0231</v>
      </c>
      <c r="BF1342" s="407" t="s">
        <v>1849</v>
      </c>
      <c r="BG1342" s="202" t="str">
        <f t="shared" si="192"/>
        <v>0231-1341</v>
      </c>
    </row>
    <row r="1343" spans="1:59">
      <c r="A1343" s="405">
        <v>5117</v>
      </c>
      <c r="B1343" s="406">
        <v>5117</v>
      </c>
      <c r="C1343" s="261" t="str">
        <f t="shared" si="193"/>
        <v>0006-0231</v>
      </c>
      <c r="D1343" s="261" t="str">
        <f t="shared" si="194"/>
        <v>0006-0231-0003</v>
      </c>
      <c r="E1343" s="407" t="s">
        <v>1850</v>
      </c>
      <c r="F1343" s="261" t="str">
        <f>TEXT(VLOOKUP(J1343,'[3]1'!$B$2:$D$37,2,0),"0000")</f>
        <v>0006</v>
      </c>
      <c r="G1343" s="261" t="str">
        <f t="shared" si="195"/>
        <v>0231</v>
      </c>
      <c r="H1343" s="408">
        <f t="shared" si="196"/>
        <v>3</v>
      </c>
      <c r="I1343" s="407" t="s">
        <v>1850</v>
      </c>
      <c r="J1343" s="258" t="s">
        <v>197</v>
      </c>
      <c r="K1343" s="258" t="s">
        <v>1908</v>
      </c>
      <c r="L1343" s="258" t="s">
        <v>1907</v>
      </c>
      <c r="M1343" s="409">
        <v>45100000</v>
      </c>
      <c r="N1343" s="258">
        <v>1984</v>
      </c>
      <c r="O1343" s="258" t="s">
        <v>77</v>
      </c>
      <c r="P1343" s="258" t="s">
        <v>73</v>
      </c>
      <c r="Q1343" s="258" t="s">
        <v>72</v>
      </c>
      <c r="R1343" s="258">
        <v>5</v>
      </c>
      <c r="S1343" s="410">
        <v>3</v>
      </c>
      <c r="T1343" s="261">
        <v>6</v>
      </c>
      <c r="U1343" s="261">
        <v>6</v>
      </c>
      <c r="V1343" s="258" t="s">
        <v>71</v>
      </c>
      <c r="W1343" s="261" t="str">
        <f t="shared" si="198"/>
        <v>AUDIA440 TFSI45100000</v>
      </c>
      <c r="X1343" s="411">
        <f t="shared" si="199"/>
        <v>5117</v>
      </c>
      <c r="Y1343" s="261">
        <v>6</v>
      </c>
      <c r="Z1343" s="261">
        <v>6</v>
      </c>
      <c r="AA1343" s="407" t="s">
        <v>1850</v>
      </c>
      <c r="AB1343" s="258" t="s">
        <v>73</v>
      </c>
      <c r="AC1343" s="258"/>
      <c r="AD1343" s="258">
        <v>3</v>
      </c>
      <c r="AE1343" s="258">
        <v>0</v>
      </c>
      <c r="AF1343" s="259"/>
      <c r="AG1343" s="260"/>
      <c r="AH1343" s="259"/>
      <c r="AI1343" s="259"/>
      <c r="AJ1343" s="260"/>
      <c r="AK1343" s="259">
        <v>13</v>
      </c>
      <c r="AL1343" s="259"/>
      <c r="AM1343" s="259" t="s">
        <v>3662</v>
      </c>
      <c r="AN1343" s="449"/>
      <c r="AO1343" s="449"/>
      <c r="AP1343" s="449"/>
      <c r="AQ1343" s="392" t="str">
        <f>IFERROR(VLOOKUP(BG1343,#REF!,1,0),"")</f>
        <v/>
      </c>
      <c r="AS1343" s="259" t="s">
        <v>3237</v>
      </c>
      <c r="BD1343" s="202" t="str">
        <f t="shared" si="191"/>
        <v>A440 TFSI</v>
      </c>
      <c r="BE1343" s="261" t="str">
        <f t="shared" si="197"/>
        <v>0231</v>
      </c>
      <c r="BF1343" s="407" t="s">
        <v>1850</v>
      </c>
      <c r="BG1343" s="202" t="str">
        <f t="shared" si="192"/>
        <v>0231-1342</v>
      </c>
    </row>
    <row r="1344" spans="1:59">
      <c r="A1344" s="405">
        <v>5118</v>
      </c>
      <c r="B1344" s="406">
        <v>5118</v>
      </c>
      <c r="C1344" s="261" t="str">
        <f t="shared" si="193"/>
        <v>0006-0232</v>
      </c>
      <c r="D1344" s="261" t="str">
        <f t="shared" si="194"/>
        <v>0006-0232-0001</v>
      </c>
      <c r="E1344" s="407" t="s">
        <v>1851</v>
      </c>
      <c r="F1344" s="261" t="str">
        <f>TEXT(VLOOKUP(J1344,'[3]1'!$B$2:$D$37,2,0),"0000")</f>
        <v>0006</v>
      </c>
      <c r="G1344" s="261" t="str">
        <f t="shared" si="195"/>
        <v>0232</v>
      </c>
      <c r="H1344" s="408">
        <f t="shared" si="196"/>
        <v>1</v>
      </c>
      <c r="I1344" s="407" t="s">
        <v>1851</v>
      </c>
      <c r="J1344" s="258" t="s">
        <v>197</v>
      </c>
      <c r="K1344" s="258" t="s">
        <v>3599</v>
      </c>
      <c r="L1344" s="258" t="s">
        <v>3511</v>
      </c>
      <c r="M1344" s="409">
        <v>81834000</v>
      </c>
      <c r="N1344" s="426">
        <v>2995</v>
      </c>
      <c r="O1344" s="258" t="s">
        <v>77</v>
      </c>
      <c r="P1344" s="426" t="s">
        <v>73</v>
      </c>
      <c r="Q1344" s="258" t="s">
        <v>72</v>
      </c>
      <c r="R1344" s="426">
        <v>5</v>
      </c>
      <c r="S1344" s="427">
        <v>15</v>
      </c>
      <c r="T1344" s="261">
        <v>6</v>
      </c>
      <c r="U1344" s="261">
        <v>6</v>
      </c>
      <c r="V1344" s="258" t="s">
        <v>1969</v>
      </c>
      <c r="W1344" s="261" t="str">
        <f t="shared" si="198"/>
        <v>AUDIS4S4 3.0 TFSI81834000</v>
      </c>
      <c r="X1344" s="411">
        <f t="shared" si="199"/>
        <v>5118</v>
      </c>
      <c r="Y1344" s="261">
        <v>6</v>
      </c>
      <c r="Z1344" s="261">
        <v>6</v>
      </c>
      <c r="AA1344" s="407" t="s">
        <v>1851</v>
      </c>
      <c r="AB1344" s="258" t="s">
        <v>3683</v>
      </c>
      <c r="AC1344" s="258"/>
      <c r="AD1344" s="258">
        <v>7</v>
      </c>
      <c r="AE1344" s="258"/>
      <c r="AF1344" s="259"/>
      <c r="AG1344" s="260"/>
      <c r="AH1344" s="259"/>
      <c r="AI1344" s="259"/>
      <c r="AJ1344" s="260"/>
      <c r="AK1344" s="259">
        <v>16</v>
      </c>
      <c r="AL1344" s="259"/>
      <c r="AM1344" s="259" t="s">
        <v>3969</v>
      </c>
      <c r="AN1344" s="449"/>
      <c r="AO1344" s="449"/>
      <c r="AP1344" s="449"/>
      <c r="AQ1344" s="392" t="str">
        <f>IFERROR(VLOOKUP(BG1344,#REF!,1,0),"")</f>
        <v/>
      </c>
      <c r="AS1344" s="259" t="s">
        <v>3441</v>
      </c>
      <c r="AT1344" s="392">
        <v>2024.02</v>
      </c>
      <c r="AW1344" s="392" t="s">
        <v>3460</v>
      </c>
      <c r="AY1344" s="312"/>
      <c r="BD1344" s="202" t="str">
        <f t="shared" si="191"/>
        <v>S4S4 3.0 TFSI</v>
      </c>
      <c r="BE1344" s="261" t="str">
        <f t="shared" si="197"/>
        <v>0232</v>
      </c>
      <c r="BF1344" s="407" t="s">
        <v>1851</v>
      </c>
      <c r="BG1344" s="202" t="str">
        <f t="shared" si="192"/>
        <v>0232-1343</v>
      </c>
    </row>
    <row r="1345" spans="1:59">
      <c r="A1345" s="405">
        <v>5119</v>
      </c>
      <c r="B1345" s="406">
        <v>5119</v>
      </c>
      <c r="C1345" s="261" t="str">
        <f t="shared" si="193"/>
        <v>0006-0233</v>
      </c>
      <c r="D1345" s="261" t="str">
        <f t="shared" si="194"/>
        <v>0006-0233-0001</v>
      </c>
      <c r="E1345" s="407" t="s">
        <v>1852</v>
      </c>
      <c r="F1345" s="261" t="str">
        <f>TEXT(VLOOKUP(J1345,'[3]1'!$B$2:$D$37,2,0),"0000")</f>
        <v>0006</v>
      </c>
      <c r="G1345" s="261" t="str">
        <f t="shared" si="195"/>
        <v>0233</v>
      </c>
      <c r="H1345" s="408">
        <f t="shared" si="196"/>
        <v>1</v>
      </c>
      <c r="I1345" s="407" t="s">
        <v>1852</v>
      </c>
      <c r="J1345" s="258" t="s">
        <v>197</v>
      </c>
      <c r="K1345" s="258" t="s">
        <v>1436</v>
      </c>
      <c r="L1345" s="413" t="s">
        <v>3598</v>
      </c>
      <c r="M1345" s="428">
        <v>68580000</v>
      </c>
      <c r="N1345" s="416">
        <v>1968</v>
      </c>
      <c r="O1345" s="413" t="s">
        <v>1961</v>
      </c>
      <c r="P1345" s="413" t="s">
        <v>73</v>
      </c>
      <c r="Q1345" s="413" t="s">
        <v>72</v>
      </c>
      <c r="R1345" s="416">
        <v>5</v>
      </c>
      <c r="S1345" s="410">
        <v>6</v>
      </c>
      <c r="T1345" s="261">
        <v>6</v>
      </c>
      <c r="U1345" s="261">
        <v>6</v>
      </c>
      <c r="V1345" s="258" t="s">
        <v>71</v>
      </c>
      <c r="W1345" s="261" t="str">
        <f t="shared" si="198"/>
        <v>AUDIA540 TDI68580000</v>
      </c>
      <c r="X1345" s="411">
        <f t="shared" si="199"/>
        <v>5119</v>
      </c>
      <c r="Y1345" s="261">
        <v>6</v>
      </c>
      <c r="Z1345" s="261">
        <v>6</v>
      </c>
      <c r="AA1345" s="407" t="s">
        <v>1852</v>
      </c>
      <c r="AB1345" s="258" t="s">
        <v>73</v>
      </c>
      <c r="AC1345" s="258"/>
      <c r="AD1345" s="258">
        <v>3</v>
      </c>
      <c r="AE1345" s="258">
        <v>1</v>
      </c>
      <c r="AF1345" s="259"/>
      <c r="AG1345" s="260"/>
      <c r="AH1345" s="259"/>
      <c r="AI1345" s="259"/>
      <c r="AJ1345" s="260"/>
      <c r="AK1345" s="259">
        <v>15</v>
      </c>
      <c r="AL1345" s="259"/>
      <c r="AM1345" s="259" t="s">
        <v>3664</v>
      </c>
      <c r="AN1345" s="449"/>
      <c r="AO1345" s="449"/>
      <c r="AP1345" s="449"/>
      <c r="AQ1345" s="392" t="str">
        <f>IFERROR(VLOOKUP(BG1345,#REF!,1,0),"")</f>
        <v/>
      </c>
      <c r="AS1345" s="259" t="s">
        <v>150</v>
      </c>
      <c r="AX1345" s="392">
        <v>2024.02</v>
      </c>
      <c r="BB1345" s="202" t="s">
        <v>3440</v>
      </c>
      <c r="BD1345" s="202" t="str">
        <f t="shared" si="191"/>
        <v>A540 TDI</v>
      </c>
      <c r="BE1345" s="261" t="str">
        <f t="shared" si="197"/>
        <v>0233</v>
      </c>
      <c r="BF1345" s="407" t="s">
        <v>1852</v>
      </c>
      <c r="BG1345" s="202" t="str">
        <f t="shared" si="192"/>
        <v>0233-1344</v>
      </c>
    </row>
    <row r="1346" spans="1:59">
      <c r="A1346" s="405">
        <v>5120</v>
      </c>
      <c r="B1346" s="406">
        <v>5120</v>
      </c>
      <c r="C1346" s="261" t="str">
        <f t="shared" si="193"/>
        <v>0006-0233</v>
      </c>
      <c r="D1346" s="261" t="str">
        <f t="shared" si="194"/>
        <v>0006-0233-0002</v>
      </c>
      <c r="E1346" s="407" t="s">
        <v>1853</v>
      </c>
      <c r="F1346" s="261" t="str">
        <f>TEXT(VLOOKUP(J1346,'[3]1'!$B$2:$D$37,2,0),"0000")</f>
        <v>0006</v>
      </c>
      <c r="G1346" s="261" t="str">
        <f t="shared" si="195"/>
        <v>0233</v>
      </c>
      <c r="H1346" s="408">
        <f t="shared" si="196"/>
        <v>2</v>
      </c>
      <c r="I1346" s="407" t="s">
        <v>1853</v>
      </c>
      <c r="J1346" s="258" t="s">
        <v>197</v>
      </c>
      <c r="K1346" s="258" t="s">
        <v>1436</v>
      </c>
      <c r="L1346" s="413" t="s">
        <v>3343</v>
      </c>
      <c r="M1346" s="428">
        <v>68580000</v>
      </c>
      <c r="N1346" s="416">
        <v>1984</v>
      </c>
      <c r="O1346" s="413" t="s">
        <v>1961</v>
      </c>
      <c r="P1346" s="413" t="s">
        <v>73</v>
      </c>
      <c r="Q1346" s="413" t="s">
        <v>72</v>
      </c>
      <c r="R1346" s="416">
        <v>5</v>
      </c>
      <c r="S1346" s="410">
        <v>6</v>
      </c>
      <c r="T1346" s="261">
        <v>6</v>
      </c>
      <c r="U1346" s="261">
        <v>6</v>
      </c>
      <c r="V1346" s="258" t="s">
        <v>71</v>
      </c>
      <c r="W1346" s="261" t="str">
        <f t="shared" si="198"/>
        <v>AUDIA540 TFSI68580000</v>
      </c>
      <c r="X1346" s="411">
        <f t="shared" si="199"/>
        <v>5120</v>
      </c>
      <c r="Y1346" s="261">
        <v>6</v>
      </c>
      <c r="Z1346" s="261">
        <v>6</v>
      </c>
      <c r="AA1346" s="407" t="s">
        <v>1853</v>
      </c>
      <c r="AB1346" s="258" t="s">
        <v>73</v>
      </c>
      <c r="AC1346" s="258"/>
      <c r="AD1346" s="258">
        <v>3</v>
      </c>
      <c r="AE1346" s="258">
        <v>1</v>
      </c>
      <c r="AF1346" s="259"/>
      <c r="AG1346" s="260"/>
      <c r="AH1346" s="259"/>
      <c r="AI1346" s="259"/>
      <c r="AJ1346" s="260"/>
      <c r="AK1346" s="259">
        <v>15</v>
      </c>
      <c r="AL1346" s="259"/>
      <c r="AM1346" s="259" t="s">
        <v>3664</v>
      </c>
      <c r="AN1346" s="449"/>
      <c r="AO1346" s="449"/>
      <c r="AP1346" s="449"/>
      <c r="AQ1346" s="392" t="str">
        <f>IFERROR(VLOOKUP(BG1346,#REF!,1,0),"")</f>
        <v/>
      </c>
      <c r="AS1346" s="259" t="s">
        <v>150</v>
      </c>
      <c r="AX1346" s="392">
        <v>2024.02</v>
      </c>
      <c r="BB1346" s="202" t="s">
        <v>3440</v>
      </c>
      <c r="BD1346" s="202" t="str">
        <f t="shared" si="191"/>
        <v>A540 TFSI</v>
      </c>
      <c r="BE1346" s="261" t="str">
        <f t="shared" si="197"/>
        <v>0233</v>
      </c>
      <c r="BF1346" s="407" t="s">
        <v>1853</v>
      </c>
      <c r="BG1346" s="202" t="str">
        <f t="shared" si="192"/>
        <v>0233-1345</v>
      </c>
    </row>
    <row r="1347" spans="1:59">
      <c r="A1347" s="405">
        <v>5121</v>
      </c>
      <c r="B1347" s="406">
        <v>5121</v>
      </c>
      <c r="C1347" s="261" t="str">
        <f t="shared" si="193"/>
        <v>0006-0233</v>
      </c>
      <c r="D1347" s="261" t="str">
        <f t="shared" si="194"/>
        <v>0006-0233-0003</v>
      </c>
      <c r="E1347" s="407" t="s">
        <v>1854</v>
      </c>
      <c r="F1347" s="261" t="str">
        <f>TEXT(VLOOKUP(J1347,'[3]1'!$B$2:$D$37,2,0),"0000")</f>
        <v>0006</v>
      </c>
      <c r="G1347" s="261" t="str">
        <f t="shared" si="195"/>
        <v>0233</v>
      </c>
      <c r="H1347" s="408">
        <f t="shared" si="196"/>
        <v>3</v>
      </c>
      <c r="I1347" s="407" t="s">
        <v>1854</v>
      </c>
      <c r="J1347" s="258" t="s">
        <v>197</v>
      </c>
      <c r="K1347" s="258" t="s">
        <v>1436</v>
      </c>
      <c r="L1347" s="258" t="s">
        <v>3600</v>
      </c>
      <c r="M1347" s="409">
        <v>66830000</v>
      </c>
      <c r="N1347" s="426">
        <v>1984</v>
      </c>
      <c r="O1347" s="258" t="s">
        <v>77</v>
      </c>
      <c r="P1347" s="426" t="s">
        <v>73</v>
      </c>
      <c r="Q1347" s="258" t="s">
        <v>72</v>
      </c>
      <c r="R1347" s="426">
        <v>5</v>
      </c>
      <c r="S1347" s="427">
        <v>10</v>
      </c>
      <c r="T1347" s="261">
        <v>6</v>
      </c>
      <c r="U1347" s="261">
        <v>6</v>
      </c>
      <c r="V1347" s="258" t="s">
        <v>3105</v>
      </c>
      <c r="W1347" s="261" t="str">
        <f t="shared" si="198"/>
        <v>AUDIA5Coupe 45 TFSI66830000</v>
      </c>
      <c r="X1347" s="411">
        <f t="shared" si="199"/>
        <v>5121</v>
      </c>
      <c r="Y1347" s="261">
        <v>6</v>
      </c>
      <c r="Z1347" s="261">
        <v>6</v>
      </c>
      <c r="AA1347" s="407" t="s">
        <v>1854</v>
      </c>
      <c r="AB1347" s="258" t="s">
        <v>3827</v>
      </c>
      <c r="AC1347" s="258"/>
      <c r="AD1347" s="258">
        <v>7</v>
      </c>
      <c r="AE1347" s="258"/>
      <c r="AF1347" s="259"/>
      <c r="AG1347" s="260"/>
      <c r="AH1347" s="259"/>
      <c r="AI1347" s="259"/>
      <c r="AJ1347" s="260"/>
      <c r="AK1347" s="259">
        <v>15</v>
      </c>
      <c r="AL1347" s="259"/>
      <c r="AM1347" s="259" t="s">
        <v>3664</v>
      </c>
      <c r="AN1347" s="449"/>
      <c r="AO1347" s="449"/>
      <c r="AP1347" s="449"/>
      <c r="AQ1347" s="392" t="str">
        <f>IFERROR(VLOOKUP(BG1347,#REF!,1,0),"")</f>
        <v/>
      </c>
      <c r="AS1347" s="259" t="s">
        <v>3224</v>
      </c>
      <c r="AT1347" s="392" t="s">
        <v>3099</v>
      </c>
      <c r="AW1347" s="392" t="s">
        <v>3098</v>
      </c>
      <c r="AY1347" s="312"/>
      <c r="BD1347" s="202" t="str">
        <f t="shared" si="191"/>
        <v>A5Coupe 45 TFSI</v>
      </c>
      <c r="BE1347" s="261" t="str">
        <f t="shared" si="197"/>
        <v>0233</v>
      </c>
      <c r="BF1347" s="407" t="s">
        <v>1854</v>
      </c>
      <c r="BG1347" s="202" t="str">
        <f t="shared" si="192"/>
        <v>0233-1346</v>
      </c>
    </row>
    <row r="1348" spans="1:59">
      <c r="A1348" s="405">
        <v>5122</v>
      </c>
      <c r="B1348" s="406">
        <v>5122</v>
      </c>
      <c r="C1348" s="261" t="str">
        <f t="shared" si="193"/>
        <v>0006-0233</v>
      </c>
      <c r="D1348" s="261" t="str">
        <f t="shared" si="194"/>
        <v>0006-0233-0004</v>
      </c>
      <c r="E1348" s="407" t="s">
        <v>1855</v>
      </c>
      <c r="F1348" s="261" t="str">
        <f>TEXT(VLOOKUP(J1348,'[3]1'!$B$2:$D$37,2,0),"0000")</f>
        <v>0006</v>
      </c>
      <c r="G1348" s="261" t="str">
        <f t="shared" si="195"/>
        <v>0233</v>
      </c>
      <c r="H1348" s="408">
        <f t="shared" si="196"/>
        <v>4</v>
      </c>
      <c r="I1348" s="407" t="s">
        <v>1855</v>
      </c>
      <c r="J1348" s="258" t="s">
        <v>197</v>
      </c>
      <c r="K1348" s="258" t="s">
        <v>1436</v>
      </c>
      <c r="L1348" s="258" t="s">
        <v>3716</v>
      </c>
      <c r="M1348" s="409">
        <v>75660000</v>
      </c>
      <c r="N1348" s="426">
        <v>1984</v>
      </c>
      <c r="O1348" s="258" t="s">
        <v>77</v>
      </c>
      <c r="P1348" s="426" t="s">
        <v>73</v>
      </c>
      <c r="Q1348" s="258" t="s">
        <v>72</v>
      </c>
      <c r="R1348" s="426">
        <v>5</v>
      </c>
      <c r="S1348" s="427">
        <v>10</v>
      </c>
      <c r="T1348" s="261">
        <v>6</v>
      </c>
      <c r="U1348" s="261">
        <v>6</v>
      </c>
      <c r="V1348" s="258" t="s">
        <v>3105</v>
      </c>
      <c r="W1348" s="261" t="str">
        <f t="shared" si="198"/>
        <v>AUDIA5Cabriolet 45 TFSI Quattro Premium75660000</v>
      </c>
      <c r="X1348" s="411">
        <f t="shared" si="199"/>
        <v>5122</v>
      </c>
      <c r="Y1348" s="261">
        <v>6</v>
      </c>
      <c r="Z1348" s="261">
        <v>6</v>
      </c>
      <c r="AA1348" s="407" t="s">
        <v>1855</v>
      </c>
      <c r="AB1348" s="258" t="s">
        <v>3827</v>
      </c>
      <c r="AC1348" s="258"/>
      <c r="AD1348" s="258">
        <v>7</v>
      </c>
      <c r="AE1348" s="258"/>
      <c r="AF1348" s="259"/>
      <c r="AG1348" s="260"/>
      <c r="AH1348" s="259"/>
      <c r="AI1348" s="259"/>
      <c r="AJ1348" s="260"/>
      <c r="AK1348" s="259">
        <v>15</v>
      </c>
      <c r="AL1348" s="259"/>
      <c r="AM1348" s="259" t="s">
        <v>3664</v>
      </c>
      <c r="AN1348" s="449"/>
      <c r="AO1348" s="449"/>
      <c r="AP1348" s="449"/>
      <c r="AQ1348" s="392" t="str">
        <f>IFERROR(VLOOKUP(BG1348,#REF!,1,0),"")</f>
        <v/>
      </c>
      <c r="AS1348" s="259" t="s">
        <v>3224</v>
      </c>
      <c r="AT1348" s="392" t="s">
        <v>3099</v>
      </c>
      <c r="AW1348" s="392" t="s">
        <v>3098</v>
      </c>
      <c r="AX1348" s="392">
        <v>2024.02</v>
      </c>
      <c r="AY1348" s="312"/>
      <c r="BC1348" s="202" t="s">
        <v>3438</v>
      </c>
      <c r="BD1348" s="202" t="str">
        <f t="shared" si="191"/>
        <v>A5Cabriolet 45 TFSI Quattro Premium</v>
      </c>
      <c r="BE1348" s="261" t="str">
        <f t="shared" si="197"/>
        <v>0233</v>
      </c>
      <c r="BF1348" s="407" t="s">
        <v>1855</v>
      </c>
      <c r="BG1348" s="202" t="str">
        <f t="shared" si="192"/>
        <v>0233-1347</v>
      </c>
    </row>
    <row r="1349" spans="1:59">
      <c r="A1349" s="405">
        <v>5123</v>
      </c>
      <c r="B1349" s="406">
        <v>5123</v>
      </c>
      <c r="C1349" s="261" t="str">
        <f t="shared" si="193"/>
        <v>0006-0234</v>
      </c>
      <c r="D1349" s="261" t="str">
        <f t="shared" si="194"/>
        <v>0006-0234-0001</v>
      </c>
      <c r="E1349" s="407" t="s">
        <v>3942</v>
      </c>
      <c r="F1349" s="261" t="str">
        <f>TEXT(VLOOKUP(J1349,'[3]1'!$B$2:$D$37,2,0),"0000")</f>
        <v>0006</v>
      </c>
      <c r="G1349" s="261" t="str">
        <f t="shared" si="195"/>
        <v>0234</v>
      </c>
      <c r="H1349" s="408">
        <f t="shared" si="196"/>
        <v>1</v>
      </c>
      <c r="I1349" s="407" t="s">
        <v>3942</v>
      </c>
      <c r="J1349" s="258" t="s">
        <v>197</v>
      </c>
      <c r="K1349" s="258" t="s">
        <v>3102</v>
      </c>
      <c r="L1349" s="258" t="s">
        <v>3608</v>
      </c>
      <c r="M1349" s="409">
        <v>92556000</v>
      </c>
      <c r="N1349" s="258">
        <v>2995</v>
      </c>
      <c r="O1349" s="258" t="s">
        <v>77</v>
      </c>
      <c r="P1349" s="258" t="s">
        <v>73</v>
      </c>
      <c r="Q1349" s="258" t="s">
        <v>72</v>
      </c>
      <c r="R1349" s="258">
        <v>4</v>
      </c>
      <c r="S1349" s="410">
        <v>15</v>
      </c>
      <c r="T1349" s="261">
        <v>6</v>
      </c>
      <c r="U1349" s="261">
        <v>6</v>
      </c>
      <c r="V1349" s="258" t="s">
        <v>71</v>
      </c>
      <c r="W1349" s="261" t="str">
        <f t="shared" si="198"/>
        <v>AUDIS5Coupe S5 3.0 TFSI92556000</v>
      </c>
      <c r="X1349" s="411">
        <f t="shared" si="199"/>
        <v>5123</v>
      </c>
      <c r="Y1349" s="261">
        <v>6</v>
      </c>
      <c r="Z1349" s="261">
        <v>6</v>
      </c>
      <c r="AA1349" s="407" t="s">
        <v>3942</v>
      </c>
      <c r="AB1349" s="258" t="s">
        <v>73</v>
      </c>
      <c r="AC1349" s="258"/>
      <c r="AD1349" s="258">
        <v>3</v>
      </c>
      <c r="AE1349" s="258">
        <v>0</v>
      </c>
      <c r="AF1349" s="259"/>
      <c r="AG1349" s="260"/>
      <c r="AH1349" s="259"/>
      <c r="AI1349" s="259"/>
      <c r="AJ1349" s="260"/>
      <c r="AK1349" s="259">
        <v>16</v>
      </c>
      <c r="AL1349" s="259"/>
      <c r="AM1349" s="259" t="s">
        <v>3665</v>
      </c>
      <c r="AN1349" s="449"/>
      <c r="AO1349" s="449"/>
      <c r="AP1349" s="449"/>
      <c r="AQ1349" s="392" t="str">
        <f>IFERROR(VLOOKUP(BG1349,#REF!,1,0),"")</f>
        <v/>
      </c>
      <c r="AS1349" s="259" t="s">
        <v>3441</v>
      </c>
      <c r="AX1349" s="392">
        <v>2024.02</v>
      </c>
      <c r="BC1349" s="202" t="s">
        <v>3439</v>
      </c>
      <c r="BD1349" s="202" t="str">
        <f t="shared" ref="BD1349:BD1412" si="200">K1349&amp;L1349</f>
        <v>S5Coupe S5 3.0 TFSI</v>
      </c>
      <c r="BE1349" s="261" t="str">
        <f t="shared" si="197"/>
        <v>0234</v>
      </c>
      <c r="BF1349" s="407" t="s">
        <v>3942</v>
      </c>
      <c r="BG1349" s="202" t="str">
        <f t="shared" ref="BG1349:BG1412" si="201">BE1349&amp;"-"&amp;BF1349</f>
        <v>0234-1348</v>
      </c>
    </row>
    <row r="1350" spans="1:59">
      <c r="A1350" s="405">
        <v>5124</v>
      </c>
      <c r="B1350" s="406">
        <v>5124</v>
      </c>
      <c r="C1350" s="261" t="str">
        <f t="shared" ref="C1350:C1413" si="202">TEXT(F1350,"0000")&amp;"-"&amp;TEXT(G1350,"0000")</f>
        <v>0006-0235</v>
      </c>
      <c r="D1350" s="261" t="str">
        <f t="shared" ref="D1350:D1413" si="203">TEXT(F1350,"0000")&amp;"-"&amp;TEXT(G1350,"0000")&amp;"-"&amp;TEXT(H1350,"0000")</f>
        <v>0006-0235-0001</v>
      </c>
      <c r="E1350" s="407" t="s">
        <v>1856</v>
      </c>
      <c r="F1350" s="261" t="str">
        <f>TEXT(VLOOKUP(J1350,'[3]1'!$B$2:$D$37,2,0),"0000")</f>
        <v>0006</v>
      </c>
      <c r="G1350" s="261" t="str">
        <f t="shared" ref="G1350:G1413" si="204">IF(K1350=K1349,TEXT(G1349,"0000"),TEXT(G1349+1,"0000"))</f>
        <v>0235</v>
      </c>
      <c r="H1350" s="408">
        <f t="shared" ref="H1350:H1413" si="205">IF(F1350&amp;G1350=F1349&amp;G1349,H1349+1,1)</f>
        <v>1</v>
      </c>
      <c r="I1350" s="407" t="s">
        <v>1856</v>
      </c>
      <c r="J1350" s="258" t="s">
        <v>197</v>
      </c>
      <c r="K1350" s="258" t="s">
        <v>3611</v>
      </c>
      <c r="L1350" s="258" t="s">
        <v>3612</v>
      </c>
      <c r="M1350" s="409">
        <v>92556000</v>
      </c>
      <c r="N1350" s="258">
        <v>2480</v>
      </c>
      <c r="O1350" s="258" t="s">
        <v>77</v>
      </c>
      <c r="P1350" s="258" t="s">
        <v>73</v>
      </c>
      <c r="Q1350" s="258" t="s">
        <v>72</v>
      </c>
      <c r="R1350" s="258">
        <v>4</v>
      </c>
      <c r="S1350" s="410">
        <v>14</v>
      </c>
      <c r="T1350" s="261">
        <v>6</v>
      </c>
      <c r="U1350" s="261">
        <v>6</v>
      </c>
      <c r="V1350" s="258" t="s">
        <v>71</v>
      </c>
      <c r="W1350" s="261" t="str">
        <f t="shared" si="198"/>
        <v>AUDIRS3TFSI92556000</v>
      </c>
      <c r="X1350" s="411">
        <f t="shared" si="199"/>
        <v>5124</v>
      </c>
      <c r="Y1350" s="261">
        <v>6</v>
      </c>
      <c r="Z1350" s="261">
        <v>6</v>
      </c>
      <c r="AA1350" s="407" t="s">
        <v>1856</v>
      </c>
      <c r="AB1350" s="258" t="s">
        <v>73</v>
      </c>
      <c r="AC1350" s="258"/>
      <c r="AD1350" s="258">
        <v>3</v>
      </c>
      <c r="AE1350" s="258">
        <v>0</v>
      </c>
      <c r="AF1350" s="259"/>
      <c r="AG1350" s="260"/>
      <c r="AH1350" s="259"/>
      <c r="AI1350" s="259"/>
      <c r="AJ1350" s="260"/>
      <c r="AK1350" s="259">
        <v>22</v>
      </c>
      <c r="AL1350" s="259"/>
      <c r="AM1350" s="259" t="s">
        <v>3671</v>
      </c>
      <c r="AN1350" s="449"/>
      <c r="AO1350" s="449"/>
      <c r="AP1350" s="449"/>
      <c r="AQ1350" s="392" t="str">
        <f>IFERROR(VLOOKUP(BG1350,#REF!,1,0),"")</f>
        <v/>
      </c>
      <c r="AS1350" s="259" t="s">
        <v>1969</v>
      </c>
      <c r="AX1350" s="392">
        <v>2024.02</v>
      </c>
      <c r="BC1350" s="202" t="s">
        <v>3439</v>
      </c>
      <c r="BD1350" s="202" t="str">
        <f t="shared" si="200"/>
        <v>RS3TFSI</v>
      </c>
      <c r="BE1350" s="261" t="str">
        <f t="shared" ref="BE1350:BE1413" si="206">IF(K1349=K1350,TEXT(G1349,"0000"),TEXT(G1349+1,"0000"))</f>
        <v>0235</v>
      </c>
      <c r="BF1350" s="407" t="s">
        <v>1856</v>
      </c>
      <c r="BG1350" s="202" t="str">
        <f t="shared" si="201"/>
        <v>0235-1349</v>
      </c>
    </row>
    <row r="1351" spans="1:59">
      <c r="A1351" s="405">
        <v>5125</v>
      </c>
      <c r="B1351" s="406">
        <v>5125</v>
      </c>
      <c r="C1351" s="261" t="str">
        <f t="shared" si="202"/>
        <v>0006-0236</v>
      </c>
      <c r="D1351" s="261" t="str">
        <f t="shared" si="203"/>
        <v>0006-0236-0001</v>
      </c>
      <c r="E1351" s="407" t="s">
        <v>1857</v>
      </c>
      <c r="F1351" s="261" t="str">
        <f>TEXT(VLOOKUP(J1351,'[3]1'!$B$2:$D$37,2,0),"0000")</f>
        <v>0006</v>
      </c>
      <c r="G1351" s="261" t="str">
        <f t="shared" si="204"/>
        <v>0236</v>
      </c>
      <c r="H1351" s="408">
        <f t="shared" si="205"/>
        <v>1</v>
      </c>
      <c r="I1351" s="407" t="s">
        <v>1857</v>
      </c>
      <c r="J1351" s="258" t="s">
        <v>197</v>
      </c>
      <c r="K1351" s="258" t="s">
        <v>3601</v>
      </c>
      <c r="L1351" s="258" t="s">
        <v>3613</v>
      </c>
      <c r="M1351" s="409">
        <v>92556000</v>
      </c>
      <c r="N1351" s="258">
        <v>2894</v>
      </c>
      <c r="O1351" s="258" t="s">
        <v>77</v>
      </c>
      <c r="P1351" s="258" t="s">
        <v>73</v>
      </c>
      <c r="Q1351" s="258" t="s">
        <v>72</v>
      </c>
      <c r="R1351" s="258">
        <v>4</v>
      </c>
      <c r="S1351" s="410">
        <v>14</v>
      </c>
      <c r="T1351" s="261">
        <v>6</v>
      </c>
      <c r="U1351" s="261">
        <v>6</v>
      </c>
      <c r="V1351" s="258" t="s">
        <v>71</v>
      </c>
      <c r="W1351" s="261" t="str">
        <f t="shared" ref="W1351:W1413" si="207">J1351&amp;K1351&amp;L1351&amp;M1351</f>
        <v>AUDIRS5스포트백 TFSI92556000</v>
      </c>
      <c r="X1351" s="411">
        <f t="shared" ref="X1351:X1413" si="208">B1351</f>
        <v>5125</v>
      </c>
      <c r="Y1351" s="261">
        <v>6</v>
      </c>
      <c r="Z1351" s="261">
        <v>6</v>
      </c>
      <c r="AA1351" s="407" t="s">
        <v>1857</v>
      </c>
      <c r="AB1351" s="258" t="s">
        <v>73</v>
      </c>
      <c r="AC1351" s="258"/>
      <c r="AD1351" s="258">
        <v>3</v>
      </c>
      <c r="AE1351" s="258">
        <v>0</v>
      </c>
      <c r="AF1351" s="259"/>
      <c r="AG1351" s="260"/>
      <c r="AH1351" s="259"/>
      <c r="AI1351" s="259"/>
      <c r="AJ1351" s="260"/>
      <c r="AK1351" s="259">
        <v>22</v>
      </c>
      <c r="AL1351" s="259"/>
      <c r="AM1351" s="259" t="s">
        <v>3671</v>
      </c>
      <c r="AN1351" s="449"/>
      <c r="AO1351" s="449"/>
      <c r="AP1351" s="449"/>
      <c r="AQ1351" s="392" t="str">
        <f>IFERROR(VLOOKUP(BG1351,#REF!,1,0),"")</f>
        <v/>
      </c>
      <c r="AS1351" s="259" t="s">
        <v>3417</v>
      </c>
      <c r="AX1351" s="392">
        <v>2024.02</v>
      </c>
      <c r="BC1351" s="202" t="s">
        <v>3439</v>
      </c>
      <c r="BD1351" s="202" t="str">
        <f t="shared" si="200"/>
        <v>RS5스포트백 TFSI</v>
      </c>
      <c r="BE1351" s="261" t="str">
        <f t="shared" si="206"/>
        <v>0236</v>
      </c>
      <c r="BF1351" s="407" t="s">
        <v>1857</v>
      </c>
      <c r="BG1351" s="202" t="str">
        <f t="shared" si="201"/>
        <v>0236-1350</v>
      </c>
    </row>
    <row r="1352" spans="1:59">
      <c r="A1352" s="405">
        <v>5126</v>
      </c>
      <c r="B1352" s="406">
        <v>5126</v>
      </c>
      <c r="C1352" s="261" t="str">
        <f t="shared" si="202"/>
        <v>0006-0237</v>
      </c>
      <c r="D1352" s="261" t="str">
        <f t="shared" si="203"/>
        <v>0006-0237-0001</v>
      </c>
      <c r="E1352" s="407" t="s">
        <v>1858</v>
      </c>
      <c r="F1352" s="261" t="str">
        <f>TEXT(VLOOKUP(J1352,'[3]1'!$B$2:$D$37,2,0),"0000")</f>
        <v>0006</v>
      </c>
      <c r="G1352" s="261" t="str">
        <f t="shared" si="204"/>
        <v>0237</v>
      </c>
      <c r="H1352" s="408">
        <f t="shared" si="205"/>
        <v>1</v>
      </c>
      <c r="I1352" s="407" t="s">
        <v>1858</v>
      </c>
      <c r="J1352" s="258" t="s">
        <v>197</v>
      </c>
      <c r="K1352" s="258" t="s">
        <v>251</v>
      </c>
      <c r="L1352" s="258" t="s">
        <v>2045</v>
      </c>
      <c r="M1352" s="409">
        <v>66500000</v>
      </c>
      <c r="N1352" s="258">
        <v>1968</v>
      </c>
      <c r="O1352" s="258" t="s">
        <v>78</v>
      </c>
      <c r="P1352" s="258" t="s">
        <v>73</v>
      </c>
      <c r="Q1352" s="258" t="s">
        <v>72</v>
      </c>
      <c r="R1352" s="258">
        <v>5</v>
      </c>
      <c r="S1352" s="410">
        <v>3</v>
      </c>
      <c r="T1352" s="261">
        <v>6</v>
      </c>
      <c r="U1352" s="261">
        <v>6</v>
      </c>
      <c r="V1352" s="258" t="s">
        <v>71</v>
      </c>
      <c r="W1352" s="261" t="str">
        <f t="shared" si="207"/>
        <v>AUDIA6A6 40 TDI66500000</v>
      </c>
      <c r="X1352" s="411">
        <f t="shared" si="208"/>
        <v>5126</v>
      </c>
      <c r="Y1352" s="261">
        <v>6</v>
      </c>
      <c r="Z1352" s="261">
        <v>6</v>
      </c>
      <c r="AA1352" s="407" t="s">
        <v>1858</v>
      </c>
      <c r="AB1352" s="258" t="s">
        <v>73</v>
      </c>
      <c r="AC1352" s="258"/>
      <c r="AD1352" s="258">
        <v>2</v>
      </c>
      <c r="AE1352" s="258">
        <v>0</v>
      </c>
      <c r="AF1352" s="259"/>
      <c r="AG1352" s="260"/>
      <c r="AH1352" s="259"/>
      <c r="AI1352" s="259"/>
      <c r="AJ1352" s="260"/>
      <c r="AK1352" s="259">
        <v>12</v>
      </c>
      <c r="AL1352" s="259"/>
      <c r="AM1352" s="259" t="s">
        <v>3661</v>
      </c>
      <c r="AN1352" s="449"/>
      <c r="AO1352" s="449"/>
      <c r="AP1352" s="449"/>
      <c r="AQ1352" s="392" t="str">
        <f>IFERROR(VLOOKUP(BG1352,#REF!,1,0),"")</f>
        <v/>
      </c>
      <c r="AS1352" s="259" t="s">
        <v>3237</v>
      </c>
      <c r="BD1352" s="202" t="str">
        <f t="shared" si="200"/>
        <v>A6A6 40 TDI</v>
      </c>
      <c r="BE1352" s="261" t="str">
        <f t="shared" si="206"/>
        <v>0237</v>
      </c>
      <c r="BF1352" s="407" t="s">
        <v>1858</v>
      </c>
      <c r="BG1352" s="202" t="str">
        <f t="shared" si="201"/>
        <v>0237-1351</v>
      </c>
    </row>
    <row r="1353" spans="1:59">
      <c r="A1353" s="405">
        <v>5127</v>
      </c>
      <c r="B1353" s="406">
        <v>5127</v>
      </c>
      <c r="C1353" s="261" t="str">
        <f t="shared" si="202"/>
        <v>0006-0237</v>
      </c>
      <c r="D1353" s="261" t="str">
        <f t="shared" si="203"/>
        <v>0006-0237-0002</v>
      </c>
      <c r="E1353" s="407" t="s">
        <v>1859</v>
      </c>
      <c r="F1353" s="261" t="str">
        <f>TEXT(VLOOKUP(J1353,'[3]1'!$B$2:$D$37,2,0),"0000")</f>
        <v>0006</v>
      </c>
      <c r="G1353" s="261" t="str">
        <f t="shared" si="204"/>
        <v>0237</v>
      </c>
      <c r="H1353" s="408">
        <f t="shared" si="205"/>
        <v>2</v>
      </c>
      <c r="I1353" s="407" t="s">
        <v>1859</v>
      </c>
      <c r="J1353" s="413" t="s">
        <v>197</v>
      </c>
      <c r="K1353" s="413" t="s">
        <v>251</v>
      </c>
      <c r="L1353" s="258" t="s">
        <v>3593</v>
      </c>
      <c r="M1353" s="428">
        <v>63850000</v>
      </c>
      <c r="N1353" s="416">
        <v>1984</v>
      </c>
      <c r="O1353" s="258" t="s">
        <v>77</v>
      </c>
      <c r="P1353" s="413" t="s">
        <v>73</v>
      </c>
      <c r="Q1353" s="413" t="s">
        <v>72</v>
      </c>
      <c r="R1353" s="416">
        <v>4</v>
      </c>
      <c r="S1353" s="410">
        <v>3</v>
      </c>
      <c r="T1353" s="261">
        <v>6</v>
      </c>
      <c r="U1353" s="261">
        <v>6</v>
      </c>
      <c r="V1353" s="258" t="s">
        <v>71</v>
      </c>
      <c r="W1353" s="261" t="str">
        <f t="shared" si="207"/>
        <v>AUDIA6A6 45 TDI63850000</v>
      </c>
      <c r="X1353" s="411">
        <f t="shared" si="208"/>
        <v>5127</v>
      </c>
      <c r="Y1353" s="261">
        <v>6</v>
      </c>
      <c r="Z1353" s="261">
        <v>6</v>
      </c>
      <c r="AA1353" s="407" t="s">
        <v>1859</v>
      </c>
      <c r="AB1353" s="258" t="s">
        <v>73</v>
      </c>
      <c r="AC1353" s="258"/>
      <c r="AD1353" s="258">
        <v>3</v>
      </c>
      <c r="AE1353" s="258">
        <v>1</v>
      </c>
      <c r="AF1353" s="259"/>
      <c r="AG1353" s="260"/>
      <c r="AH1353" s="259"/>
      <c r="AI1353" s="259"/>
      <c r="AJ1353" s="260"/>
      <c r="AK1353" s="259">
        <v>12</v>
      </c>
      <c r="AL1353" s="259"/>
      <c r="AM1353" s="259" t="s">
        <v>3661</v>
      </c>
      <c r="AN1353" s="449"/>
      <c r="AO1353" s="449"/>
      <c r="AP1353" s="449"/>
      <c r="AQ1353" s="392" t="str">
        <f>IFERROR(VLOOKUP(BG1353,#REF!,1,0),"")</f>
        <v/>
      </c>
      <c r="AS1353" s="259" t="s">
        <v>3237</v>
      </c>
      <c r="BD1353" s="202" t="str">
        <f t="shared" si="200"/>
        <v>A6A6 45 TDI</v>
      </c>
      <c r="BE1353" s="261" t="str">
        <f t="shared" si="206"/>
        <v>0237</v>
      </c>
      <c r="BF1353" s="407" t="s">
        <v>1859</v>
      </c>
      <c r="BG1353" s="202" t="str">
        <f t="shared" si="201"/>
        <v>0237-1352</v>
      </c>
    </row>
    <row r="1354" spans="1:59">
      <c r="A1354" s="405">
        <v>5128</v>
      </c>
      <c r="B1354" s="406">
        <v>5128</v>
      </c>
      <c r="C1354" s="261" t="str">
        <f t="shared" si="202"/>
        <v>0006-0237</v>
      </c>
      <c r="D1354" s="261" t="str">
        <f t="shared" si="203"/>
        <v>0006-0237-0003</v>
      </c>
      <c r="E1354" s="407" t="s">
        <v>1860</v>
      </c>
      <c r="F1354" s="261" t="str">
        <f>TEXT(VLOOKUP(J1354,'[3]1'!$B$2:$D$37,2,0),"0000")</f>
        <v>0006</v>
      </c>
      <c r="G1354" s="261" t="str">
        <f t="shared" si="204"/>
        <v>0237</v>
      </c>
      <c r="H1354" s="408">
        <f t="shared" si="205"/>
        <v>3</v>
      </c>
      <c r="I1354" s="407" t="s">
        <v>1860</v>
      </c>
      <c r="J1354" s="413" t="s">
        <v>197</v>
      </c>
      <c r="K1354" s="413" t="s">
        <v>251</v>
      </c>
      <c r="L1354" s="258" t="s">
        <v>3594</v>
      </c>
      <c r="M1354" s="415">
        <v>66800000</v>
      </c>
      <c r="N1354" s="416">
        <v>1984</v>
      </c>
      <c r="O1354" s="258" t="s">
        <v>77</v>
      </c>
      <c r="P1354" s="413" t="s">
        <v>73</v>
      </c>
      <c r="Q1354" s="413" t="s">
        <v>72</v>
      </c>
      <c r="R1354" s="416">
        <v>5</v>
      </c>
      <c r="S1354" s="410">
        <v>3</v>
      </c>
      <c r="T1354" s="261">
        <v>6</v>
      </c>
      <c r="U1354" s="261">
        <v>6</v>
      </c>
      <c r="V1354" s="258" t="s">
        <v>71</v>
      </c>
      <c r="W1354" s="261" t="str">
        <f t="shared" si="207"/>
        <v>AUDIA6A6 45 TFSI66800000</v>
      </c>
      <c r="X1354" s="411">
        <f t="shared" si="208"/>
        <v>5128</v>
      </c>
      <c r="Y1354" s="261">
        <v>6</v>
      </c>
      <c r="Z1354" s="261">
        <v>6</v>
      </c>
      <c r="AA1354" s="407" t="s">
        <v>1860</v>
      </c>
      <c r="AB1354" s="258" t="s">
        <v>73</v>
      </c>
      <c r="AC1354" s="258"/>
      <c r="AD1354" s="258">
        <v>3</v>
      </c>
      <c r="AE1354" s="258">
        <v>1</v>
      </c>
      <c r="AF1354" s="259"/>
      <c r="AG1354" s="260"/>
      <c r="AH1354" s="259"/>
      <c r="AI1354" s="259"/>
      <c r="AJ1354" s="260"/>
      <c r="AK1354" s="259">
        <v>12</v>
      </c>
      <c r="AL1354" s="259"/>
      <c r="AM1354" s="259" t="s">
        <v>3661</v>
      </c>
      <c r="AN1354" s="449"/>
      <c r="AO1354" s="449"/>
      <c r="AP1354" s="449"/>
      <c r="AQ1354" s="392" t="str">
        <f>IFERROR(VLOOKUP(BG1354,#REF!,1,0),"")</f>
        <v/>
      </c>
      <c r="AS1354" s="259" t="s">
        <v>150</v>
      </c>
      <c r="AZ1354" s="202" t="e">
        <f>VLOOKUP(#REF!,잔가군!$B:$C,2,0)</f>
        <v>#REF!</v>
      </c>
      <c r="BA1354" s="202" t="e">
        <f>S1354-#REF!</f>
        <v>#REF!</v>
      </c>
      <c r="BD1354" s="202" t="str">
        <f t="shared" si="200"/>
        <v>A6A6 45 TFSI</v>
      </c>
      <c r="BE1354" s="261" t="str">
        <f t="shared" si="206"/>
        <v>0237</v>
      </c>
      <c r="BF1354" s="407" t="s">
        <v>1860</v>
      </c>
      <c r="BG1354" s="202" t="str">
        <f t="shared" si="201"/>
        <v>0237-1353</v>
      </c>
    </row>
    <row r="1355" spans="1:59">
      <c r="A1355" s="405">
        <v>5129</v>
      </c>
      <c r="B1355" s="406">
        <v>5129</v>
      </c>
      <c r="C1355" s="261" t="str">
        <f t="shared" si="202"/>
        <v>0006-0237</v>
      </c>
      <c r="D1355" s="261" t="str">
        <f t="shared" si="203"/>
        <v>0006-0237-0004</v>
      </c>
      <c r="E1355" s="407" t="s">
        <v>1861</v>
      </c>
      <c r="F1355" s="261" t="str">
        <f>TEXT(VLOOKUP(J1355,'[3]1'!$B$2:$D$37,2,0),"0000")</f>
        <v>0006</v>
      </c>
      <c r="G1355" s="261" t="str">
        <f t="shared" si="204"/>
        <v>0237</v>
      </c>
      <c r="H1355" s="408">
        <f t="shared" si="205"/>
        <v>4</v>
      </c>
      <c r="I1355" s="407" t="s">
        <v>1861</v>
      </c>
      <c r="J1355" s="413" t="s">
        <v>197</v>
      </c>
      <c r="K1355" s="413" t="s">
        <v>251</v>
      </c>
      <c r="L1355" s="258" t="s">
        <v>3595</v>
      </c>
      <c r="M1355" s="415">
        <v>84960000</v>
      </c>
      <c r="N1355" s="416">
        <v>2967</v>
      </c>
      <c r="O1355" s="413" t="s">
        <v>78</v>
      </c>
      <c r="P1355" s="413" t="s">
        <v>73</v>
      </c>
      <c r="Q1355" s="413" t="s">
        <v>72</v>
      </c>
      <c r="R1355" s="416">
        <v>5</v>
      </c>
      <c r="S1355" s="410">
        <v>4</v>
      </c>
      <c r="T1355" s="261">
        <v>6</v>
      </c>
      <c r="U1355" s="261">
        <v>6</v>
      </c>
      <c r="V1355" s="258" t="s">
        <v>71</v>
      </c>
      <c r="W1355" s="261" t="str">
        <f t="shared" si="207"/>
        <v>AUDIA6A6 50 TDI84960000</v>
      </c>
      <c r="X1355" s="411">
        <f t="shared" si="208"/>
        <v>5129</v>
      </c>
      <c r="Y1355" s="261">
        <v>6</v>
      </c>
      <c r="Z1355" s="261">
        <v>6</v>
      </c>
      <c r="AA1355" s="407" t="s">
        <v>1861</v>
      </c>
      <c r="AB1355" s="258" t="s">
        <v>73</v>
      </c>
      <c r="AC1355" s="258"/>
      <c r="AD1355" s="258">
        <v>3</v>
      </c>
      <c r="AE1355" s="258">
        <v>1</v>
      </c>
      <c r="AF1355" s="259"/>
      <c r="AG1355" s="260"/>
      <c r="AH1355" s="259"/>
      <c r="AI1355" s="259"/>
      <c r="AJ1355" s="260"/>
      <c r="AK1355" s="259">
        <v>12</v>
      </c>
      <c r="AL1355" s="259"/>
      <c r="AM1355" s="259" t="s">
        <v>3661</v>
      </c>
      <c r="AN1355" s="449"/>
      <c r="AO1355" s="449"/>
      <c r="AP1355" s="449"/>
      <c r="AQ1355" s="392" t="str">
        <f>IFERROR(VLOOKUP(BG1355,#REF!,1,0),"")</f>
        <v/>
      </c>
      <c r="AS1355" s="259" t="s">
        <v>3226</v>
      </c>
      <c r="BD1355" s="202" t="str">
        <f t="shared" si="200"/>
        <v>A6A6 50 TDI</v>
      </c>
      <c r="BE1355" s="261" t="str">
        <f t="shared" si="206"/>
        <v>0237</v>
      </c>
      <c r="BF1355" s="407" t="s">
        <v>1861</v>
      </c>
      <c r="BG1355" s="202" t="str">
        <f t="shared" si="201"/>
        <v>0237-1354</v>
      </c>
    </row>
    <row r="1356" spans="1:59">
      <c r="A1356" s="405">
        <v>5130</v>
      </c>
      <c r="B1356" s="406">
        <v>5130</v>
      </c>
      <c r="C1356" s="261" t="str">
        <f t="shared" si="202"/>
        <v>0006-0238</v>
      </c>
      <c r="D1356" s="261" t="str">
        <f t="shared" si="203"/>
        <v>0006-0238-0001</v>
      </c>
      <c r="E1356" s="407" t="s">
        <v>1862</v>
      </c>
      <c r="F1356" s="261" t="str">
        <f>TEXT(VLOOKUP(J1356,'[3]1'!$B$2:$D$37,2,0),"0000")</f>
        <v>0006</v>
      </c>
      <c r="G1356" s="261" t="str">
        <f t="shared" si="204"/>
        <v>0238</v>
      </c>
      <c r="H1356" s="408">
        <f t="shared" si="205"/>
        <v>1</v>
      </c>
      <c r="I1356" s="407" t="s">
        <v>1862</v>
      </c>
      <c r="J1356" s="258" t="s">
        <v>197</v>
      </c>
      <c r="K1356" s="413" t="s">
        <v>3596</v>
      </c>
      <c r="L1356" s="258" t="s">
        <v>3614</v>
      </c>
      <c r="M1356" s="409">
        <v>165520000</v>
      </c>
      <c r="N1356" s="461">
        <v>3996</v>
      </c>
      <c r="O1356" s="258" t="s">
        <v>77</v>
      </c>
      <c r="P1356" s="426" t="s">
        <v>73</v>
      </c>
      <c r="Q1356" s="258" t="s">
        <v>1974</v>
      </c>
      <c r="R1356" s="426">
        <v>5</v>
      </c>
      <c r="S1356" s="427">
        <v>14</v>
      </c>
      <c r="T1356" s="261">
        <v>6</v>
      </c>
      <c r="U1356" s="261">
        <v>6</v>
      </c>
      <c r="V1356" s="258" t="s">
        <v>1969</v>
      </c>
      <c r="W1356" s="261" t="str">
        <f t="shared" si="207"/>
        <v>AUDIRS6아반트 TFSI 콰트로165520000</v>
      </c>
      <c r="X1356" s="411">
        <f t="shared" si="208"/>
        <v>5130</v>
      </c>
      <c r="Y1356" s="261">
        <v>6</v>
      </c>
      <c r="Z1356" s="261">
        <v>6</v>
      </c>
      <c r="AA1356" s="407" t="s">
        <v>1862</v>
      </c>
      <c r="AB1356" s="258" t="s">
        <v>73</v>
      </c>
      <c r="AC1356" s="258"/>
      <c r="AD1356" s="258">
        <v>7</v>
      </c>
      <c r="AE1356" s="258">
        <v>0</v>
      </c>
      <c r="AF1356" s="259"/>
      <c r="AG1356" s="260"/>
      <c r="AH1356" s="259"/>
      <c r="AI1356" s="459"/>
      <c r="AJ1356" s="260"/>
      <c r="AK1356" s="259">
        <v>22</v>
      </c>
      <c r="AL1356" s="259"/>
      <c r="AM1356" s="259" t="s">
        <v>3671</v>
      </c>
      <c r="AN1356" s="449"/>
      <c r="AO1356" s="449"/>
      <c r="AP1356" s="449"/>
      <c r="AQ1356" s="392" t="str">
        <f>IFERROR(VLOOKUP(BG1356,#REF!,1,0),"")</f>
        <v/>
      </c>
      <c r="AS1356" s="259" t="s">
        <v>71</v>
      </c>
      <c r="AT1356" s="392" t="s">
        <v>3099</v>
      </c>
      <c r="AY1356" s="312"/>
      <c r="BD1356" s="202" t="str">
        <f t="shared" si="200"/>
        <v>RS6아반트 TFSI 콰트로</v>
      </c>
      <c r="BE1356" s="261" t="str">
        <f t="shared" si="206"/>
        <v>0238</v>
      </c>
      <c r="BF1356" s="407" t="s">
        <v>1862</v>
      </c>
      <c r="BG1356" s="202" t="str">
        <f t="shared" si="201"/>
        <v>0238-1355</v>
      </c>
    </row>
    <row r="1357" spans="1:59">
      <c r="A1357" s="405">
        <v>5131</v>
      </c>
      <c r="B1357" s="406">
        <v>5131</v>
      </c>
      <c r="C1357" s="261" t="str">
        <f t="shared" si="202"/>
        <v>0006-0239</v>
      </c>
      <c r="D1357" s="261" t="str">
        <f t="shared" si="203"/>
        <v>0006-0239-0001</v>
      </c>
      <c r="E1357" s="407" t="s">
        <v>1863</v>
      </c>
      <c r="F1357" s="261" t="str">
        <f>TEXT(VLOOKUP(J1357,'[3]1'!$B$2:$D$37,2,0),"0000")</f>
        <v>0006</v>
      </c>
      <c r="G1357" s="261" t="str">
        <f t="shared" si="204"/>
        <v>0239</v>
      </c>
      <c r="H1357" s="408">
        <f t="shared" si="205"/>
        <v>1</v>
      </c>
      <c r="I1357" s="407" t="s">
        <v>1863</v>
      </c>
      <c r="J1357" s="258" t="s">
        <v>197</v>
      </c>
      <c r="K1357" s="258" t="s">
        <v>2772</v>
      </c>
      <c r="L1357" s="258" t="s">
        <v>2841</v>
      </c>
      <c r="M1357" s="409">
        <v>89500000</v>
      </c>
      <c r="N1357" s="258">
        <v>2967</v>
      </c>
      <c r="O1357" s="258" t="s">
        <v>78</v>
      </c>
      <c r="P1357" s="258" t="s">
        <v>73</v>
      </c>
      <c r="Q1357" s="258" t="s">
        <v>72</v>
      </c>
      <c r="R1357" s="258">
        <v>5</v>
      </c>
      <c r="S1357" s="410">
        <v>6</v>
      </c>
      <c r="T1357" s="261">
        <v>6</v>
      </c>
      <c r="U1357" s="261">
        <v>6</v>
      </c>
      <c r="V1357" s="258" t="s">
        <v>1969</v>
      </c>
      <c r="W1357" s="261" t="str">
        <f t="shared" si="207"/>
        <v>AUDIA745 TDI Quattro premium89500000</v>
      </c>
      <c r="X1357" s="411">
        <f t="shared" si="208"/>
        <v>5131</v>
      </c>
      <c r="Y1357" s="261">
        <v>6</v>
      </c>
      <c r="Z1357" s="261">
        <v>6</v>
      </c>
      <c r="AA1357" s="407" t="s">
        <v>1863</v>
      </c>
      <c r="AB1357" s="258" t="s">
        <v>73</v>
      </c>
      <c r="AC1357" s="258"/>
      <c r="AD1357" s="258">
        <v>3</v>
      </c>
      <c r="AE1357" s="258">
        <v>1</v>
      </c>
      <c r="AF1357" s="259"/>
      <c r="AG1357" s="260"/>
      <c r="AH1357" s="259"/>
      <c r="AI1357" s="259"/>
      <c r="AJ1357" s="260"/>
      <c r="AK1357" s="259">
        <v>13</v>
      </c>
      <c r="AL1357" s="259"/>
      <c r="AM1357" s="259" t="s">
        <v>3662</v>
      </c>
      <c r="AN1357" s="449"/>
      <c r="AO1357" s="449"/>
      <c r="AP1357" s="449"/>
      <c r="AQ1357" s="392" t="str">
        <f>IFERROR(VLOOKUP(BG1357,#REF!,1,0),"")</f>
        <v/>
      </c>
      <c r="AS1357" s="259" t="s">
        <v>150</v>
      </c>
      <c r="BD1357" s="202" t="str">
        <f t="shared" si="200"/>
        <v>A745 TDI Quattro premium</v>
      </c>
      <c r="BE1357" s="261" t="str">
        <f t="shared" si="206"/>
        <v>0239</v>
      </c>
      <c r="BF1357" s="407" t="s">
        <v>1863</v>
      </c>
      <c r="BG1357" s="202" t="str">
        <f t="shared" si="201"/>
        <v>0239-1356</v>
      </c>
    </row>
    <row r="1358" spans="1:59">
      <c r="A1358" s="405">
        <v>5132</v>
      </c>
      <c r="B1358" s="406">
        <v>5132</v>
      </c>
      <c r="C1358" s="261" t="str">
        <f t="shared" si="202"/>
        <v>0006-0239</v>
      </c>
      <c r="D1358" s="261" t="str">
        <f t="shared" si="203"/>
        <v>0006-0239-0002</v>
      </c>
      <c r="E1358" s="407" t="s">
        <v>1864</v>
      </c>
      <c r="F1358" s="261" t="str">
        <f>TEXT(VLOOKUP(J1358,'[3]1'!$B$2:$D$37,2,0),"0000")</f>
        <v>0006</v>
      </c>
      <c r="G1358" s="261" t="str">
        <f t="shared" si="204"/>
        <v>0239</v>
      </c>
      <c r="H1358" s="408">
        <f t="shared" si="205"/>
        <v>2</v>
      </c>
      <c r="I1358" s="407" t="s">
        <v>1864</v>
      </c>
      <c r="J1358" s="258" t="s">
        <v>197</v>
      </c>
      <c r="K1358" s="258" t="s">
        <v>1956</v>
      </c>
      <c r="L1358" s="258" t="s">
        <v>2046</v>
      </c>
      <c r="M1358" s="409">
        <v>95500000</v>
      </c>
      <c r="N1358" s="258">
        <v>2967</v>
      </c>
      <c r="O1358" s="258" t="s">
        <v>1961</v>
      </c>
      <c r="P1358" s="258" t="s">
        <v>73</v>
      </c>
      <c r="Q1358" s="258" t="s">
        <v>72</v>
      </c>
      <c r="R1358" s="258">
        <v>5</v>
      </c>
      <c r="S1358" s="410">
        <v>5</v>
      </c>
      <c r="T1358" s="261">
        <v>6</v>
      </c>
      <c r="U1358" s="261">
        <v>6</v>
      </c>
      <c r="V1358" s="258" t="s">
        <v>71</v>
      </c>
      <c r="W1358" s="261" t="str">
        <f t="shared" si="207"/>
        <v>AUDIA7A7 50 TDI Quattro Premium95500000</v>
      </c>
      <c r="X1358" s="411">
        <f t="shared" si="208"/>
        <v>5132</v>
      </c>
      <c r="Y1358" s="261">
        <v>6</v>
      </c>
      <c r="Z1358" s="261">
        <v>6</v>
      </c>
      <c r="AA1358" s="407" t="s">
        <v>1864</v>
      </c>
      <c r="AB1358" s="258" t="s">
        <v>73</v>
      </c>
      <c r="AC1358" s="258"/>
      <c r="AD1358" s="258">
        <v>3</v>
      </c>
      <c r="AE1358" s="258">
        <v>1</v>
      </c>
      <c r="AF1358" s="259"/>
      <c r="AG1358" s="260"/>
      <c r="AH1358" s="259"/>
      <c r="AI1358" s="259"/>
      <c r="AJ1358" s="260"/>
      <c r="AK1358" s="259">
        <v>13</v>
      </c>
      <c r="AL1358" s="259"/>
      <c r="AM1358" s="259" t="s">
        <v>3662</v>
      </c>
      <c r="AN1358" s="449"/>
      <c r="AO1358" s="449"/>
      <c r="AP1358" s="449"/>
      <c r="AQ1358" s="392" t="str">
        <f>IFERROR(VLOOKUP(BG1358,#REF!,1,0),"")</f>
        <v/>
      </c>
      <c r="AS1358" s="259" t="s">
        <v>93</v>
      </c>
      <c r="BD1358" s="202" t="str">
        <f t="shared" si="200"/>
        <v>A7A7 50 TDI Quattro Premium</v>
      </c>
      <c r="BE1358" s="261" t="str">
        <f t="shared" si="206"/>
        <v>0239</v>
      </c>
      <c r="BF1358" s="407" t="s">
        <v>1864</v>
      </c>
      <c r="BG1358" s="202" t="str">
        <f t="shared" si="201"/>
        <v>0239-1357</v>
      </c>
    </row>
    <row r="1359" spans="1:59">
      <c r="A1359" s="405">
        <v>5133</v>
      </c>
      <c r="B1359" s="406">
        <v>5133</v>
      </c>
      <c r="C1359" s="261" t="str">
        <f t="shared" si="202"/>
        <v>0006-0239</v>
      </c>
      <c r="D1359" s="261" t="str">
        <f t="shared" si="203"/>
        <v>0006-0239-0003</v>
      </c>
      <c r="E1359" s="407" t="s">
        <v>1865</v>
      </c>
      <c r="F1359" s="261" t="str">
        <f>TEXT(VLOOKUP(J1359,'[3]1'!$B$2:$D$37,2,0),"0000")</f>
        <v>0006</v>
      </c>
      <c r="G1359" s="261" t="str">
        <f t="shared" si="204"/>
        <v>0239</v>
      </c>
      <c r="H1359" s="408">
        <f t="shared" si="205"/>
        <v>3</v>
      </c>
      <c r="I1359" s="407" t="s">
        <v>1865</v>
      </c>
      <c r="J1359" s="258" t="s">
        <v>197</v>
      </c>
      <c r="K1359" s="258" t="s">
        <v>1956</v>
      </c>
      <c r="L1359" s="258" t="s">
        <v>3321</v>
      </c>
      <c r="M1359" s="409">
        <v>99587000</v>
      </c>
      <c r="N1359" s="258">
        <v>1984</v>
      </c>
      <c r="O1359" s="258" t="s">
        <v>1173</v>
      </c>
      <c r="P1359" s="258" t="s">
        <v>73</v>
      </c>
      <c r="Q1359" s="258" t="s">
        <v>72</v>
      </c>
      <c r="R1359" s="258">
        <v>5</v>
      </c>
      <c r="S1359" s="410">
        <v>4</v>
      </c>
      <c r="T1359" s="261">
        <v>6</v>
      </c>
      <c r="U1359" s="261">
        <v>6</v>
      </c>
      <c r="V1359" s="258" t="s">
        <v>1969</v>
      </c>
      <c r="W1359" s="261" t="str">
        <f t="shared" si="207"/>
        <v>AUDIA7A7 55 TFSI e Quattro Premium99587000</v>
      </c>
      <c r="X1359" s="411">
        <f t="shared" si="208"/>
        <v>5133</v>
      </c>
      <c r="Y1359" s="261">
        <v>6</v>
      </c>
      <c r="Z1359" s="261">
        <v>6</v>
      </c>
      <c r="AA1359" s="407" t="s">
        <v>1865</v>
      </c>
      <c r="AB1359" s="258" t="s">
        <v>73</v>
      </c>
      <c r="AC1359" s="258"/>
      <c r="AD1359" s="258">
        <v>4</v>
      </c>
      <c r="AE1359" s="258">
        <v>0</v>
      </c>
      <c r="AF1359" s="259"/>
      <c r="AG1359" s="260"/>
      <c r="AH1359" s="259"/>
      <c r="AI1359" s="259"/>
      <c r="AJ1359" s="260"/>
      <c r="AK1359" s="259">
        <v>13</v>
      </c>
      <c r="AL1359" s="259"/>
      <c r="AM1359" s="259" t="s">
        <v>3662</v>
      </c>
      <c r="AN1359" s="449"/>
      <c r="AO1359" s="449"/>
      <c r="AP1359" s="449"/>
      <c r="AQ1359" s="392" t="str">
        <f>IFERROR(VLOOKUP(BG1359,#REF!,1,0),"")</f>
        <v/>
      </c>
      <c r="AS1359" s="259" t="s">
        <v>3226</v>
      </c>
      <c r="BD1359" s="202" t="str">
        <f t="shared" si="200"/>
        <v>A7A7 55 TFSI e Quattro Premium</v>
      </c>
      <c r="BE1359" s="261" t="str">
        <f t="shared" si="206"/>
        <v>0239</v>
      </c>
      <c r="BF1359" s="407" t="s">
        <v>1865</v>
      </c>
      <c r="BG1359" s="202" t="str">
        <f t="shared" si="201"/>
        <v>0239-1358</v>
      </c>
    </row>
    <row r="1360" spans="1:59">
      <c r="A1360" s="405">
        <v>5134</v>
      </c>
      <c r="B1360" s="406">
        <v>5134</v>
      </c>
      <c r="C1360" s="261" t="str">
        <f t="shared" si="202"/>
        <v>0006-0239</v>
      </c>
      <c r="D1360" s="261" t="str">
        <f t="shared" si="203"/>
        <v>0006-0239-0004</v>
      </c>
      <c r="E1360" s="407" t="s">
        <v>1866</v>
      </c>
      <c r="F1360" s="261" t="str">
        <f>TEXT(VLOOKUP(J1360,'[3]1'!$B$2:$D$37,2,0),"0000")</f>
        <v>0006</v>
      </c>
      <c r="G1360" s="261" t="str">
        <f t="shared" si="204"/>
        <v>0239</v>
      </c>
      <c r="H1360" s="408">
        <f t="shared" si="205"/>
        <v>4</v>
      </c>
      <c r="I1360" s="407" t="s">
        <v>1866</v>
      </c>
      <c r="J1360" s="258" t="s">
        <v>197</v>
      </c>
      <c r="K1360" s="258" t="s">
        <v>1956</v>
      </c>
      <c r="L1360" s="258" t="s">
        <v>2845</v>
      </c>
      <c r="M1360" s="409">
        <v>93600000</v>
      </c>
      <c r="N1360" s="258">
        <v>2995</v>
      </c>
      <c r="O1360" s="258" t="s">
        <v>77</v>
      </c>
      <c r="P1360" s="258" t="s">
        <v>73</v>
      </c>
      <c r="Q1360" s="258" t="s">
        <v>72</v>
      </c>
      <c r="R1360" s="258">
        <v>5</v>
      </c>
      <c r="S1360" s="410">
        <v>4</v>
      </c>
      <c r="T1360" s="261">
        <v>6</v>
      </c>
      <c r="U1360" s="261">
        <v>6</v>
      </c>
      <c r="V1360" s="258" t="s">
        <v>71</v>
      </c>
      <c r="W1360" s="261" t="str">
        <f t="shared" si="207"/>
        <v>AUDIA7A7 55 TFSI Quattro Premium93600000</v>
      </c>
      <c r="X1360" s="411">
        <f t="shared" si="208"/>
        <v>5134</v>
      </c>
      <c r="Y1360" s="261">
        <v>6</v>
      </c>
      <c r="Z1360" s="261">
        <v>6</v>
      </c>
      <c r="AA1360" s="407" t="s">
        <v>1866</v>
      </c>
      <c r="AB1360" s="258" t="s">
        <v>73</v>
      </c>
      <c r="AC1360" s="258"/>
      <c r="AD1360" s="258">
        <v>4</v>
      </c>
      <c r="AE1360" s="258">
        <v>0</v>
      </c>
      <c r="AF1360" s="259"/>
      <c r="AG1360" s="260"/>
      <c r="AH1360" s="259"/>
      <c r="AI1360" s="259"/>
      <c r="AJ1360" s="260"/>
      <c r="AK1360" s="259">
        <v>13</v>
      </c>
      <c r="AL1360" s="259"/>
      <c r="AM1360" s="259" t="s">
        <v>3662</v>
      </c>
      <c r="AN1360" s="449"/>
      <c r="AO1360" s="449"/>
      <c r="AP1360" s="449"/>
      <c r="AQ1360" s="392" t="str">
        <f>IFERROR(VLOOKUP(BG1360,#REF!,1,0),"")</f>
        <v/>
      </c>
      <c r="AS1360" s="259" t="s">
        <v>3226</v>
      </c>
      <c r="BD1360" s="202" t="str">
        <f t="shared" si="200"/>
        <v>A7A7 55 TFSI Quattro Premium</v>
      </c>
      <c r="BE1360" s="261" t="str">
        <f t="shared" si="206"/>
        <v>0239</v>
      </c>
      <c r="BF1360" s="407" t="s">
        <v>1866</v>
      </c>
      <c r="BG1360" s="202" t="str">
        <f t="shared" si="201"/>
        <v>0239-1359</v>
      </c>
    </row>
    <row r="1361" spans="1:59">
      <c r="A1361" s="405">
        <v>5135</v>
      </c>
      <c r="B1361" s="406">
        <v>5135</v>
      </c>
      <c r="C1361" s="261" t="str">
        <f t="shared" si="202"/>
        <v>0006-0240</v>
      </c>
      <c r="D1361" s="261" t="str">
        <f t="shared" si="203"/>
        <v>0006-0240-0001</v>
      </c>
      <c r="E1361" s="407" t="s">
        <v>1867</v>
      </c>
      <c r="F1361" s="261" t="str">
        <f>TEXT(VLOOKUP(J1361,'[3]1'!$B$2:$D$37,2,0),"0000")</f>
        <v>0006</v>
      </c>
      <c r="G1361" s="261" t="str">
        <f t="shared" si="204"/>
        <v>0240</v>
      </c>
      <c r="H1361" s="408">
        <f t="shared" si="205"/>
        <v>1</v>
      </c>
      <c r="I1361" s="407" t="s">
        <v>1867</v>
      </c>
      <c r="J1361" s="258" t="s">
        <v>197</v>
      </c>
      <c r="K1361" s="413" t="s">
        <v>3596</v>
      </c>
      <c r="L1361" s="258" t="s">
        <v>3615</v>
      </c>
      <c r="M1361" s="409">
        <v>175500000</v>
      </c>
      <c r="N1361" s="461">
        <v>3996</v>
      </c>
      <c r="O1361" s="258" t="s">
        <v>77</v>
      </c>
      <c r="P1361" s="426" t="s">
        <v>73</v>
      </c>
      <c r="Q1361" s="258" t="s">
        <v>1974</v>
      </c>
      <c r="R1361" s="426">
        <v>5</v>
      </c>
      <c r="S1361" s="427">
        <v>14</v>
      </c>
      <c r="T1361" s="261">
        <v>6</v>
      </c>
      <c r="U1361" s="261">
        <v>6</v>
      </c>
      <c r="V1361" s="258" t="s">
        <v>1969</v>
      </c>
      <c r="W1361" s="261" t="str">
        <f t="shared" si="207"/>
        <v>AUDIRS6아반트 퍼포먼스175500000</v>
      </c>
      <c r="X1361" s="411">
        <f t="shared" si="208"/>
        <v>5135</v>
      </c>
      <c r="Y1361" s="261">
        <v>6</v>
      </c>
      <c r="Z1361" s="261">
        <v>6</v>
      </c>
      <c r="AA1361" s="407" t="s">
        <v>1867</v>
      </c>
      <c r="AB1361" s="258" t="s">
        <v>73</v>
      </c>
      <c r="AC1361" s="258"/>
      <c r="AD1361" s="258">
        <v>7</v>
      </c>
      <c r="AE1361" s="258">
        <v>0</v>
      </c>
      <c r="AF1361" s="259"/>
      <c r="AG1361" s="260"/>
      <c r="AH1361" s="259"/>
      <c r="AI1361" s="459"/>
      <c r="AJ1361" s="260"/>
      <c r="AK1361" s="259">
        <v>22</v>
      </c>
      <c r="AL1361" s="259"/>
      <c r="AM1361" s="259" t="s">
        <v>3671</v>
      </c>
      <c r="AN1361" s="449"/>
      <c r="AO1361" s="449"/>
      <c r="AP1361" s="449"/>
      <c r="AQ1361" s="392" t="str">
        <f>IFERROR(VLOOKUP(BG1361,#REF!,1,0),"")</f>
        <v/>
      </c>
      <c r="AS1361" s="259" t="s">
        <v>71</v>
      </c>
      <c r="AT1361" s="392" t="s">
        <v>3099</v>
      </c>
      <c r="AY1361" s="312"/>
      <c r="BD1361" s="202" t="str">
        <f t="shared" si="200"/>
        <v>RS6아반트 퍼포먼스</v>
      </c>
      <c r="BE1361" s="261" t="str">
        <f t="shared" si="206"/>
        <v>0240</v>
      </c>
      <c r="BF1361" s="407" t="s">
        <v>1867</v>
      </c>
      <c r="BG1361" s="202" t="str">
        <f t="shared" si="201"/>
        <v>0240-1360</v>
      </c>
    </row>
    <row r="1362" spans="1:59" s="493" customFormat="1">
      <c r="A1362" s="405">
        <v>5136</v>
      </c>
      <c r="B1362" s="406">
        <v>5136</v>
      </c>
      <c r="C1362" s="261" t="str">
        <f t="shared" si="202"/>
        <v>0006-0241</v>
      </c>
      <c r="D1362" s="261" t="str">
        <f t="shared" si="203"/>
        <v>0006-0241-0001</v>
      </c>
      <c r="E1362" s="407" t="s">
        <v>1868</v>
      </c>
      <c r="F1362" s="261" t="str">
        <f>TEXT(VLOOKUP(J1362,'[3]1'!$B$2:$D$37,2,0),"0000")</f>
        <v>0006</v>
      </c>
      <c r="G1362" s="261" t="str">
        <f t="shared" si="204"/>
        <v>0241</v>
      </c>
      <c r="H1362" s="408">
        <f t="shared" si="205"/>
        <v>1</v>
      </c>
      <c r="I1362" s="407" t="s">
        <v>1868</v>
      </c>
      <c r="J1362" s="461" t="s">
        <v>197</v>
      </c>
      <c r="K1362" s="258" t="s">
        <v>3602</v>
      </c>
      <c r="L1362" s="461" t="s">
        <v>3616</v>
      </c>
      <c r="M1362" s="462">
        <v>181800000</v>
      </c>
      <c r="N1362" s="461">
        <v>3996</v>
      </c>
      <c r="O1362" s="258" t="s">
        <v>77</v>
      </c>
      <c r="P1362" s="461" t="s">
        <v>73</v>
      </c>
      <c r="Q1362" s="461" t="s">
        <v>1974</v>
      </c>
      <c r="R1362" s="461">
        <v>5</v>
      </c>
      <c r="S1362" s="463">
        <v>14</v>
      </c>
      <c r="T1362" s="261">
        <v>6</v>
      </c>
      <c r="U1362" s="261">
        <v>6</v>
      </c>
      <c r="V1362" s="461" t="s">
        <v>1969</v>
      </c>
      <c r="W1362" s="261" t="str">
        <f t="shared" si="207"/>
        <v>AUDIRS7퍼포먼스181800000</v>
      </c>
      <c r="X1362" s="411">
        <f t="shared" si="208"/>
        <v>5136</v>
      </c>
      <c r="Y1362" s="261">
        <v>6</v>
      </c>
      <c r="Z1362" s="261">
        <v>6</v>
      </c>
      <c r="AA1362" s="407" t="s">
        <v>1868</v>
      </c>
      <c r="AB1362" s="461" t="s">
        <v>73</v>
      </c>
      <c r="AC1362" s="461"/>
      <c r="AD1362" s="461">
        <v>7</v>
      </c>
      <c r="AE1362" s="461">
        <v>0</v>
      </c>
      <c r="AF1362" s="464"/>
      <c r="AG1362" s="460"/>
      <c r="AH1362" s="464"/>
      <c r="AI1362" s="465"/>
      <c r="AJ1362" s="460"/>
      <c r="AK1362" s="259">
        <v>22</v>
      </c>
      <c r="AL1362" s="259"/>
      <c r="AM1362" s="259" t="s">
        <v>3671</v>
      </c>
      <c r="AN1362" s="466"/>
      <c r="AO1362" s="466"/>
      <c r="AP1362" s="466"/>
      <c r="AQ1362" s="392" t="str">
        <f>IFERROR(VLOOKUP(BG1362,#REF!,1,0),"")</f>
        <v/>
      </c>
      <c r="AR1362" s="467"/>
      <c r="AS1362" s="259" t="s">
        <v>71</v>
      </c>
      <c r="AT1362" s="467" t="s">
        <v>3099</v>
      </c>
      <c r="AU1362" s="467"/>
      <c r="AV1362" s="467"/>
      <c r="AW1362" s="467"/>
      <c r="AX1362" s="467"/>
      <c r="AY1362" s="467"/>
      <c r="BD1362" s="202" t="str">
        <f t="shared" si="200"/>
        <v>RS7퍼포먼스</v>
      </c>
      <c r="BE1362" s="261" t="str">
        <f t="shared" si="206"/>
        <v>0241</v>
      </c>
      <c r="BF1362" s="407" t="s">
        <v>1868</v>
      </c>
      <c r="BG1362" s="202" t="str">
        <f t="shared" si="201"/>
        <v>0241-1361</v>
      </c>
    </row>
    <row r="1363" spans="1:59" s="493" customFormat="1">
      <c r="A1363" s="405">
        <v>5137</v>
      </c>
      <c r="B1363" s="406">
        <v>5137</v>
      </c>
      <c r="C1363" s="261" t="str">
        <f t="shared" si="202"/>
        <v>0006-0241</v>
      </c>
      <c r="D1363" s="261" t="str">
        <f t="shared" si="203"/>
        <v>0006-0241-0002</v>
      </c>
      <c r="E1363" s="407" t="s">
        <v>1869</v>
      </c>
      <c r="F1363" s="261" t="str">
        <f>TEXT(VLOOKUP(J1363,'[3]1'!$B$2:$D$37,2,0),"0000")</f>
        <v>0006</v>
      </c>
      <c r="G1363" s="261" t="str">
        <f t="shared" si="204"/>
        <v>0241</v>
      </c>
      <c r="H1363" s="408">
        <f t="shared" si="205"/>
        <v>2</v>
      </c>
      <c r="I1363" s="407" t="s">
        <v>1869</v>
      </c>
      <c r="J1363" s="461" t="s">
        <v>197</v>
      </c>
      <c r="K1363" s="258" t="s">
        <v>3602</v>
      </c>
      <c r="L1363" s="461" t="s">
        <v>3617</v>
      </c>
      <c r="M1363" s="462">
        <v>175580000</v>
      </c>
      <c r="N1363" s="461">
        <v>3996</v>
      </c>
      <c r="O1363" s="258" t="s">
        <v>77</v>
      </c>
      <c r="P1363" s="461" t="s">
        <v>73</v>
      </c>
      <c r="Q1363" s="461" t="s">
        <v>1974</v>
      </c>
      <c r="R1363" s="461">
        <v>5</v>
      </c>
      <c r="S1363" s="463">
        <v>14</v>
      </c>
      <c r="T1363" s="261">
        <v>6</v>
      </c>
      <c r="U1363" s="261">
        <v>6</v>
      </c>
      <c r="V1363" s="461" t="s">
        <v>1969</v>
      </c>
      <c r="W1363" s="261" t="str">
        <f t="shared" si="207"/>
        <v>AUDIRS7TFSI 콰트로175580000</v>
      </c>
      <c r="X1363" s="411">
        <f t="shared" si="208"/>
        <v>5137</v>
      </c>
      <c r="Y1363" s="261">
        <v>6</v>
      </c>
      <c r="Z1363" s="261">
        <v>6</v>
      </c>
      <c r="AA1363" s="407" t="s">
        <v>1869</v>
      </c>
      <c r="AB1363" s="461" t="s">
        <v>73</v>
      </c>
      <c r="AC1363" s="461"/>
      <c r="AD1363" s="461">
        <v>7</v>
      </c>
      <c r="AE1363" s="461">
        <v>0</v>
      </c>
      <c r="AF1363" s="464"/>
      <c r="AG1363" s="460"/>
      <c r="AH1363" s="464"/>
      <c r="AI1363" s="465"/>
      <c r="AJ1363" s="460"/>
      <c r="AK1363" s="259">
        <v>22</v>
      </c>
      <c r="AL1363" s="259"/>
      <c r="AM1363" s="259" t="s">
        <v>3671</v>
      </c>
      <c r="AN1363" s="466"/>
      <c r="AO1363" s="466"/>
      <c r="AP1363" s="466"/>
      <c r="AQ1363" s="392" t="str">
        <f>IFERROR(VLOOKUP(BG1363,#REF!,1,0),"")</f>
        <v/>
      </c>
      <c r="AR1363" s="467"/>
      <c r="AS1363" s="259" t="s">
        <v>71</v>
      </c>
      <c r="AT1363" s="467" t="s">
        <v>3099</v>
      </c>
      <c r="AU1363" s="467"/>
      <c r="AV1363" s="467"/>
      <c r="AW1363" s="467"/>
      <c r="AX1363" s="467"/>
      <c r="AY1363" s="467"/>
      <c r="BD1363" s="202" t="str">
        <f t="shared" si="200"/>
        <v>RS7TFSI 콰트로</v>
      </c>
      <c r="BE1363" s="261" t="str">
        <f t="shared" si="206"/>
        <v>0241</v>
      </c>
      <c r="BF1363" s="407" t="s">
        <v>1869</v>
      </c>
      <c r="BG1363" s="202" t="str">
        <f t="shared" si="201"/>
        <v>0241-1362</v>
      </c>
    </row>
    <row r="1364" spans="1:59" s="493" customFormat="1">
      <c r="A1364" s="405">
        <v>5138</v>
      </c>
      <c r="B1364" s="406">
        <v>5138</v>
      </c>
      <c r="C1364" s="261" t="str">
        <f t="shared" si="202"/>
        <v>0006-0242</v>
      </c>
      <c r="D1364" s="261" t="str">
        <f t="shared" si="203"/>
        <v>0006-0242-0001</v>
      </c>
      <c r="E1364" s="407" t="s">
        <v>1870</v>
      </c>
      <c r="F1364" s="261" t="str">
        <f>TEXT(VLOOKUP(J1364,'[3]1'!$B$2:$D$37,2,0),"0000")</f>
        <v>0006</v>
      </c>
      <c r="G1364" s="261" t="str">
        <f t="shared" si="204"/>
        <v>0242</v>
      </c>
      <c r="H1364" s="408">
        <f t="shared" si="205"/>
        <v>1</v>
      </c>
      <c r="I1364" s="407" t="s">
        <v>1870</v>
      </c>
      <c r="J1364" s="461" t="s">
        <v>197</v>
      </c>
      <c r="K1364" s="258" t="s">
        <v>3618</v>
      </c>
      <c r="L1364" s="461" t="s">
        <v>3619</v>
      </c>
      <c r="M1364" s="462">
        <v>184500000</v>
      </c>
      <c r="N1364" s="461">
        <v>3996</v>
      </c>
      <c r="O1364" s="258" t="s">
        <v>77</v>
      </c>
      <c r="P1364" s="461" t="s">
        <v>73</v>
      </c>
      <c r="Q1364" s="461" t="s">
        <v>1974</v>
      </c>
      <c r="R1364" s="461">
        <v>5</v>
      </c>
      <c r="S1364" s="463">
        <v>14</v>
      </c>
      <c r="T1364" s="261">
        <v>6</v>
      </c>
      <c r="U1364" s="261">
        <v>6</v>
      </c>
      <c r="V1364" s="461" t="s">
        <v>1969</v>
      </c>
      <c r="W1364" s="261" t="str">
        <f t="shared" si="207"/>
        <v>AUDIRSQ84.0 TFSI 콰트로184500000</v>
      </c>
      <c r="X1364" s="411">
        <f t="shared" si="208"/>
        <v>5138</v>
      </c>
      <c r="Y1364" s="261">
        <v>6</v>
      </c>
      <c r="Z1364" s="261">
        <v>6</v>
      </c>
      <c r="AA1364" s="407" t="s">
        <v>1870</v>
      </c>
      <c r="AB1364" s="461" t="s">
        <v>73</v>
      </c>
      <c r="AC1364" s="461"/>
      <c r="AD1364" s="461">
        <v>7</v>
      </c>
      <c r="AE1364" s="461">
        <v>0</v>
      </c>
      <c r="AF1364" s="464"/>
      <c r="AG1364" s="460"/>
      <c r="AH1364" s="464"/>
      <c r="AI1364" s="465"/>
      <c r="AJ1364" s="460"/>
      <c r="AK1364" s="259">
        <v>22</v>
      </c>
      <c r="AL1364" s="259"/>
      <c r="AM1364" s="259" t="s">
        <v>3671</v>
      </c>
      <c r="AN1364" s="466"/>
      <c r="AO1364" s="466"/>
      <c r="AP1364" s="466"/>
      <c r="AQ1364" s="392" t="str">
        <f>IFERROR(VLOOKUP(BG1364,#REF!,1,0),"")</f>
        <v/>
      </c>
      <c r="AR1364" s="467"/>
      <c r="AS1364" s="259" t="s">
        <v>71</v>
      </c>
      <c r="AT1364" s="467" t="s">
        <v>3099</v>
      </c>
      <c r="AU1364" s="467"/>
      <c r="AV1364" s="467"/>
      <c r="AW1364" s="467"/>
      <c r="AX1364" s="467"/>
      <c r="AY1364" s="467"/>
      <c r="BD1364" s="202" t="str">
        <f t="shared" si="200"/>
        <v>RSQ84.0 TFSI 콰트로</v>
      </c>
      <c r="BE1364" s="261" t="str">
        <f t="shared" si="206"/>
        <v>0242</v>
      </c>
      <c r="BF1364" s="407" t="s">
        <v>1870</v>
      </c>
      <c r="BG1364" s="202" t="str">
        <f t="shared" si="201"/>
        <v>0242-1363</v>
      </c>
    </row>
    <row r="1365" spans="1:59">
      <c r="A1365" s="405">
        <v>5139</v>
      </c>
      <c r="B1365" s="406">
        <v>5139</v>
      </c>
      <c r="C1365" s="261" t="str">
        <f t="shared" si="202"/>
        <v>0006-0243</v>
      </c>
      <c r="D1365" s="261" t="str">
        <f t="shared" si="203"/>
        <v>0006-0243-0001</v>
      </c>
      <c r="E1365" s="407" t="s">
        <v>1871</v>
      </c>
      <c r="F1365" s="261" t="str">
        <f>TEXT(VLOOKUP(J1365,'[3]1'!$B$2:$D$37,2,0),"0000")</f>
        <v>0006</v>
      </c>
      <c r="G1365" s="261" t="str">
        <f t="shared" si="204"/>
        <v>0243</v>
      </c>
      <c r="H1365" s="408">
        <f t="shared" si="205"/>
        <v>1</v>
      </c>
      <c r="I1365" s="407" t="s">
        <v>1871</v>
      </c>
      <c r="J1365" s="413" t="s">
        <v>197</v>
      </c>
      <c r="K1365" s="258" t="s">
        <v>2787</v>
      </c>
      <c r="L1365" s="413" t="s">
        <v>2784</v>
      </c>
      <c r="M1365" s="415">
        <v>144390000</v>
      </c>
      <c r="N1365" s="416">
        <v>2967</v>
      </c>
      <c r="O1365" s="258" t="s">
        <v>1961</v>
      </c>
      <c r="P1365" s="258" t="s">
        <v>73</v>
      </c>
      <c r="Q1365" s="258" t="s">
        <v>72</v>
      </c>
      <c r="R1365" s="258">
        <v>5</v>
      </c>
      <c r="S1365" s="410">
        <v>14</v>
      </c>
      <c r="T1365" s="261">
        <v>6</v>
      </c>
      <c r="U1365" s="261">
        <v>6</v>
      </c>
      <c r="V1365" s="258" t="s">
        <v>71</v>
      </c>
      <c r="W1365" s="261" t="str">
        <f t="shared" si="207"/>
        <v>AUDIA8L 50TDI Quattro144390000</v>
      </c>
      <c r="X1365" s="411">
        <f t="shared" si="208"/>
        <v>5139</v>
      </c>
      <c r="Y1365" s="261">
        <v>6</v>
      </c>
      <c r="Z1365" s="261">
        <v>6</v>
      </c>
      <c r="AA1365" s="407" t="s">
        <v>1871</v>
      </c>
      <c r="AB1365" s="258" t="s">
        <v>73</v>
      </c>
      <c r="AC1365" s="258"/>
      <c r="AD1365" s="258">
        <v>5</v>
      </c>
      <c r="AE1365" s="258">
        <v>0</v>
      </c>
      <c r="AF1365" s="259"/>
      <c r="AG1365" s="260"/>
      <c r="AH1365" s="259"/>
      <c r="AI1365" s="459"/>
      <c r="AJ1365" s="260"/>
      <c r="AK1365" s="259">
        <v>18</v>
      </c>
      <c r="AL1365" s="259"/>
      <c r="AM1365" s="259" t="s">
        <v>3667</v>
      </c>
      <c r="AN1365" s="449"/>
      <c r="AO1365" s="449"/>
      <c r="AP1365" s="449"/>
      <c r="AQ1365" s="392" t="str">
        <f>IFERROR(VLOOKUP(BG1365,#REF!,1,0),"")</f>
        <v/>
      </c>
      <c r="AS1365" s="259" t="s">
        <v>71</v>
      </c>
      <c r="BD1365" s="202" t="str">
        <f t="shared" si="200"/>
        <v>A8L 50TDI Quattro</v>
      </c>
      <c r="BE1365" s="261" t="str">
        <f t="shared" si="206"/>
        <v>0243</v>
      </c>
      <c r="BF1365" s="407" t="s">
        <v>1871</v>
      </c>
      <c r="BG1365" s="202" t="str">
        <f t="shared" si="201"/>
        <v>0243-1364</v>
      </c>
    </row>
    <row r="1366" spans="1:59">
      <c r="A1366" s="405">
        <v>5140</v>
      </c>
      <c r="B1366" s="406">
        <v>5140</v>
      </c>
      <c r="C1366" s="261" t="str">
        <f t="shared" si="202"/>
        <v>0006-0243</v>
      </c>
      <c r="D1366" s="261" t="str">
        <f t="shared" si="203"/>
        <v>0006-0243-0002</v>
      </c>
      <c r="E1366" s="407" t="s">
        <v>3943</v>
      </c>
      <c r="F1366" s="261" t="str">
        <f>TEXT(VLOOKUP(J1366,'[3]1'!$B$2:$D$37,2,0),"0000")</f>
        <v>0006</v>
      </c>
      <c r="G1366" s="261" t="str">
        <f t="shared" si="204"/>
        <v>0243</v>
      </c>
      <c r="H1366" s="408">
        <f t="shared" si="205"/>
        <v>2</v>
      </c>
      <c r="I1366" s="407" t="s">
        <v>3943</v>
      </c>
      <c r="J1366" s="413" t="s">
        <v>197</v>
      </c>
      <c r="K1366" s="258" t="s">
        <v>2787</v>
      </c>
      <c r="L1366" s="413" t="s">
        <v>2785</v>
      </c>
      <c r="M1366" s="415">
        <v>134570000</v>
      </c>
      <c r="N1366" s="416">
        <v>2967</v>
      </c>
      <c r="O1366" s="258" t="s">
        <v>1961</v>
      </c>
      <c r="P1366" s="258" t="s">
        <v>73</v>
      </c>
      <c r="Q1366" s="258" t="s">
        <v>72</v>
      </c>
      <c r="R1366" s="258">
        <v>5</v>
      </c>
      <c r="S1366" s="410">
        <v>14</v>
      </c>
      <c r="T1366" s="261">
        <v>6</v>
      </c>
      <c r="U1366" s="261">
        <v>6</v>
      </c>
      <c r="V1366" s="258" t="s">
        <v>71</v>
      </c>
      <c r="W1366" s="261" t="str">
        <f t="shared" si="207"/>
        <v>AUDIA850TDI Quattro134570000</v>
      </c>
      <c r="X1366" s="411">
        <f t="shared" si="208"/>
        <v>5140</v>
      </c>
      <c r="Y1366" s="261">
        <v>6</v>
      </c>
      <c r="Z1366" s="261">
        <v>6</v>
      </c>
      <c r="AA1366" s="407" t="s">
        <v>3943</v>
      </c>
      <c r="AB1366" s="258" t="s">
        <v>73</v>
      </c>
      <c r="AC1366" s="258"/>
      <c r="AD1366" s="258">
        <v>6</v>
      </c>
      <c r="AE1366" s="258">
        <v>0</v>
      </c>
      <c r="AF1366" s="259"/>
      <c r="AG1366" s="260"/>
      <c r="AH1366" s="259"/>
      <c r="AI1366" s="459"/>
      <c r="AJ1366" s="260"/>
      <c r="AK1366" s="259">
        <v>18</v>
      </c>
      <c r="AL1366" s="259"/>
      <c r="AM1366" s="259" t="s">
        <v>3667</v>
      </c>
      <c r="AN1366" s="449"/>
      <c r="AO1366" s="449"/>
      <c r="AP1366" s="449"/>
      <c r="AQ1366" s="392" t="str">
        <f>IFERROR(VLOOKUP(BG1366,#REF!,1,0),"")</f>
        <v/>
      </c>
      <c r="AS1366" s="259" t="s">
        <v>71</v>
      </c>
      <c r="BD1366" s="202" t="str">
        <f t="shared" si="200"/>
        <v>A850TDI Quattro</v>
      </c>
      <c r="BE1366" s="261" t="str">
        <f t="shared" si="206"/>
        <v>0243</v>
      </c>
      <c r="BF1366" s="407" t="s">
        <v>3943</v>
      </c>
      <c r="BG1366" s="202" t="str">
        <f t="shared" si="201"/>
        <v>0243-1365</v>
      </c>
    </row>
    <row r="1367" spans="1:59">
      <c r="A1367" s="405">
        <v>5141</v>
      </c>
      <c r="B1367" s="406">
        <v>5141</v>
      </c>
      <c r="C1367" s="261" t="str">
        <f t="shared" si="202"/>
        <v>0006-0243</v>
      </c>
      <c r="D1367" s="261" t="str">
        <f t="shared" si="203"/>
        <v>0006-0243-0003</v>
      </c>
      <c r="E1367" s="407" t="s">
        <v>1872</v>
      </c>
      <c r="F1367" s="261" t="str">
        <f>TEXT(VLOOKUP(J1367,'[3]1'!$B$2:$D$37,2,0),"0000")</f>
        <v>0006</v>
      </c>
      <c r="G1367" s="261" t="str">
        <f t="shared" si="204"/>
        <v>0243</v>
      </c>
      <c r="H1367" s="408">
        <f t="shared" si="205"/>
        <v>3</v>
      </c>
      <c r="I1367" s="407" t="s">
        <v>1872</v>
      </c>
      <c r="J1367" s="258" t="s">
        <v>197</v>
      </c>
      <c r="K1367" s="258" t="s">
        <v>1909</v>
      </c>
      <c r="L1367" s="258" t="s">
        <v>1910</v>
      </c>
      <c r="M1367" s="409">
        <v>145400000</v>
      </c>
      <c r="N1367" s="258">
        <v>2995</v>
      </c>
      <c r="O1367" s="258" t="s">
        <v>77</v>
      </c>
      <c r="P1367" s="258" t="s">
        <v>73</v>
      </c>
      <c r="Q1367" s="258" t="s">
        <v>72</v>
      </c>
      <c r="R1367" s="258">
        <v>5</v>
      </c>
      <c r="S1367" s="410">
        <v>14</v>
      </c>
      <c r="T1367" s="261">
        <v>6</v>
      </c>
      <c r="U1367" s="261">
        <v>6</v>
      </c>
      <c r="V1367" s="258" t="s">
        <v>71</v>
      </c>
      <c r="W1367" s="261" t="str">
        <f t="shared" si="207"/>
        <v>AUDIA8L 55 TFSI Q145400000</v>
      </c>
      <c r="X1367" s="411">
        <f t="shared" si="208"/>
        <v>5141</v>
      </c>
      <c r="Y1367" s="261">
        <v>6</v>
      </c>
      <c r="Z1367" s="261">
        <v>6</v>
      </c>
      <c r="AA1367" s="407" t="s">
        <v>1872</v>
      </c>
      <c r="AB1367" s="258" t="s">
        <v>73</v>
      </c>
      <c r="AC1367" s="258"/>
      <c r="AD1367" s="258">
        <v>5</v>
      </c>
      <c r="AE1367" s="258">
        <v>0</v>
      </c>
      <c r="AF1367" s="259"/>
      <c r="AG1367" s="260"/>
      <c r="AH1367" s="259"/>
      <c r="AI1367" s="459"/>
      <c r="AJ1367" s="260"/>
      <c r="AK1367" s="259">
        <v>18</v>
      </c>
      <c r="AL1367" s="259"/>
      <c r="AM1367" s="259" t="s">
        <v>3667</v>
      </c>
      <c r="AN1367" s="449"/>
      <c r="AO1367" s="449"/>
      <c r="AP1367" s="449"/>
      <c r="AQ1367" s="392" t="str">
        <f>IFERROR(VLOOKUP(BG1367,#REF!,1,0),"")</f>
        <v/>
      </c>
      <c r="AS1367" s="259" t="s">
        <v>71</v>
      </c>
      <c r="BD1367" s="202" t="str">
        <f t="shared" si="200"/>
        <v>A8L 55 TFSI Q</v>
      </c>
      <c r="BE1367" s="261" t="str">
        <f t="shared" si="206"/>
        <v>0243</v>
      </c>
      <c r="BF1367" s="407" t="s">
        <v>1872</v>
      </c>
      <c r="BG1367" s="202" t="str">
        <f t="shared" si="201"/>
        <v>0243-1366</v>
      </c>
    </row>
    <row r="1368" spans="1:59" s="479" customFormat="1">
      <c r="A1368" s="405">
        <v>5142</v>
      </c>
      <c r="B1368" s="406">
        <v>5142</v>
      </c>
      <c r="C1368" s="261" t="str">
        <f t="shared" si="202"/>
        <v>0006-0243</v>
      </c>
      <c r="D1368" s="261" t="str">
        <f t="shared" si="203"/>
        <v>0006-0243-0004</v>
      </c>
      <c r="E1368" s="407" t="s">
        <v>1873</v>
      </c>
      <c r="F1368" s="261" t="str">
        <f>TEXT(VLOOKUP(J1368,'[3]1'!$B$2:$D$37,2,0),"0000")</f>
        <v>0006</v>
      </c>
      <c r="G1368" s="261" t="str">
        <f t="shared" si="204"/>
        <v>0243</v>
      </c>
      <c r="H1368" s="408">
        <f t="shared" si="205"/>
        <v>4</v>
      </c>
      <c r="I1368" s="407" t="s">
        <v>1873</v>
      </c>
      <c r="J1368" s="413" t="s">
        <v>197</v>
      </c>
      <c r="K1368" s="258" t="s">
        <v>2787</v>
      </c>
      <c r="L1368" s="473" t="s">
        <v>3609</v>
      </c>
      <c r="M1368" s="474">
        <v>184000000</v>
      </c>
      <c r="N1368" s="473">
        <v>3996</v>
      </c>
      <c r="O1368" s="258" t="s">
        <v>77</v>
      </c>
      <c r="P1368" s="258" t="s">
        <v>73</v>
      </c>
      <c r="Q1368" s="258" t="s">
        <v>72</v>
      </c>
      <c r="R1368" s="258">
        <v>5</v>
      </c>
      <c r="S1368" s="475">
        <v>14</v>
      </c>
      <c r="T1368" s="261">
        <v>6</v>
      </c>
      <c r="U1368" s="261">
        <v>6</v>
      </c>
      <c r="V1368" s="258" t="s">
        <v>71</v>
      </c>
      <c r="W1368" s="261" t="str">
        <f t="shared" si="207"/>
        <v>AUDIA8L 60 TFSI Quattro (5인승)184000000</v>
      </c>
      <c r="X1368" s="411">
        <f t="shared" si="208"/>
        <v>5142</v>
      </c>
      <c r="Y1368" s="261">
        <v>6</v>
      </c>
      <c r="Z1368" s="261">
        <v>6</v>
      </c>
      <c r="AA1368" s="407" t="s">
        <v>1873</v>
      </c>
      <c r="AB1368" s="258" t="s">
        <v>73</v>
      </c>
      <c r="AC1368" s="473"/>
      <c r="AD1368" s="473"/>
      <c r="AE1368" s="473"/>
      <c r="AF1368" s="476"/>
      <c r="AG1368" s="476"/>
      <c r="AH1368" s="476"/>
      <c r="AI1368" s="476"/>
      <c r="AJ1368" s="476"/>
      <c r="AK1368" s="259">
        <v>18</v>
      </c>
      <c r="AL1368" s="259"/>
      <c r="AM1368" s="259" t="s">
        <v>3667</v>
      </c>
      <c r="AN1368" s="477"/>
      <c r="AO1368" s="477"/>
      <c r="AP1368" s="477"/>
      <c r="AQ1368" s="392" t="str">
        <f>IFERROR(VLOOKUP(BG1368,#REF!,1,0),"")</f>
        <v/>
      </c>
      <c r="AR1368" s="478"/>
      <c r="AS1368" s="259" t="s">
        <v>71</v>
      </c>
      <c r="AT1368" s="478" t="s">
        <v>3150</v>
      </c>
      <c r="AU1368" s="478"/>
      <c r="AV1368" s="478"/>
      <c r="AW1368" s="478"/>
      <c r="AX1368" s="478"/>
      <c r="AY1368" s="478"/>
      <c r="BD1368" s="202" t="str">
        <f t="shared" si="200"/>
        <v>A8L 60 TFSI Quattro (5인승)</v>
      </c>
      <c r="BE1368" s="261" t="str">
        <f t="shared" si="206"/>
        <v>0243</v>
      </c>
      <c r="BF1368" s="407" t="s">
        <v>1873</v>
      </c>
      <c r="BG1368" s="202" t="str">
        <f t="shared" si="201"/>
        <v>0243-1367</v>
      </c>
    </row>
    <row r="1369" spans="1:59" s="481" customFormat="1">
      <c r="A1369" s="405">
        <v>5143</v>
      </c>
      <c r="B1369" s="406">
        <v>5143</v>
      </c>
      <c r="C1369" s="261" t="str">
        <f t="shared" si="202"/>
        <v>0006-0243</v>
      </c>
      <c r="D1369" s="261" t="str">
        <f t="shared" si="203"/>
        <v>0006-0243-0005</v>
      </c>
      <c r="E1369" s="407" t="s">
        <v>1874</v>
      </c>
      <c r="F1369" s="261" t="str">
        <f>TEXT(VLOOKUP(J1369,'[3]1'!$B$2:$D$37,2,0),"0000")</f>
        <v>0006</v>
      </c>
      <c r="G1369" s="261" t="str">
        <f t="shared" si="204"/>
        <v>0243</v>
      </c>
      <c r="H1369" s="408">
        <f t="shared" si="205"/>
        <v>5</v>
      </c>
      <c r="I1369" s="407" t="s">
        <v>1874</v>
      </c>
      <c r="J1369" s="413" t="s">
        <v>197</v>
      </c>
      <c r="K1369" s="258" t="s">
        <v>2787</v>
      </c>
      <c r="L1369" s="473" t="s">
        <v>3610</v>
      </c>
      <c r="M1369" s="474">
        <v>194000000</v>
      </c>
      <c r="N1369" s="473">
        <v>3996</v>
      </c>
      <c r="O1369" s="258" t="s">
        <v>77</v>
      </c>
      <c r="P1369" s="258" t="s">
        <v>73</v>
      </c>
      <c r="Q1369" s="258" t="s">
        <v>72</v>
      </c>
      <c r="R1369" s="258">
        <v>4</v>
      </c>
      <c r="S1369" s="475">
        <v>14</v>
      </c>
      <c r="T1369" s="261">
        <v>6</v>
      </c>
      <c r="U1369" s="261">
        <v>6</v>
      </c>
      <c r="V1369" s="258" t="s">
        <v>71</v>
      </c>
      <c r="W1369" s="261" t="str">
        <f t="shared" si="207"/>
        <v>AUDIA8L 60 TFSI Quattro (4인승)194000000</v>
      </c>
      <c r="X1369" s="411">
        <f t="shared" si="208"/>
        <v>5143</v>
      </c>
      <c r="Y1369" s="261">
        <v>6</v>
      </c>
      <c r="Z1369" s="261">
        <v>6</v>
      </c>
      <c r="AA1369" s="407" t="s">
        <v>1874</v>
      </c>
      <c r="AB1369" s="258" t="s">
        <v>73</v>
      </c>
      <c r="AC1369" s="473"/>
      <c r="AD1369" s="473"/>
      <c r="AE1369" s="473"/>
      <c r="AF1369" s="476"/>
      <c r="AG1369" s="476"/>
      <c r="AH1369" s="476"/>
      <c r="AI1369" s="476"/>
      <c r="AJ1369" s="476"/>
      <c r="AK1369" s="259">
        <v>18</v>
      </c>
      <c r="AL1369" s="259"/>
      <c r="AM1369" s="259" t="s">
        <v>3667</v>
      </c>
      <c r="AN1369" s="477"/>
      <c r="AO1369" s="477"/>
      <c r="AP1369" s="477"/>
      <c r="AQ1369" s="392" t="str">
        <f>IFERROR(VLOOKUP(BG1369,#REF!,1,0),"")</f>
        <v/>
      </c>
      <c r="AR1369" s="478"/>
      <c r="AS1369" s="259" t="s">
        <v>71</v>
      </c>
      <c r="AT1369" s="478" t="s">
        <v>3150</v>
      </c>
      <c r="AU1369" s="478"/>
      <c r="AV1369" s="478"/>
      <c r="AW1369" s="478"/>
      <c r="AX1369" s="478"/>
      <c r="AY1369" s="478"/>
      <c r="BD1369" s="202" t="str">
        <f t="shared" si="200"/>
        <v>A8L 60 TFSI Quattro (4인승)</v>
      </c>
      <c r="BE1369" s="261" t="str">
        <f t="shared" si="206"/>
        <v>0243</v>
      </c>
      <c r="BF1369" s="407" t="s">
        <v>1874</v>
      </c>
      <c r="BG1369" s="202" t="str">
        <f t="shared" si="201"/>
        <v>0243-1368</v>
      </c>
    </row>
    <row r="1370" spans="1:59" s="479" customFormat="1">
      <c r="A1370" s="405">
        <v>5144</v>
      </c>
      <c r="B1370" s="406">
        <v>5144</v>
      </c>
      <c r="C1370" s="261" t="str">
        <f t="shared" si="202"/>
        <v>0006-0244</v>
      </c>
      <c r="D1370" s="261" t="str">
        <f t="shared" si="203"/>
        <v>0006-0244-0001</v>
      </c>
      <c r="E1370" s="407" t="s">
        <v>3944</v>
      </c>
      <c r="F1370" s="261" t="str">
        <f>TEXT(VLOOKUP(J1370,'[3]1'!$B$2:$D$37,2,0),"0000")</f>
        <v>0006</v>
      </c>
      <c r="G1370" s="261" t="str">
        <f t="shared" si="204"/>
        <v>0244</v>
      </c>
      <c r="H1370" s="408">
        <f t="shared" si="205"/>
        <v>1</v>
      </c>
      <c r="I1370" s="407" t="s">
        <v>3944</v>
      </c>
      <c r="J1370" s="258" t="s">
        <v>197</v>
      </c>
      <c r="K1370" s="258" t="s">
        <v>2116</v>
      </c>
      <c r="L1370" s="482" t="s">
        <v>3155</v>
      </c>
      <c r="M1370" s="483">
        <v>98060000</v>
      </c>
      <c r="N1370" s="484">
        <v>0</v>
      </c>
      <c r="O1370" s="484" t="s">
        <v>2117</v>
      </c>
      <c r="P1370" s="484" t="s">
        <v>1431</v>
      </c>
      <c r="Q1370" s="484" t="s">
        <v>1974</v>
      </c>
      <c r="R1370" s="484">
        <v>5</v>
      </c>
      <c r="S1370" s="485">
        <v>15</v>
      </c>
      <c r="T1370" s="261">
        <v>6</v>
      </c>
      <c r="U1370" s="261">
        <v>6</v>
      </c>
      <c r="V1370" s="258" t="s">
        <v>1969</v>
      </c>
      <c r="W1370" s="261" t="str">
        <f t="shared" si="207"/>
        <v>AUDIe-tron50Quattro98060000</v>
      </c>
      <c r="X1370" s="411">
        <f t="shared" si="208"/>
        <v>5144</v>
      </c>
      <c r="Y1370" s="261">
        <v>6</v>
      </c>
      <c r="Z1370" s="261">
        <v>6</v>
      </c>
      <c r="AA1370" s="407" t="s">
        <v>3944</v>
      </c>
      <c r="AB1370" s="258" t="s">
        <v>73</v>
      </c>
      <c r="AC1370" s="473"/>
      <c r="AD1370" s="258">
        <v>6</v>
      </c>
      <c r="AE1370" s="258">
        <v>0</v>
      </c>
      <c r="AF1370" s="476"/>
      <c r="AG1370" s="476"/>
      <c r="AH1370" s="476"/>
      <c r="AI1370" s="476"/>
      <c r="AJ1370" s="476"/>
      <c r="AK1370" s="259">
        <v>26</v>
      </c>
      <c r="AL1370" s="259"/>
      <c r="AM1370" s="259" t="s">
        <v>3681</v>
      </c>
      <c r="AN1370" s="477"/>
      <c r="AO1370" s="477"/>
      <c r="AP1370" s="477"/>
      <c r="AQ1370" s="392" t="str">
        <f>IFERROR(VLOOKUP(BG1370,#REF!,1,0),"")</f>
        <v/>
      </c>
      <c r="AR1370" s="478"/>
      <c r="AS1370" s="259" t="s">
        <v>3233</v>
      </c>
      <c r="AT1370" s="478" t="s">
        <v>3150</v>
      </c>
      <c r="AU1370" s="478"/>
      <c r="AV1370" s="478"/>
      <c r="AW1370" s="478"/>
      <c r="AX1370" s="478"/>
      <c r="AY1370" s="478"/>
      <c r="BD1370" s="202" t="str">
        <f t="shared" si="200"/>
        <v>e-tron50Quattro</v>
      </c>
      <c r="BE1370" s="261" t="str">
        <f t="shared" si="206"/>
        <v>0244</v>
      </c>
      <c r="BF1370" s="407" t="s">
        <v>3944</v>
      </c>
      <c r="BG1370" s="202" t="str">
        <f t="shared" si="201"/>
        <v>0244-1369</v>
      </c>
    </row>
    <row r="1371" spans="1:59">
      <c r="A1371" s="405">
        <v>5145</v>
      </c>
      <c r="B1371" s="406">
        <v>5145</v>
      </c>
      <c r="C1371" s="261" t="str">
        <f t="shared" si="202"/>
        <v>0006-0244</v>
      </c>
      <c r="D1371" s="261" t="str">
        <f t="shared" si="203"/>
        <v>0006-0244-0002</v>
      </c>
      <c r="E1371" s="407" t="s">
        <v>1875</v>
      </c>
      <c r="F1371" s="261" t="str">
        <f>TEXT(VLOOKUP(J1371,'[3]1'!$B$2:$D$37,2,0),"0000")</f>
        <v>0006</v>
      </c>
      <c r="G1371" s="261" t="str">
        <f t="shared" si="204"/>
        <v>0244</v>
      </c>
      <c r="H1371" s="408">
        <f t="shared" si="205"/>
        <v>2</v>
      </c>
      <c r="I1371" s="407" t="s">
        <v>1875</v>
      </c>
      <c r="J1371" s="258" t="s">
        <v>197</v>
      </c>
      <c r="K1371" s="258" t="s">
        <v>2116</v>
      </c>
      <c r="L1371" s="258" t="s">
        <v>3442</v>
      </c>
      <c r="M1371" s="409">
        <v>141220000</v>
      </c>
      <c r="N1371" s="258">
        <v>0</v>
      </c>
      <c r="O1371" s="258" t="s">
        <v>2117</v>
      </c>
      <c r="P1371" s="258" t="s">
        <v>1431</v>
      </c>
      <c r="Q1371" s="258" t="s">
        <v>1974</v>
      </c>
      <c r="R1371" s="258">
        <v>5</v>
      </c>
      <c r="S1371" s="410">
        <v>18</v>
      </c>
      <c r="T1371" s="261">
        <v>6</v>
      </c>
      <c r="U1371" s="261">
        <v>6</v>
      </c>
      <c r="V1371" s="258" t="s">
        <v>1969</v>
      </c>
      <c r="W1371" s="261" t="str">
        <f t="shared" si="207"/>
        <v>AUDIe-tron스포트백 S Quattro141220000</v>
      </c>
      <c r="X1371" s="411">
        <f t="shared" si="208"/>
        <v>5145</v>
      </c>
      <c r="Y1371" s="261">
        <v>6</v>
      </c>
      <c r="Z1371" s="261">
        <v>6</v>
      </c>
      <c r="AA1371" s="407" t="s">
        <v>1875</v>
      </c>
      <c r="AB1371" s="258" t="s">
        <v>73</v>
      </c>
      <c r="AC1371" s="258"/>
      <c r="AD1371" s="258">
        <v>6</v>
      </c>
      <c r="AE1371" s="258">
        <v>0</v>
      </c>
      <c r="AF1371" s="259"/>
      <c r="AG1371" s="260"/>
      <c r="AH1371" s="259"/>
      <c r="AI1371" s="459"/>
      <c r="AJ1371" s="260"/>
      <c r="AK1371" s="259">
        <v>26</v>
      </c>
      <c r="AL1371" s="259"/>
      <c r="AM1371" s="259" t="s">
        <v>3681</v>
      </c>
      <c r="AN1371" s="449"/>
      <c r="AO1371" s="449"/>
      <c r="AP1371" s="449"/>
      <c r="AQ1371" s="392" t="str">
        <f>IFERROR(VLOOKUP(BG1371,#REF!,1,0),"")</f>
        <v/>
      </c>
      <c r="AS1371" s="259" t="s">
        <v>3403</v>
      </c>
      <c r="AT1371" s="392">
        <v>2024.02</v>
      </c>
      <c r="AW1371" s="392" t="s">
        <v>3460</v>
      </c>
      <c r="BD1371" s="202" t="str">
        <f t="shared" si="200"/>
        <v>e-tron스포트백 S Quattro</v>
      </c>
      <c r="BE1371" s="261" t="str">
        <f t="shared" si="206"/>
        <v>0244</v>
      </c>
      <c r="BF1371" s="407" t="s">
        <v>1875</v>
      </c>
      <c r="BG1371" s="202" t="str">
        <f t="shared" si="201"/>
        <v>0244-1370</v>
      </c>
    </row>
    <row r="1372" spans="1:59">
      <c r="A1372" s="405">
        <v>5146</v>
      </c>
      <c r="B1372" s="406">
        <v>5146</v>
      </c>
      <c r="C1372" s="261" t="str">
        <f t="shared" si="202"/>
        <v>0006-0244</v>
      </c>
      <c r="D1372" s="261" t="str">
        <f t="shared" si="203"/>
        <v>0006-0244-0003</v>
      </c>
      <c r="E1372" s="407" t="s">
        <v>3945</v>
      </c>
      <c r="F1372" s="261" t="str">
        <f>TEXT(VLOOKUP(J1372,'[3]1'!$B$2:$D$37,2,0),"0000")</f>
        <v>0006</v>
      </c>
      <c r="G1372" s="261" t="str">
        <f t="shared" si="204"/>
        <v>0244</v>
      </c>
      <c r="H1372" s="408">
        <f t="shared" si="205"/>
        <v>3</v>
      </c>
      <c r="I1372" s="407" t="s">
        <v>3945</v>
      </c>
      <c r="J1372" s="258" t="s">
        <v>197</v>
      </c>
      <c r="K1372" s="258" t="s">
        <v>2116</v>
      </c>
      <c r="L1372" s="258" t="s">
        <v>3443</v>
      </c>
      <c r="M1372" s="409">
        <v>137220000</v>
      </c>
      <c r="N1372" s="258">
        <v>0</v>
      </c>
      <c r="O1372" s="258" t="s">
        <v>2117</v>
      </c>
      <c r="P1372" s="258" t="s">
        <v>1431</v>
      </c>
      <c r="Q1372" s="258" t="s">
        <v>1974</v>
      </c>
      <c r="R1372" s="258">
        <v>5</v>
      </c>
      <c r="S1372" s="410">
        <v>18</v>
      </c>
      <c r="T1372" s="261">
        <v>6</v>
      </c>
      <c r="U1372" s="261">
        <v>6</v>
      </c>
      <c r="V1372" s="258" t="s">
        <v>1969</v>
      </c>
      <c r="W1372" s="261" t="str">
        <f t="shared" si="207"/>
        <v>AUDIe-tronS Quattro137220000</v>
      </c>
      <c r="X1372" s="411">
        <f t="shared" si="208"/>
        <v>5146</v>
      </c>
      <c r="Y1372" s="261">
        <v>6</v>
      </c>
      <c r="Z1372" s="261">
        <v>6</v>
      </c>
      <c r="AA1372" s="407" t="s">
        <v>3945</v>
      </c>
      <c r="AB1372" s="258" t="s">
        <v>73</v>
      </c>
      <c r="AC1372" s="258"/>
      <c r="AD1372" s="258">
        <v>6</v>
      </c>
      <c r="AE1372" s="258">
        <v>0</v>
      </c>
      <c r="AF1372" s="259"/>
      <c r="AG1372" s="260"/>
      <c r="AH1372" s="259"/>
      <c r="AI1372" s="459"/>
      <c r="AJ1372" s="260"/>
      <c r="AK1372" s="259">
        <v>26</v>
      </c>
      <c r="AL1372" s="259"/>
      <c r="AM1372" s="259" t="s">
        <v>3681</v>
      </c>
      <c r="AN1372" s="449"/>
      <c r="AO1372" s="449"/>
      <c r="AP1372" s="449"/>
      <c r="AQ1372" s="392" t="str">
        <f>IFERROR(VLOOKUP(BG1372,#REF!,1,0),"")</f>
        <v/>
      </c>
      <c r="AS1372" s="259" t="s">
        <v>3403</v>
      </c>
      <c r="AT1372" s="392">
        <v>2024.02</v>
      </c>
      <c r="AW1372" s="392" t="s">
        <v>3460</v>
      </c>
      <c r="BD1372" s="202" t="str">
        <f t="shared" si="200"/>
        <v>e-tronS Quattro</v>
      </c>
      <c r="BE1372" s="261" t="str">
        <f t="shared" si="206"/>
        <v>0244</v>
      </c>
      <c r="BF1372" s="407" t="s">
        <v>3945</v>
      </c>
      <c r="BG1372" s="202" t="str">
        <f t="shared" si="201"/>
        <v>0244-1371</v>
      </c>
    </row>
    <row r="1373" spans="1:59">
      <c r="A1373" s="405">
        <v>5147</v>
      </c>
      <c r="B1373" s="406">
        <v>5147</v>
      </c>
      <c r="C1373" s="261" t="str">
        <f t="shared" si="202"/>
        <v>0006-0245</v>
      </c>
      <c r="D1373" s="261" t="str">
        <f t="shared" si="203"/>
        <v>0006-0245-0001</v>
      </c>
      <c r="E1373" s="407" t="s">
        <v>1876</v>
      </c>
      <c r="F1373" s="261" t="str">
        <f>TEXT(VLOOKUP(J1373,'[3]1'!$B$2:$D$37,2,0),"0000")</f>
        <v>0006</v>
      </c>
      <c r="G1373" s="261" t="str">
        <f t="shared" si="204"/>
        <v>0245</v>
      </c>
      <c r="H1373" s="408">
        <f t="shared" si="205"/>
        <v>1</v>
      </c>
      <c r="I1373" s="407" t="s">
        <v>1876</v>
      </c>
      <c r="J1373" s="258" t="s">
        <v>197</v>
      </c>
      <c r="K1373" s="258" t="s">
        <v>2799</v>
      </c>
      <c r="L1373" s="413" t="s">
        <v>2800</v>
      </c>
      <c r="M1373" s="415">
        <v>42420000</v>
      </c>
      <c r="N1373" s="416">
        <v>1968</v>
      </c>
      <c r="O1373" s="413" t="s">
        <v>78</v>
      </c>
      <c r="P1373" s="413" t="s">
        <v>73</v>
      </c>
      <c r="Q1373" s="413" t="s">
        <v>72</v>
      </c>
      <c r="R1373" s="416">
        <v>5</v>
      </c>
      <c r="S1373" s="410">
        <v>4</v>
      </c>
      <c r="T1373" s="261">
        <v>6</v>
      </c>
      <c r="U1373" s="261">
        <v>6</v>
      </c>
      <c r="V1373" s="258" t="s">
        <v>71</v>
      </c>
      <c r="W1373" s="261" t="str">
        <f t="shared" si="207"/>
        <v>AUDIQ235TDI Premium42420000</v>
      </c>
      <c r="X1373" s="411">
        <f t="shared" si="208"/>
        <v>5147</v>
      </c>
      <c r="Y1373" s="261">
        <v>6</v>
      </c>
      <c r="Z1373" s="261">
        <v>6</v>
      </c>
      <c r="AA1373" s="407" t="s">
        <v>1876</v>
      </c>
      <c r="AB1373" s="258" t="s">
        <v>1965</v>
      </c>
      <c r="AC1373" s="258"/>
      <c r="AD1373" s="258">
        <v>6</v>
      </c>
      <c r="AE1373" s="258">
        <v>0</v>
      </c>
      <c r="AF1373" s="259"/>
      <c r="AG1373" s="260"/>
      <c r="AH1373" s="259"/>
      <c r="AI1373" s="259"/>
      <c r="AJ1373" s="260"/>
      <c r="AK1373" s="259">
        <v>13</v>
      </c>
      <c r="AL1373" s="259"/>
      <c r="AM1373" s="259" t="s">
        <v>3662</v>
      </c>
      <c r="AN1373" s="449"/>
      <c r="AO1373" s="449"/>
      <c r="AP1373" s="449"/>
      <c r="AQ1373" s="392" t="str">
        <f>IFERROR(VLOOKUP(BG1373,#REF!,1,0),"")</f>
        <v/>
      </c>
      <c r="AS1373" s="259" t="s">
        <v>3226</v>
      </c>
      <c r="BD1373" s="202" t="str">
        <f t="shared" si="200"/>
        <v>Q235TDI Premium</v>
      </c>
      <c r="BE1373" s="261" t="str">
        <f t="shared" si="206"/>
        <v>0245</v>
      </c>
      <c r="BF1373" s="407" t="s">
        <v>1876</v>
      </c>
      <c r="BG1373" s="202" t="str">
        <f t="shared" si="201"/>
        <v>0245-1372</v>
      </c>
    </row>
    <row r="1374" spans="1:59">
      <c r="A1374" s="405">
        <v>5148</v>
      </c>
      <c r="B1374" s="406">
        <v>5148</v>
      </c>
      <c r="C1374" s="261" t="str">
        <f t="shared" si="202"/>
        <v>0006-0245</v>
      </c>
      <c r="D1374" s="261" t="str">
        <f t="shared" si="203"/>
        <v>0006-0245-0002</v>
      </c>
      <c r="E1374" s="407" t="s">
        <v>1877</v>
      </c>
      <c r="F1374" s="261" t="str">
        <f>TEXT(VLOOKUP(J1374,'[3]1'!$B$2:$D$37,2,0),"0000")</f>
        <v>0006</v>
      </c>
      <c r="G1374" s="261" t="str">
        <f t="shared" si="204"/>
        <v>0245</v>
      </c>
      <c r="H1374" s="408">
        <f t="shared" si="205"/>
        <v>2</v>
      </c>
      <c r="I1374" s="407" t="s">
        <v>1877</v>
      </c>
      <c r="J1374" s="258" t="s">
        <v>197</v>
      </c>
      <c r="K1374" s="258" t="s">
        <v>2799</v>
      </c>
      <c r="L1374" s="413" t="s">
        <v>2801</v>
      </c>
      <c r="M1374" s="415">
        <v>38500000</v>
      </c>
      <c r="N1374" s="416">
        <v>1968</v>
      </c>
      <c r="O1374" s="413" t="s">
        <v>78</v>
      </c>
      <c r="P1374" s="413" t="s">
        <v>73</v>
      </c>
      <c r="Q1374" s="413" t="s">
        <v>72</v>
      </c>
      <c r="R1374" s="416">
        <v>5</v>
      </c>
      <c r="S1374" s="410">
        <v>4</v>
      </c>
      <c r="T1374" s="261">
        <v>6</v>
      </c>
      <c r="U1374" s="261">
        <v>6</v>
      </c>
      <c r="V1374" s="258" t="s">
        <v>71</v>
      </c>
      <c r="W1374" s="261" t="str">
        <f t="shared" si="207"/>
        <v>AUDIQ235TDI38500000</v>
      </c>
      <c r="X1374" s="411">
        <f t="shared" si="208"/>
        <v>5148</v>
      </c>
      <c r="Y1374" s="261">
        <v>6</v>
      </c>
      <c r="Z1374" s="261">
        <v>6</v>
      </c>
      <c r="AA1374" s="407" t="s">
        <v>1877</v>
      </c>
      <c r="AB1374" s="258" t="s">
        <v>1965</v>
      </c>
      <c r="AC1374" s="258"/>
      <c r="AD1374" s="258">
        <v>6</v>
      </c>
      <c r="AE1374" s="258">
        <v>0</v>
      </c>
      <c r="AF1374" s="259"/>
      <c r="AG1374" s="260"/>
      <c r="AH1374" s="259"/>
      <c r="AI1374" s="259"/>
      <c r="AJ1374" s="260"/>
      <c r="AK1374" s="259">
        <v>13</v>
      </c>
      <c r="AL1374" s="259"/>
      <c r="AM1374" s="259" t="s">
        <v>3662</v>
      </c>
      <c r="AN1374" s="449"/>
      <c r="AO1374" s="449"/>
      <c r="AP1374" s="449"/>
      <c r="AQ1374" s="392" t="str">
        <f>IFERROR(VLOOKUP(BG1374,#REF!,1,0),"")</f>
        <v/>
      </c>
      <c r="AS1374" s="259" t="s">
        <v>3226</v>
      </c>
      <c r="BD1374" s="202" t="str">
        <f t="shared" si="200"/>
        <v>Q235TDI</v>
      </c>
      <c r="BE1374" s="261" t="str">
        <f t="shared" si="206"/>
        <v>0245</v>
      </c>
      <c r="BF1374" s="407" t="s">
        <v>1877</v>
      </c>
      <c r="BG1374" s="202" t="str">
        <f t="shared" si="201"/>
        <v>0245-1373</v>
      </c>
    </row>
    <row r="1375" spans="1:59">
      <c r="A1375" s="405">
        <v>5149</v>
      </c>
      <c r="B1375" s="406">
        <v>5149</v>
      </c>
      <c r="C1375" s="261" t="str">
        <f t="shared" si="202"/>
        <v>0006-0246</v>
      </c>
      <c r="D1375" s="261" t="str">
        <f t="shared" si="203"/>
        <v>0006-0246-0001</v>
      </c>
      <c r="E1375" s="407" t="s">
        <v>1878</v>
      </c>
      <c r="F1375" s="261" t="str">
        <f>TEXT(VLOOKUP(J1375,'[3]1'!$B$2:$D$37,2,0),"0000")</f>
        <v>0006</v>
      </c>
      <c r="G1375" s="261" t="str">
        <f t="shared" si="204"/>
        <v>0246</v>
      </c>
      <c r="H1375" s="408">
        <f t="shared" si="205"/>
        <v>1</v>
      </c>
      <c r="I1375" s="407" t="s">
        <v>1878</v>
      </c>
      <c r="J1375" s="258" t="s">
        <v>197</v>
      </c>
      <c r="K1375" s="413" t="s">
        <v>2021</v>
      </c>
      <c r="L1375" s="413" t="s">
        <v>2023</v>
      </c>
      <c r="M1375" s="428">
        <v>46000000</v>
      </c>
      <c r="N1375" s="416">
        <v>1968</v>
      </c>
      <c r="O1375" s="413" t="s">
        <v>78</v>
      </c>
      <c r="P1375" s="413" t="s">
        <v>73</v>
      </c>
      <c r="Q1375" s="413" t="s">
        <v>72</v>
      </c>
      <c r="R1375" s="416">
        <v>5</v>
      </c>
      <c r="S1375" s="410">
        <v>4</v>
      </c>
      <c r="T1375" s="261">
        <v>6</v>
      </c>
      <c r="U1375" s="261">
        <v>6</v>
      </c>
      <c r="V1375" s="258" t="s">
        <v>71</v>
      </c>
      <c r="W1375" s="261" t="str">
        <f t="shared" si="207"/>
        <v>AUDIQ335 TDI46000000</v>
      </c>
      <c r="X1375" s="411">
        <f t="shared" si="208"/>
        <v>5149</v>
      </c>
      <c r="Y1375" s="261">
        <v>6</v>
      </c>
      <c r="Z1375" s="261">
        <v>6</v>
      </c>
      <c r="AA1375" s="407" t="s">
        <v>1878</v>
      </c>
      <c r="AB1375" s="258" t="s">
        <v>1965</v>
      </c>
      <c r="AC1375" s="258"/>
      <c r="AD1375" s="258">
        <v>3</v>
      </c>
      <c r="AE1375" s="258">
        <v>1</v>
      </c>
      <c r="AF1375" s="259"/>
      <c r="AG1375" s="260"/>
      <c r="AH1375" s="259"/>
      <c r="AI1375" s="259"/>
      <c r="AJ1375" s="260"/>
      <c r="AK1375" s="259">
        <v>13</v>
      </c>
      <c r="AL1375" s="259"/>
      <c r="AM1375" s="259" t="s">
        <v>3662</v>
      </c>
      <c r="AN1375" s="449"/>
      <c r="AO1375" s="449"/>
      <c r="AP1375" s="449"/>
      <c r="AQ1375" s="392" t="str">
        <f>IFERROR(VLOOKUP(BG1375,#REF!,1,0),"")</f>
        <v/>
      </c>
      <c r="AS1375" s="259" t="s">
        <v>3226</v>
      </c>
      <c r="BD1375" s="202" t="str">
        <f t="shared" si="200"/>
        <v>Q335 TDI</v>
      </c>
      <c r="BE1375" s="261" t="str">
        <f t="shared" si="206"/>
        <v>0246</v>
      </c>
      <c r="BF1375" s="407" t="s">
        <v>1878</v>
      </c>
      <c r="BG1375" s="202" t="str">
        <f t="shared" si="201"/>
        <v>0246-1374</v>
      </c>
    </row>
    <row r="1376" spans="1:59">
      <c r="A1376" s="405">
        <v>5150</v>
      </c>
      <c r="B1376" s="406">
        <v>5150</v>
      </c>
      <c r="C1376" s="261" t="str">
        <f t="shared" si="202"/>
        <v>0006-0246</v>
      </c>
      <c r="D1376" s="261" t="str">
        <f t="shared" si="203"/>
        <v>0006-0246-0002</v>
      </c>
      <c r="E1376" s="407" t="s">
        <v>1879</v>
      </c>
      <c r="F1376" s="261" t="str">
        <f>TEXT(VLOOKUP(J1376,'[3]1'!$B$2:$D$37,2,0),"0000")</f>
        <v>0006</v>
      </c>
      <c r="G1376" s="261" t="str">
        <f t="shared" si="204"/>
        <v>0246</v>
      </c>
      <c r="H1376" s="408">
        <f t="shared" si="205"/>
        <v>2</v>
      </c>
      <c r="I1376" s="407" t="s">
        <v>1879</v>
      </c>
      <c r="J1376" s="258" t="s">
        <v>197</v>
      </c>
      <c r="K1376" s="413" t="s">
        <v>2021</v>
      </c>
      <c r="L1376" s="413" t="s">
        <v>2022</v>
      </c>
      <c r="M1376" s="428">
        <v>48500000</v>
      </c>
      <c r="N1376" s="416">
        <v>1968</v>
      </c>
      <c r="O1376" s="413" t="s">
        <v>78</v>
      </c>
      <c r="P1376" s="413" t="s">
        <v>73</v>
      </c>
      <c r="Q1376" s="413" t="s">
        <v>72</v>
      </c>
      <c r="R1376" s="416">
        <v>5</v>
      </c>
      <c r="S1376" s="410">
        <v>4</v>
      </c>
      <c r="T1376" s="261">
        <v>6</v>
      </c>
      <c r="U1376" s="261">
        <v>6</v>
      </c>
      <c r="V1376" s="258" t="s">
        <v>1969</v>
      </c>
      <c r="W1376" s="261" t="str">
        <f t="shared" si="207"/>
        <v>AUDIQ335 TDI Premium48500000</v>
      </c>
      <c r="X1376" s="411">
        <f t="shared" si="208"/>
        <v>5150</v>
      </c>
      <c r="Y1376" s="261">
        <v>6</v>
      </c>
      <c r="Z1376" s="261">
        <v>6</v>
      </c>
      <c r="AA1376" s="407" t="s">
        <v>1879</v>
      </c>
      <c r="AB1376" s="258" t="s">
        <v>1965</v>
      </c>
      <c r="AC1376" s="258"/>
      <c r="AD1376" s="258">
        <v>3</v>
      </c>
      <c r="AE1376" s="258">
        <v>1</v>
      </c>
      <c r="AF1376" s="259"/>
      <c r="AG1376" s="260"/>
      <c r="AH1376" s="259"/>
      <c r="AI1376" s="259"/>
      <c r="AJ1376" s="260"/>
      <c r="AK1376" s="259">
        <v>13</v>
      </c>
      <c r="AL1376" s="259"/>
      <c r="AM1376" s="259" t="s">
        <v>3662</v>
      </c>
      <c r="AN1376" s="449"/>
      <c r="AO1376" s="449"/>
      <c r="AP1376" s="449"/>
      <c r="AQ1376" s="392" t="str">
        <f>IFERROR(VLOOKUP(BG1376,#REF!,1,0),"")</f>
        <v/>
      </c>
      <c r="AS1376" s="259" t="s">
        <v>3226</v>
      </c>
      <c r="BD1376" s="202" t="str">
        <f t="shared" si="200"/>
        <v>Q335 TDI Premium</v>
      </c>
      <c r="BE1376" s="261" t="str">
        <f t="shared" si="206"/>
        <v>0246</v>
      </c>
      <c r="BF1376" s="407" t="s">
        <v>1879</v>
      </c>
      <c r="BG1376" s="202" t="str">
        <f t="shared" si="201"/>
        <v>0246-1375</v>
      </c>
    </row>
    <row r="1377" spans="1:59">
      <c r="A1377" s="405">
        <v>5151</v>
      </c>
      <c r="B1377" s="406">
        <v>5151</v>
      </c>
      <c r="C1377" s="261" t="str">
        <f t="shared" si="202"/>
        <v>0006-0246</v>
      </c>
      <c r="D1377" s="261" t="str">
        <f t="shared" si="203"/>
        <v>0006-0246-0003</v>
      </c>
      <c r="E1377" s="407" t="s">
        <v>1880</v>
      </c>
      <c r="F1377" s="261" t="str">
        <f>TEXT(VLOOKUP(J1377,'[3]1'!$B$2:$D$37,2,0),"0000")</f>
        <v>0006</v>
      </c>
      <c r="G1377" s="261" t="str">
        <f t="shared" si="204"/>
        <v>0246</v>
      </c>
      <c r="H1377" s="408">
        <f t="shared" si="205"/>
        <v>3</v>
      </c>
      <c r="I1377" s="407" t="s">
        <v>1880</v>
      </c>
      <c r="J1377" s="413" t="s">
        <v>197</v>
      </c>
      <c r="K1377" s="413" t="s">
        <v>2021</v>
      </c>
      <c r="L1377" s="413" t="s">
        <v>3445</v>
      </c>
      <c r="M1377" s="428">
        <v>53400000</v>
      </c>
      <c r="N1377" s="416">
        <v>1968</v>
      </c>
      <c r="O1377" s="413" t="s">
        <v>78</v>
      </c>
      <c r="P1377" s="413" t="s">
        <v>73</v>
      </c>
      <c r="Q1377" s="413" t="s">
        <v>72</v>
      </c>
      <c r="R1377" s="416">
        <v>5</v>
      </c>
      <c r="S1377" s="410">
        <v>4</v>
      </c>
      <c r="T1377" s="261">
        <v>6</v>
      </c>
      <c r="U1377" s="261">
        <v>6</v>
      </c>
      <c r="V1377" s="258" t="s">
        <v>1969</v>
      </c>
      <c r="W1377" s="261" t="str">
        <f t="shared" si="207"/>
        <v>AUDIQ335 TDI premium Sportback53400000</v>
      </c>
      <c r="X1377" s="411">
        <f t="shared" si="208"/>
        <v>5151</v>
      </c>
      <c r="Y1377" s="261">
        <v>6</v>
      </c>
      <c r="Z1377" s="261">
        <v>6</v>
      </c>
      <c r="AA1377" s="407" t="s">
        <v>1880</v>
      </c>
      <c r="AB1377" s="258" t="s">
        <v>1965</v>
      </c>
      <c r="AC1377" s="258"/>
      <c r="AD1377" s="258">
        <v>3</v>
      </c>
      <c r="AE1377" s="258">
        <v>1</v>
      </c>
      <c r="AF1377" s="259"/>
      <c r="AG1377" s="260"/>
      <c r="AH1377" s="259"/>
      <c r="AI1377" s="259"/>
      <c r="AJ1377" s="260"/>
      <c r="AK1377" s="259">
        <v>13</v>
      </c>
      <c r="AL1377" s="259"/>
      <c r="AM1377" s="259" t="s">
        <v>3662</v>
      </c>
      <c r="AN1377" s="449"/>
      <c r="AO1377" s="449"/>
      <c r="AP1377" s="449"/>
      <c r="AQ1377" s="392" t="str">
        <f>IFERROR(VLOOKUP(BG1377,#REF!,1,0),"")</f>
        <v/>
      </c>
      <c r="AS1377" s="259" t="s">
        <v>3226</v>
      </c>
      <c r="BD1377" s="202" t="str">
        <f t="shared" si="200"/>
        <v>Q335 TDI premium Sportback</v>
      </c>
      <c r="BE1377" s="261" t="str">
        <f t="shared" si="206"/>
        <v>0246</v>
      </c>
      <c r="BF1377" s="407" t="s">
        <v>1880</v>
      </c>
      <c r="BG1377" s="202" t="str">
        <f t="shared" si="201"/>
        <v>0246-1376</v>
      </c>
    </row>
    <row r="1378" spans="1:59">
      <c r="A1378" s="405">
        <v>5152</v>
      </c>
      <c r="B1378" s="406">
        <v>5152</v>
      </c>
      <c r="C1378" s="261" t="str">
        <f t="shared" si="202"/>
        <v>0006-0246</v>
      </c>
      <c r="D1378" s="261" t="str">
        <f t="shared" si="203"/>
        <v>0006-0246-0004</v>
      </c>
      <c r="E1378" s="407" t="s">
        <v>1881</v>
      </c>
      <c r="F1378" s="261" t="str">
        <f>TEXT(VLOOKUP(J1378,'[3]1'!$B$2:$D$37,2,0),"0000")</f>
        <v>0006</v>
      </c>
      <c r="G1378" s="261" t="str">
        <f t="shared" si="204"/>
        <v>0246</v>
      </c>
      <c r="H1378" s="408">
        <f t="shared" si="205"/>
        <v>4</v>
      </c>
      <c r="I1378" s="407" t="s">
        <v>1881</v>
      </c>
      <c r="J1378" s="413" t="s">
        <v>197</v>
      </c>
      <c r="K1378" s="413" t="s">
        <v>2021</v>
      </c>
      <c r="L1378" s="413" t="s">
        <v>3444</v>
      </c>
      <c r="M1378" s="428">
        <v>49500000</v>
      </c>
      <c r="N1378" s="416">
        <v>1968</v>
      </c>
      <c r="O1378" s="413" t="s">
        <v>78</v>
      </c>
      <c r="P1378" s="413" t="s">
        <v>73</v>
      </c>
      <c r="Q1378" s="413" t="s">
        <v>72</v>
      </c>
      <c r="R1378" s="416">
        <v>5</v>
      </c>
      <c r="S1378" s="410">
        <v>4</v>
      </c>
      <c r="T1378" s="261">
        <v>6</v>
      </c>
      <c r="U1378" s="261">
        <v>6</v>
      </c>
      <c r="V1378" s="258" t="s">
        <v>1969</v>
      </c>
      <c r="W1378" s="261" t="str">
        <f t="shared" si="207"/>
        <v>AUDIQ335 TDI Sportback49500000</v>
      </c>
      <c r="X1378" s="411">
        <f t="shared" si="208"/>
        <v>5152</v>
      </c>
      <c r="Y1378" s="261">
        <v>6</v>
      </c>
      <c r="Z1378" s="261">
        <v>6</v>
      </c>
      <c r="AA1378" s="407" t="s">
        <v>1881</v>
      </c>
      <c r="AB1378" s="258" t="s">
        <v>1965</v>
      </c>
      <c r="AC1378" s="258"/>
      <c r="AD1378" s="258">
        <v>3</v>
      </c>
      <c r="AE1378" s="258">
        <v>1</v>
      </c>
      <c r="AF1378" s="259"/>
      <c r="AG1378" s="260"/>
      <c r="AH1378" s="259"/>
      <c r="AI1378" s="259"/>
      <c r="AJ1378" s="260"/>
      <c r="AK1378" s="259">
        <v>13</v>
      </c>
      <c r="AL1378" s="259"/>
      <c r="AM1378" s="259" t="s">
        <v>3662</v>
      </c>
      <c r="AN1378" s="449"/>
      <c r="AO1378" s="449"/>
      <c r="AP1378" s="449"/>
      <c r="AQ1378" s="392" t="str">
        <f>IFERROR(VLOOKUP(BG1378,#REF!,1,0),"")</f>
        <v/>
      </c>
      <c r="AS1378" s="259" t="s">
        <v>3226</v>
      </c>
      <c r="BD1378" s="202" t="str">
        <f t="shared" si="200"/>
        <v>Q335 TDI Sportback</v>
      </c>
      <c r="BE1378" s="261" t="str">
        <f t="shared" si="206"/>
        <v>0246</v>
      </c>
      <c r="BF1378" s="407" t="s">
        <v>1881</v>
      </c>
      <c r="BG1378" s="202" t="str">
        <f t="shared" si="201"/>
        <v>0246-1377</v>
      </c>
    </row>
    <row r="1379" spans="1:59">
      <c r="A1379" s="405">
        <v>5153</v>
      </c>
      <c r="B1379" s="406">
        <v>5153</v>
      </c>
      <c r="C1379" s="261" t="str">
        <f t="shared" si="202"/>
        <v>0006-0246</v>
      </c>
      <c r="D1379" s="261" t="str">
        <f t="shared" si="203"/>
        <v>0006-0246-0005</v>
      </c>
      <c r="E1379" s="407" t="s">
        <v>1882</v>
      </c>
      <c r="F1379" s="261" t="str">
        <f>TEXT(VLOOKUP(J1379,'[3]1'!$B$2:$D$37,2,0),"0000")</f>
        <v>0006</v>
      </c>
      <c r="G1379" s="261" t="str">
        <f t="shared" si="204"/>
        <v>0246</v>
      </c>
      <c r="H1379" s="408">
        <f t="shared" si="205"/>
        <v>5</v>
      </c>
      <c r="I1379" s="407" t="s">
        <v>1882</v>
      </c>
      <c r="J1379" s="413" t="s">
        <v>197</v>
      </c>
      <c r="K1379" s="413" t="s">
        <v>2021</v>
      </c>
      <c r="L1379" s="413" t="s">
        <v>3343</v>
      </c>
      <c r="M1379" s="428">
        <v>53734000</v>
      </c>
      <c r="N1379" s="416">
        <v>1984</v>
      </c>
      <c r="O1379" s="258" t="s">
        <v>77</v>
      </c>
      <c r="P1379" s="413" t="s">
        <v>73</v>
      </c>
      <c r="Q1379" s="413" t="s">
        <v>72</v>
      </c>
      <c r="R1379" s="416">
        <v>5</v>
      </c>
      <c r="S1379" s="410">
        <v>4</v>
      </c>
      <c r="T1379" s="261">
        <v>6</v>
      </c>
      <c r="U1379" s="261">
        <v>6</v>
      </c>
      <c r="V1379" s="258" t="s">
        <v>1969</v>
      </c>
      <c r="W1379" s="261" t="str">
        <f t="shared" si="207"/>
        <v>AUDIQ340 TFSI53734000</v>
      </c>
      <c r="X1379" s="411">
        <f t="shared" si="208"/>
        <v>5153</v>
      </c>
      <c r="Y1379" s="261">
        <v>6</v>
      </c>
      <c r="Z1379" s="261">
        <v>6</v>
      </c>
      <c r="AA1379" s="407" t="s">
        <v>1882</v>
      </c>
      <c r="AB1379" s="258" t="s">
        <v>1965</v>
      </c>
      <c r="AC1379" s="258"/>
      <c r="AD1379" s="258">
        <v>3</v>
      </c>
      <c r="AE1379" s="258">
        <v>1</v>
      </c>
      <c r="AF1379" s="259"/>
      <c r="AG1379" s="260"/>
      <c r="AH1379" s="259"/>
      <c r="AI1379" s="259"/>
      <c r="AJ1379" s="260"/>
      <c r="AK1379" s="259">
        <v>13</v>
      </c>
      <c r="AL1379" s="259"/>
      <c r="AM1379" s="259" t="s">
        <v>3662</v>
      </c>
      <c r="AN1379" s="449"/>
      <c r="AO1379" s="449"/>
      <c r="AP1379" s="449"/>
      <c r="AQ1379" s="392" t="str">
        <f>IFERROR(VLOOKUP(BG1379,#REF!,1,0),"")</f>
        <v/>
      </c>
      <c r="AS1379" s="259" t="s">
        <v>3226</v>
      </c>
      <c r="AW1379" s="392">
        <v>2024.01</v>
      </c>
      <c r="BD1379" s="202" t="str">
        <f t="shared" si="200"/>
        <v>Q340 TFSI</v>
      </c>
      <c r="BE1379" s="261" t="str">
        <f t="shared" si="206"/>
        <v>0246</v>
      </c>
      <c r="BF1379" s="407" t="s">
        <v>1882</v>
      </c>
      <c r="BG1379" s="202" t="str">
        <f t="shared" si="201"/>
        <v>0246-1378</v>
      </c>
    </row>
    <row r="1380" spans="1:59">
      <c r="A1380" s="405">
        <v>5154</v>
      </c>
      <c r="B1380" s="406">
        <v>5154</v>
      </c>
      <c r="C1380" s="261" t="str">
        <f t="shared" si="202"/>
        <v>0006-0246</v>
      </c>
      <c r="D1380" s="261" t="str">
        <f t="shared" si="203"/>
        <v>0006-0246-0006</v>
      </c>
      <c r="E1380" s="407" t="s">
        <v>3946</v>
      </c>
      <c r="F1380" s="261" t="str">
        <f>TEXT(VLOOKUP(J1380,'[3]1'!$B$2:$D$37,2,0),"0000")</f>
        <v>0006</v>
      </c>
      <c r="G1380" s="261" t="str">
        <f t="shared" si="204"/>
        <v>0246</v>
      </c>
      <c r="H1380" s="408">
        <f t="shared" si="205"/>
        <v>6</v>
      </c>
      <c r="I1380" s="407" t="s">
        <v>3946</v>
      </c>
      <c r="J1380" s="413" t="s">
        <v>197</v>
      </c>
      <c r="K1380" s="413" t="s">
        <v>2021</v>
      </c>
      <c r="L1380" s="413" t="s">
        <v>3446</v>
      </c>
      <c r="M1380" s="428">
        <v>53734000</v>
      </c>
      <c r="N1380" s="416">
        <v>1984</v>
      </c>
      <c r="O1380" s="258" t="s">
        <v>77</v>
      </c>
      <c r="P1380" s="413" t="s">
        <v>73</v>
      </c>
      <c r="Q1380" s="413" t="s">
        <v>72</v>
      </c>
      <c r="R1380" s="416">
        <v>5</v>
      </c>
      <c r="S1380" s="410">
        <v>4</v>
      </c>
      <c r="T1380" s="261">
        <v>6</v>
      </c>
      <c r="U1380" s="261">
        <v>6</v>
      </c>
      <c r="V1380" s="258" t="s">
        <v>1969</v>
      </c>
      <c r="W1380" s="261" t="str">
        <f t="shared" si="207"/>
        <v>AUDIQ340 TFSI Sportback53734000</v>
      </c>
      <c r="X1380" s="411">
        <f t="shared" si="208"/>
        <v>5154</v>
      </c>
      <c r="Y1380" s="261">
        <v>6</v>
      </c>
      <c r="Z1380" s="261">
        <v>6</v>
      </c>
      <c r="AA1380" s="407" t="s">
        <v>3946</v>
      </c>
      <c r="AB1380" s="258" t="s">
        <v>1965</v>
      </c>
      <c r="AC1380" s="258"/>
      <c r="AD1380" s="258">
        <v>3</v>
      </c>
      <c r="AE1380" s="258">
        <v>1</v>
      </c>
      <c r="AF1380" s="259"/>
      <c r="AG1380" s="260"/>
      <c r="AH1380" s="259"/>
      <c r="AI1380" s="259"/>
      <c r="AJ1380" s="260"/>
      <c r="AK1380" s="259">
        <v>13</v>
      </c>
      <c r="AL1380" s="259"/>
      <c r="AM1380" s="259" t="s">
        <v>3662</v>
      </c>
      <c r="AN1380" s="449"/>
      <c r="AO1380" s="449"/>
      <c r="AP1380" s="449"/>
      <c r="AQ1380" s="392" t="str">
        <f>IFERROR(VLOOKUP(BG1380,#REF!,1,0),"")</f>
        <v/>
      </c>
      <c r="AS1380" s="259" t="s">
        <v>3226</v>
      </c>
      <c r="AW1380" s="392">
        <v>2024.01</v>
      </c>
      <c r="BD1380" s="202" t="str">
        <f t="shared" si="200"/>
        <v>Q340 TFSI Sportback</v>
      </c>
      <c r="BE1380" s="261" t="str">
        <f t="shared" si="206"/>
        <v>0246</v>
      </c>
      <c r="BF1380" s="407" t="s">
        <v>3946</v>
      </c>
      <c r="BG1380" s="202" t="str">
        <f t="shared" si="201"/>
        <v>0246-1379</v>
      </c>
    </row>
    <row r="1381" spans="1:59">
      <c r="A1381" s="405">
        <v>5155</v>
      </c>
      <c r="B1381" s="406">
        <v>5155</v>
      </c>
      <c r="C1381" s="261" t="str">
        <f t="shared" si="202"/>
        <v>0006-0247</v>
      </c>
      <c r="D1381" s="261" t="str">
        <f t="shared" si="203"/>
        <v>0006-0247-0001</v>
      </c>
      <c r="E1381" s="407" t="s">
        <v>3947</v>
      </c>
      <c r="F1381" s="261" t="str">
        <f>TEXT(VLOOKUP(J1381,'[3]1'!$B$2:$D$37,2,0),"0000")</f>
        <v>0006</v>
      </c>
      <c r="G1381" s="261" t="str">
        <f t="shared" si="204"/>
        <v>0247</v>
      </c>
      <c r="H1381" s="408">
        <f t="shared" si="205"/>
        <v>1</v>
      </c>
      <c r="I1381" s="407" t="s">
        <v>3947</v>
      </c>
      <c r="J1381" s="413" t="s">
        <v>197</v>
      </c>
      <c r="K1381" s="413" t="s">
        <v>3214</v>
      </c>
      <c r="L1381" s="413" t="s">
        <v>3449</v>
      </c>
      <c r="M1381" s="428">
        <v>59700000</v>
      </c>
      <c r="N1381" s="416">
        <v>0</v>
      </c>
      <c r="O1381" s="413" t="s">
        <v>3215</v>
      </c>
      <c r="P1381" s="413" t="s">
        <v>3216</v>
      </c>
      <c r="Q1381" s="413" t="s">
        <v>3217</v>
      </c>
      <c r="R1381" s="416">
        <v>5</v>
      </c>
      <c r="S1381" s="410">
        <v>11</v>
      </c>
      <c r="T1381" s="261">
        <v>6</v>
      </c>
      <c r="U1381" s="261">
        <v>6</v>
      </c>
      <c r="V1381" s="258" t="s">
        <v>1914</v>
      </c>
      <c r="W1381" s="261" t="str">
        <f t="shared" si="207"/>
        <v>AUDIQ4e-tron 4059700000</v>
      </c>
      <c r="X1381" s="411">
        <f t="shared" si="208"/>
        <v>5155</v>
      </c>
      <c r="Y1381" s="261">
        <v>6</v>
      </c>
      <c r="Z1381" s="261">
        <v>6</v>
      </c>
      <c r="AA1381" s="407" t="s">
        <v>3947</v>
      </c>
      <c r="AB1381" s="258" t="s">
        <v>1965</v>
      </c>
      <c r="AC1381" s="258"/>
      <c r="AD1381" s="258">
        <v>3</v>
      </c>
      <c r="AE1381" s="258">
        <v>1</v>
      </c>
      <c r="AF1381" s="259"/>
      <c r="AG1381" s="260"/>
      <c r="AH1381" s="259"/>
      <c r="AI1381" s="259"/>
      <c r="AJ1381" s="260"/>
      <c r="AK1381" s="259">
        <v>26</v>
      </c>
      <c r="AL1381" s="259"/>
      <c r="AM1381" s="259" t="s">
        <v>3681</v>
      </c>
      <c r="AN1381" s="449"/>
      <c r="AO1381" s="449"/>
      <c r="AP1381" s="449"/>
      <c r="AQ1381" s="392" t="str">
        <f>IFERROR(VLOOKUP(BG1381,#REF!,1,0),"")</f>
        <v/>
      </c>
      <c r="AS1381" s="259" t="s">
        <v>3232</v>
      </c>
      <c r="BD1381" s="202" t="str">
        <f t="shared" si="200"/>
        <v>Q4e-tron 40</v>
      </c>
      <c r="BE1381" s="261" t="str">
        <f t="shared" si="206"/>
        <v>0247</v>
      </c>
      <c r="BF1381" s="407" t="s">
        <v>3947</v>
      </c>
      <c r="BG1381" s="202" t="str">
        <f t="shared" si="201"/>
        <v>0247-1380</v>
      </c>
    </row>
    <row r="1382" spans="1:59">
      <c r="A1382" s="405">
        <v>5156</v>
      </c>
      <c r="B1382" s="406">
        <v>5156</v>
      </c>
      <c r="C1382" s="261" t="str">
        <f t="shared" si="202"/>
        <v>0006-0247</v>
      </c>
      <c r="D1382" s="261" t="str">
        <f t="shared" si="203"/>
        <v>0006-0247-0002</v>
      </c>
      <c r="E1382" s="407" t="s">
        <v>1883</v>
      </c>
      <c r="F1382" s="261" t="str">
        <f>TEXT(VLOOKUP(J1382,'[3]1'!$B$2:$D$37,2,0),"0000")</f>
        <v>0006</v>
      </c>
      <c r="G1382" s="261" t="str">
        <f t="shared" si="204"/>
        <v>0247</v>
      </c>
      <c r="H1382" s="408">
        <f t="shared" si="205"/>
        <v>2</v>
      </c>
      <c r="I1382" s="407" t="s">
        <v>1883</v>
      </c>
      <c r="J1382" s="413" t="s">
        <v>197</v>
      </c>
      <c r="K1382" s="413" t="s">
        <v>3214</v>
      </c>
      <c r="L1382" s="413" t="s">
        <v>3450</v>
      </c>
      <c r="M1382" s="428">
        <v>66700000</v>
      </c>
      <c r="N1382" s="416">
        <v>0</v>
      </c>
      <c r="O1382" s="413" t="s">
        <v>2117</v>
      </c>
      <c r="P1382" s="413" t="s">
        <v>1431</v>
      </c>
      <c r="Q1382" s="413" t="s">
        <v>1974</v>
      </c>
      <c r="R1382" s="416">
        <v>5</v>
      </c>
      <c r="S1382" s="410">
        <v>11</v>
      </c>
      <c r="T1382" s="261">
        <v>6</v>
      </c>
      <c r="U1382" s="261">
        <v>6</v>
      </c>
      <c r="V1382" s="258" t="s">
        <v>1914</v>
      </c>
      <c r="W1382" s="261" t="str">
        <f t="shared" si="207"/>
        <v>AUDIQ4e-tron 40 Premium66700000</v>
      </c>
      <c r="X1382" s="411">
        <f t="shared" si="208"/>
        <v>5156</v>
      </c>
      <c r="Y1382" s="261">
        <v>6</v>
      </c>
      <c r="Z1382" s="261">
        <v>6</v>
      </c>
      <c r="AA1382" s="407" t="s">
        <v>1883</v>
      </c>
      <c r="AB1382" s="258" t="s">
        <v>1965</v>
      </c>
      <c r="AC1382" s="258"/>
      <c r="AD1382" s="258">
        <v>3</v>
      </c>
      <c r="AE1382" s="258">
        <v>1</v>
      </c>
      <c r="AF1382" s="259"/>
      <c r="AG1382" s="260"/>
      <c r="AH1382" s="259"/>
      <c r="AI1382" s="259"/>
      <c r="AJ1382" s="260"/>
      <c r="AK1382" s="259">
        <v>26</v>
      </c>
      <c r="AL1382" s="259"/>
      <c r="AM1382" s="259" t="s">
        <v>3681</v>
      </c>
      <c r="AN1382" s="449"/>
      <c r="AO1382" s="449"/>
      <c r="AP1382" s="449"/>
      <c r="AQ1382" s="392" t="str">
        <f>IFERROR(VLOOKUP(BG1382,#REF!,1,0),"")</f>
        <v/>
      </c>
      <c r="AS1382" s="259" t="s">
        <v>3232</v>
      </c>
      <c r="BD1382" s="202" t="str">
        <f t="shared" si="200"/>
        <v>Q4e-tron 40 Premium</v>
      </c>
      <c r="BE1382" s="261" t="str">
        <f t="shared" si="206"/>
        <v>0247</v>
      </c>
      <c r="BF1382" s="407" t="s">
        <v>1883</v>
      </c>
      <c r="BG1382" s="202" t="str">
        <f t="shared" si="201"/>
        <v>0247-1381</v>
      </c>
    </row>
    <row r="1383" spans="1:59">
      <c r="A1383" s="405">
        <v>5157</v>
      </c>
      <c r="B1383" s="406">
        <v>5157</v>
      </c>
      <c r="C1383" s="261" t="str">
        <f t="shared" si="202"/>
        <v>0006-0247</v>
      </c>
      <c r="D1383" s="261" t="str">
        <f t="shared" si="203"/>
        <v>0006-0247-0003</v>
      </c>
      <c r="E1383" s="407" t="s">
        <v>3948</v>
      </c>
      <c r="F1383" s="261" t="str">
        <f>TEXT(VLOOKUP(J1383,'[3]1'!$B$2:$D$37,2,0),"0000")</f>
        <v>0006</v>
      </c>
      <c r="G1383" s="261" t="str">
        <f t="shared" si="204"/>
        <v>0247</v>
      </c>
      <c r="H1383" s="408">
        <f t="shared" si="205"/>
        <v>3</v>
      </c>
      <c r="I1383" s="407" t="s">
        <v>3948</v>
      </c>
      <c r="J1383" s="413" t="s">
        <v>197</v>
      </c>
      <c r="K1383" s="413" t="s">
        <v>3214</v>
      </c>
      <c r="L1383" s="413" t="s">
        <v>3447</v>
      </c>
      <c r="M1383" s="428">
        <v>65700000</v>
      </c>
      <c r="N1383" s="416">
        <v>0</v>
      </c>
      <c r="O1383" s="413" t="s">
        <v>2117</v>
      </c>
      <c r="P1383" s="413" t="s">
        <v>1431</v>
      </c>
      <c r="Q1383" s="413" t="s">
        <v>1974</v>
      </c>
      <c r="R1383" s="416">
        <v>5</v>
      </c>
      <c r="S1383" s="410">
        <v>11</v>
      </c>
      <c r="T1383" s="261">
        <v>6</v>
      </c>
      <c r="U1383" s="261">
        <v>6</v>
      </c>
      <c r="V1383" s="258" t="s">
        <v>1914</v>
      </c>
      <c r="W1383" s="261" t="str">
        <f t="shared" si="207"/>
        <v>AUDIQ4e-tron 40 스포트백65700000</v>
      </c>
      <c r="X1383" s="411">
        <f t="shared" si="208"/>
        <v>5157</v>
      </c>
      <c r="Y1383" s="261">
        <v>6</v>
      </c>
      <c r="Z1383" s="261">
        <v>6</v>
      </c>
      <c r="AA1383" s="407" t="s">
        <v>3948</v>
      </c>
      <c r="AB1383" s="258" t="s">
        <v>1965</v>
      </c>
      <c r="AC1383" s="258"/>
      <c r="AD1383" s="258">
        <v>3</v>
      </c>
      <c r="AE1383" s="258">
        <v>1</v>
      </c>
      <c r="AF1383" s="259"/>
      <c r="AG1383" s="260"/>
      <c r="AH1383" s="259"/>
      <c r="AI1383" s="259"/>
      <c r="AJ1383" s="260"/>
      <c r="AK1383" s="259">
        <v>26</v>
      </c>
      <c r="AL1383" s="259"/>
      <c r="AM1383" s="259" t="s">
        <v>3681</v>
      </c>
      <c r="AN1383" s="449"/>
      <c r="AO1383" s="449"/>
      <c r="AP1383" s="449"/>
      <c r="AQ1383" s="392" t="str">
        <f>IFERROR(VLOOKUP(BG1383,#REF!,1,0),"")</f>
        <v/>
      </c>
      <c r="AS1383" s="259" t="s">
        <v>3232</v>
      </c>
      <c r="AT1383" s="392">
        <v>2024.02</v>
      </c>
      <c r="AW1383" s="392" t="s">
        <v>3460</v>
      </c>
      <c r="BD1383" s="202" t="str">
        <f t="shared" si="200"/>
        <v>Q4e-tron 40 스포트백</v>
      </c>
      <c r="BE1383" s="261" t="str">
        <f t="shared" si="206"/>
        <v>0247</v>
      </c>
      <c r="BF1383" s="407" t="s">
        <v>3948</v>
      </c>
      <c r="BG1383" s="202" t="str">
        <f t="shared" si="201"/>
        <v>0247-1382</v>
      </c>
    </row>
    <row r="1384" spans="1:59">
      <c r="A1384" s="405">
        <v>5158</v>
      </c>
      <c r="B1384" s="406">
        <v>5158</v>
      </c>
      <c r="C1384" s="261" t="str">
        <f t="shared" si="202"/>
        <v>0006-0247</v>
      </c>
      <c r="D1384" s="261" t="str">
        <f t="shared" si="203"/>
        <v>0006-0247-0004</v>
      </c>
      <c r="E1384" s="407" t="s">
        <v>3949</v>
      </c>
      <c r="F1384" s="261" t="str">
        <f>TEXT(VLOOKUP(J1384,'[3]1'!$B$2:$D$37,2,0),"0000")</f>
        <v>0006</v>
      </c>
      <c r="G1384" s="261" t="str">
        <f t="shared" si="204"/>
        <v>0247</v>
      </c>
      <c r="H1384" s="408">
        <f t="shared" si="205"/>
        <v>4</v>
      </c>
      <c r="I1384" s="407" t="s">
        <v>3949</v>
      </c>
      <c r="J1384" s="413" t="s">
        <v>197</v>
      </c>
      <c r="K1384" s="413" t="s">
        <v>3214</v>
      </c>
      <c r="L1384" s="413" t="s">
        <v>3448</v>
      </c>
      <c r="M1384" s="428">
        <v>72700000</v>
      </c>
      <c r="N1384" s="416">
        <v>0</v>
      </c>
      <c r="O1384" s="413" t="s">
        <v>3215</v>
      </c>
      <c r="P1384" s="413" t="s">
        <v>3216</v>
      </c>
      <c r="Q1384" s="413" t="s">
        <v>3217</v>
      </c>
      <c r="R1384" s="416">
        <v>5</v>
      </c>
      <c r="S1384" s="410">
        <v>11</v>
      </c>
      <c r="T1384" s="261">
        <v>6</v>
      </c>
      <c r="U1384" s="261">
        <v>6</v>
      </c>
      <c r="V1384" s="258" t="s">
        <v>1914</v>
      </c>
      <c r="W1384" s="261" t="str">
        <f t="shared" si="207"/>
        <v>AUDIQ4e-tron 40 Premium 스포트백72700000</v>
      </c>
      <c r="X1384" s="411">
        <f t="shared" si="208"/>
        <v>5158</v>
      </c>
      <c r="Y1384" s="261">
        <v>6</v>
      </c>
      <c r="Z1384" s="261">
        <v>6</v>
      </c>
      <c r="AA1384" s="407" t="s">
        <v>3949</v>
      </c>
      <c r="AB1384" s="258" t="s">
        <v>1965</v>
      </c>
      <c r="AC1384" s="258"/>
      <c r="AD1384" s="258">
        <v>3</v>
      </c>
      <c r="AE1384" s="258">
        <v>1</v>
      </c>
      <c r="AF1384" s="259"/>
      <c r="AG1384" s="260"/>
      <c r="AH1384" s="259"/>
      <c r="AI1384" s="259"/>
      <c r="AJ1384" s="260"/>
      <c r="AK1384" s="259">
        <v>26</v>
      </c>
      <c r="AL1384" s="259"/>
      <c r="AM1384" s="259" t="s">
        <v>3681</v>
      </c>
      <c r="AN1384" s="449"/>
      <c r="AO1384" s="449"/>
      <c r="AP1384" s="449"/>
      <c r="AQ1384" s="392" t="str">
        <f>IFERROR(VLOOKUP(BG1384,#REF!,1,0),"")</f>
        <v/>
      </c>
      <c r="AS1384" s="259" t="s">
        <v>3232</v>
      </c>
      <c r="AT1384" s="392">
        <v>2024.02</v>
      </c>
      <c r="AW1384" s="392" t="s">
        <v>3460</v>
      </c>
      <c r="BD1384" s="202" t="str">
        <f t="shared" si="200"/>
        <v>Q4e-tron 40 Premium 스포트백</v>
      </c>
      <c r="BE1384" s="261" t="str">
        <f t="shared" si="206"/>
        <v>0247</v>
      </c>
      <c r="BF1384" s="407" t="s">
        <v>3949</v>
      </c>
      <c r="BG1384" s="202" t="str">
        <f t="shared" si="201"/>
        <v>0247-1383</v>
      </c>
    </row>
    <row r="1385" spans="1:59">
      <c r="A1385" s="405">
        <v>5159</v>
      </c>
      <c r="B1385" s="406">
        <v>5159</v>
      </c>
      <c r="C1385" s="261" t="str">
        <f t="shared" si="202"/>
        <v>0006-0248</v>
      </c>
      <c r="D1385" s="261" t="str">
        <f t="shared" si="203"/>
        <v>0006-0248-0001</v>
      </c>
      <c r="E1385" s="407" t="s">
        <v>1884</v>
      </c>
      <c r="F1385" s="261" t="str">
        <f>TEXT(VLOOKUP(J1385,'[3]1'!$B$2:$D$37,2,0),"0000")</f>
        <v>0006</v>
      </c>
      <c r="G1385" s="261" t="str">
        <f t="shared" si="204"/>
        <v>0248</v>
      </c>
      <c r="H1385" s="408">
        <f t="shared" si="205"/>
        <v>1</v>
      </c>
      <c r="I1385" s="407" t="s">
        <v>1884</v>
      </c>
      <c r="J1385" s="258" t="s">
        <v>197</v>
      </c>
      <c r="K1385" s="258" t="s">
        <v>2034</v>
      </c>
      <c r="L1385" s="258" t="s">
        <v>3453</v>
      </c>
      <c r="M1385" s="409">
        <v>69369000</v>
      </c>
      <c r="N1385" s="258">
        <v>1984</v>
      </c>
      <c r="O1385" s="258" t="s">
        <v>77</v>
      </c>
      <c r="P1385" s="258" t="s">
        <v>73</v>
      </c>
      <c r="Q1385" s="258" t="s">
        <v>72</v>
      </c>
      <c r="R1385" s="258">
        <v>5</v>
      </c>
      <c r="S1385" s="410">
        <v>4</v>
      </c>
      <c r="T1385" s="261">
        <v>6</v>
      </c>
      <c r="U1385" s="261">
        <v>6</v>
      </c>
      <c r="V1385" s="258" t="s">
        <v>71</v>
      </c>
      <c r="W1385" s="261" t="str">
        <f t="shared" si="207"/>
        <v>AUDIQ5 45 TFSI Q69369000</v>
      </c>
      <c r="X1385" s="411">
        <f t="shared" si="208"/>
        <v>5159</v>
      </c>
      <c r="Y1385" s="261">
        <v>6</v>
      </c>
      <c r="Z1385" s="261">
        <v>6</v>
      </c>
      <c r="AA1385" s="407" t="s">
        <v>1884</v>
      </c>
      <c r="AB1385" s="258" t="s">
        <v>1965</v>
      </c>
      <c r="AC1385" s="258"/>
      <c r="AD1385" s="258">
        <v>3</v>
      </c>
      <c r="AE1385" s="258">
        <v>1</v>
      </c>
      <c r="AF1385" s="259"/>
      <c r="AG1385" s="260"/>
      <c r="AH1385" s="259"/>
      <c r="AI1385" s="259"/>
      <c r="AJ1385" s="260"/>
      <c r="AK1385" s="259" t="s">
        <v>3686</v>
      </c>
      <c r="AL1385" s="259"/>
      <c r="AM1385" s="259" t="s">
        <v>3669</v>
      </c>
      <c r="AN1385" s="449"/>
      <c r="AO1385" s="449"/>
      <c r="AP1385" s="449"/>
      <c r="AQ1385" s="392" t="str">
        <f>IFERROR(VLOOKUP(BG1385,#REF!,1,0),"")</f>
        <v/>
      </c>
      <c r="AS1385" s="259" t="s">
        <v>3226</v>
      </c>
      <c r="BD1385" s="202" t="str">
        <f t="shared" si="200"/>
        <v>Q5 45 TFSI Q</v>
      </c>
      <c r="BE1385" s="261" t="str">
        <f t="shared" si="206"/>
        <v>0248</v>
      </c>
      <c r="BF1385" s="407" t="s">
        <v>1884</v>
      </c>
      <c r="BG1385" s="202" t="str">
        <f t="shared" si="201"/>
        <v>0248-1384</v>
      </c>
    </row>
    <row r="1386" spans="1:59">
      <c r="A1386" s="405">
        <v>5160</v>
      </c>
      <c r="B1386" s="406">
        <v>5160</v>
      </c>
      <c r="C1386" s="261" t="str">
        <f t="shared" si="202"/>
        <v>0006-0248</v>
      </c>
      <c r="D1386" s="261" t="str">
        <f t="shared" si="203"/>
        <v>0006-0248-0002</v>
      </c>
      <c r="E1386" s="407" t="s">
        <v>3950</v>
      </c>
      <c r="F1386" s="261" t="str">
        <f>TEXT(VLOOKUP(J1386,'[3]1'!$B$2:$D$37,2,0),"0000")</f>
        <v>0006</v>
      </c>
      <c r="G1386" s="261" t="str">
        <f t="shared" si="204"/>
        <v>0248</v>
      </c>
      <c r="H1386" s="408">
        <f t="shared" si="205"/>
        <v>2</v>
      </c>
      <c r="I1386" s="407" t="s">
        <v>3950</v>
      </c>
      <c r="J1386" s="258" t="s">
        <v>197</v>
      </c>
      <c r="K1386" s="258" t="s">
        <v>2034</v>
      </c>
      <c r="L1386" s="258" t="s">
        <v>3454</v>
      </c>
      <c r="M1386" s="409">
        <v>74768000</v>
      </c>
      <c r="N1386" s="258">
        <v>1984</v>
      </c>
      <c r="O1386" s="258" t="s">
        <v>77</v>
      </c>
      <c r="P1386" s="258" t="s">
        <v>73</v>
      </c>
      <c r="Q1386" s="258" t="s">
        <v>72</v>
      </c>
      <c r="R1386" s="258">
        <v>5</v>
      </c>
      <c r="S1386" s="410">
        <v>4</v>
      </c>
      <c r="T1386" s="261">
        <v>6</v>
      </c>
      <c r="U1386" s="261">
        <v>6</v>
      </c>
      <c r="V1386" s="258" t="s">
        <v>71</v>
      </c>
      <c r="W1386" s="261" t="str">
        <f t="shared" si="207"/>
        <v>AUDIQ5 45 TFSI Q premium74768000</v>
      </c>
      <c r="X1386" s="411">
        <f t="shared" si="208"/>
        <v>5160</v>
      </c>
      <c r="Y1386" s="261">
        <v>6</v>
      </c>
      <c r="Z1386" s="261">
        <v>6</v>
      </c>
      <c r="AA1386" s="407" t="s">
        <v>3950</v>
      </c>
      <c r="AB1386" s="258" t="s">
        <v>1965</v>
      </c>
      <c r="AC1386" s="258"/>
      <c r="AD1386" s="258">
        <v>3</v>
      </c>
      <c r="AE1386" s="258">
        <v>1</v>
      </c>
      <c r="AF1386" s="259"/>
      <c r="AG1386" s="260"/>
      <c r="AH1386" s="259"/>
      <c r="AI1386" s="259"/>
      <c r="AJ1386" s="260"/>
      <c r="AK1386" s="259" t="s">
        <v>3686</v>
      </c>
      <c r="AL1386" s="259"/>
      <c r="AM1386" s="259" t="s">
        <v>3669</v>
      </c>
      <c r="AN1386" s="449"/>
      <c r="AO1386" s="449"/>
      <c r="AP1386" s="449"/>
      <c r="AQ1386" s="392" t="str">
        <f>IFERROR(VLOOKUP(BG1386,#REF!,1,0),"")</f>
        <v/>
      </c>
      <c r="AS1386" s="259" t="s">
        <v>3226</v>
      </c>
      <c r="BD1386" s="202" t="str">
        <f t="shared" si="200"/>
        <v>Q5 45 TFSI Q premium</v>
      </c>
      <c r="BE1386" s="261" t="str">
        <f t="shared" si="206"/>
        <v>0248</v>
      </c>
      <c r="BF1386" s="407" t="s">
        <v>3950</v>
      </c>
      <c r="BG1386" s="202" t="str">
        <f t="shared" si="201"/>
        <v>0248-1385</v>
      </c>
    </row>
    <row r="1387" spans="1:59">
      <c r="A1387" s="405">
        <v>5161</v>
      </c>
      <c r="B1387" s="406">
        <v>5161</v>
      </c>
      <c r="C1387" s="261" t="str">
        <f t="shared" si="202"/>
        <v>0006-0248</v>
      </c>
      <c r="D1387" s="261" t="str">
        <f t="shared" si="203"/>
        <v>0006-0248-0003</v>
      </c>
      <c r="E1387" s="407" t="s">
        <v>3951</v>
      </c>
      <c r="F1387" s="261" t="str">
        <f>TEXT(VLOOKUP(J1387,'[3]1'!$B$2:$D$37,2,0),"0000")</f>
        <v>0006</v>
      </c>
      <c r="G1387" s="261" t="str">
        <f t="shared" si="204"/>
        <v>0248</v>
      </c>
      <c r="H1387" s="408">
        <f t="shared" si="205"/>
        <v>3</v>
      </c>
      <c r="I1387" s="407" t="s">
        <v>3951</v>
      </c>
      <c r="J1387" s="258" t="s">
        <v>197</v>
      </c>
      <c r="K1387" s="258" t="s">
        <v>2034</v>
      </c>
      <c r="L1387" s="258" t="s">
        <v>3455</v>
      </c>
      <c r="M1387" s="409">
        <v>72314000</v>
      </c>
      <c r="N1387" s="258">
        <v>1984</v>
      </c>
      <c r="O1387" s="258" t="s">
        <v>77</v>
      </c>
      <c r="P1387" s="258" t="s">
        <v>73</v>
      </c>
      <c r="Q1387" s="258" t="s">
        <v>72</v>
      </c>
      <c r="R1387" s="258">
        <v>5</v>
      </c>
      <c r="S1387" s="410">
        <v>4</v>
      </c>
      <c r="T1387" s="261">
        <v>6</v>
      </c>
      <c r="U1387" s="261">
        <v>6</v>
      </c>
      <c r="V1387" s="258" t="s">
        <v>71</v>
      </c>
      <c r="W1387" s="261" t="str">
        <f t="shared" si="207"/>
        <v>AUDIQ5 45 TFSI Q 스포트백72314000</v>
      </c>
      <c r="X1387" s="411">
        <f t="shared" si="208"/>
        <v>5161</v>
      </c>
      <c r="Y1387" s="261">
        <v>6</v>
      </c>
      <c r="Z1387" s="261">
        <v>6</v>
      </c>
      <c r="AA1387" s="407" t="s">
        <v>3951</v>
      </c>
      <c r="AB1387" s="258" t="s">
        <v>1965</v>
      </c>
      <c r="AC1387" s="258"/>
      <c r="AD1387" s="258">
        <v>3</v>
      </c>
      <c r="AE1387" s="258">
        <v>1</v>
      </c>
      <c r="AF1387" s="259"/>
      <c r="AG1387" s="260"/>
      <c r="AH1387" s="259"/>
      <c r="AI1387" s="259"/>
      <c r="AJ1387" s="260"/>
      <c r="AK1387" s="259" t="s">
        <v>3686</v>
      </c>
      <c r="AL1387" s="259"/>
      <c r="AM1387" s="259" t="s">
        <v>3669</v>
      </c>
      <c r="AN1387" s="449"/>
      <c r="AO1387" s="449"/>
      <c r="AP1387" s="449"/>
      <c r="AQ1387" s="392" t="str">
        <f>IFERROR(VLOOKUP(BG1387,#REF!,1,0),"")</f>
        <v/>
      </c>
      <c r="AS1387" s="259" t="s">
        <v>3226</v>
      </c>
      <c r="AT1387" s="392">
        <v>2024.02</v>
      </c>
      <c r="AW1387" s="392" t="s">
        <v>3460</v>
      </c>
      <c r="BD1387" s="202" t="str">
        <f t="shared" si="200"/>
        <v>Q5 45 TFSI Q 스포트백</v>
      </c>
      <c r="BE1387" s="261" t="str">
        <f t="shared" si="206"/>
        <v>0248</v>
      </c>
      <c r="BF1387" s="407" t="s">
        <v>3951</v>
      </c>
      <c r="BG1387" s="202" t="str">
        <f t="shared" si="201"/>
        <v>0248-1386</v>
      </c>
    </row>
    <row r="1388" spans="1:59">
      <c r="A1388" s="405">
        <v>5162</v>
      </c>
      <c r="B1388" s="406">
        <v>5162</v>
      </c>
      <c r="C1388" s="261" t="str">
        <f t="shared" si="202"/>
        <v>0006-0248</v>
      </c>
      <c r="D1388" s="261" t="str">
        <f t="shared" si="203"/>
        <v>0006-0248-0004</v>
      </c>
      <c r="E1388" s="407" t="s">
        <v>1885</v>
      </c>
      <c r="F1388" s="261" t="str">
        <f>TEXT(VLOOKUP(J1388,'[3]1'!$B$2:$D$37,2,0),"0000")</f>
        <v>0006</v>
      </c>
      <c r="G1388" s="261" t="str">
        <f t="shared" si="204"/>
        <v>0248</v>
      </c>
      <c r="H1388" s="408">
        <f t="shared" si="205"/>
        <v>4</v>
      </c>
      <c r="I1388" s="407" t="s">
        <v>1885</v>
      </c>
      <c r="J1388" s="258" t="s">
        <v>197</v>
      </c>
      <c r="K1388" s="258" t="s">
        <v>2034</v>
      </c>
      <c r="L1388" s="258" t="s">
        <v>3456</v>
      </c>
      <c r="M1388" s="409">
        <v>80000000</v>
      </c>
      <c r="N1388" s="258">
        <v>1984</v>
      </c>
      <c r="O1388" s="258" t="s">
        <v>77</v>
      </c>
      <c r="P1388" s="258" t="s">
        <v>73</v>
      </c>
      <c r="Q1388" s="258" t="s">
        <v>72</v>
      </c>
      <c r="R1388" s="258">
        <v>5</v>
      </c>
      <c r="S1388" s="410">
        <v>4</v>
      </c>
      <c r="T1388" s="261">
        <v>6</v>
      </c>
      <c r="U1388" s="261">
        <v>6</v>
      </c>
      <c r="V1388" s="258" t="s">
        <v>71</v>
      </c>
      <c r="W1388" s="261" t="str">
        <f t="shared" si="207"/>
        <v>AUDIQ5 45 TFSI Q premium 스포트백80000000</v>
      </c>
      <c r="X1388" s="411">
        <f t="shared" si="208"/>
        <v>5162</v>
      </c>
      <c r="Y1388" s="261">
        <v>6</v>
      </c>
      <c r="Z1388" s="261">
        <v>6</v>
      </c>
      <c r="AA1388" s="407" t="s">
        <v>1885</v>
      </c>
      <c r="AB1388" s="258" t="s">
        <v>1965</v>
      </c>
      <c r="AC1388" s="258"/>
      <c r="AD1388" s="258">
        <v>3</v>
      </c>
      <c r="AE1388" s="258">
        <v>1</v>
      </c>
      <c r="AF1388" s="259"/>
      <c r="AG1388" s="260"/>
      <c r="AH1388" s="259"/>
      <c r="AI1388" s="259"/>
      <c r="AJ1388" s="260"/>
      <c r="AK1388" s="259" t="s">
        <v>3686</v>
      </c>
      <c r="AL1388" s="259"/>
      <c r="AM1388" s="259" t="s">
        <v>3669</v>
      </c>
      <c r="AN1388" s="449"/>
      <c r="AO1388" s="449"/>
      <c r="AP1388" s="449"/>
      <c r="AQ1388" s="392" t="str">
        <f>IFERROR(VLOOKUP(BG1388,#REF!,1,0),"")</f>
        <v/>
      </c>
      <c r="AS1388" s="259" t="s">
        <v>3226</v>
      </c>
      <c r="AT1388" s="392">
        <v>2024.02</v>
      </c>
      <c r="AW1388" s="392" t="s">
        <v>3460</v>
      </c>
      <c r="BD1388" s="202" t="str">
        <f t="shared" si="200"/>
        <v>Q5 45 TFSI Q premium 스포트백</v>
      </c>
      <c r="BE1388" s="261" t="str">
        <f t="shared" si="206"/>
        <v>0248</v>
      </c>
      <c r="BF1388" s="407" t="s">
        <v>1885</v>
      </c>
      <c r="BG1388" s="202" t="str">
        <f t="shared" si="201"/>
        <v>0248-1387</v>
      </c>
    </row>
    <row r="1389" spans="1:59">
      <c r="A1389" s="405">
        <v>5163</v>
      </c>
      <c r="B1389" s="406">
        <v>5163</v>
      </c>
      <c r="C1389" s="261" t="str">
        <f t="shared" si="202"/>
        <v>0006-0248</v>
      </c>
      <c r="D1389" s="261" t="str">
        <f t="shared" si="203"/>
        <v>0006-0248-0005</v>
      </c>
      <c r="E1389" s="407" t="s">
        <v>3952</v>
      </c>
      <c r="F1389" s="261" t="str">
        <f>TEXT(VLOOKUP(J1389,'[3]1'!$B$2:$D$37,2,0),"0000")</f>
        <v>0006</v>
      </c>
      <c r="G1389" s="261" t="str">
        <f t="shared" si="204"/>
        <v>0248</v>
      </c>
      <c r="H1389" s="408">
        <f t="shared" si="205"/>
        <v>5</v>
      </c>
      <c r="I1389" s="407" t="s">
        <v>3952</v>
      </c>
      <c r="J1389" s="413" t="s">
        <v>197</v>
      </c>
      <c r="K1389" s="413" t="s">
        <v>2101</v>
      </c>
      <c r="L1389" s="413" t="s">
        <v>2102</v>
      </c>
      <c r="M1389" s="428">
        <v>68881000</v>
      </c>
      <c r="N1389" s="416">
        <v>1968</v>
      </c>
      <c r="O1389" s="413" t="s">
        <v>78</v>
      </c>
      <c r="P1389" s="413" t="s">
        <v>73</v>
      </c>
      <c r="Q1389" s="413" t="s">
        <v>72</v>
      </c>
      <c r="R1389" s="416">
        <v>5</v>
      </c>
      <c r="S1389" s="410">
        <v>6</v>
      </c>
      <c r="T1389" s="261">
        <v>6</v>
      </c>
      <c r="U1389" s="261">
        <v>6</v>
      </c>
      <c r="V1389" s="258" t="s">
        <v>71</v>
      </c>
      <c r="W1389" s="261" t="str">
        <f t="shared" si="207"/>
        <v>AUDIQ540 TDI Quattro68881000</v>
      </c>
      <c r="X1389" s="411">
        <f t="shared" si="208"/>
        <v>5163</v>
      </c>
      <c r="Y1389" s="261">
        <v>6</v>
      </c>
      <c r="Z1389" s="261">
        <v>6</v>
      </c>
      <c r="AA1389" s="407" t="s">
        <v>3952</v>
      </c>
      <c r="AB1389" s="258" t="s">
        <v>1965</v>
      </c>
      <c r="AC1389" s="258"/>
      <c r="AD1389" s="258">
        <v>3</v>
      </c>
      <c r="AE1389" s="258">
        <v>1</v>
      </c>
      <c r="AF1389" s="259"/>
      <c r="AG1389" s="260"/>
      <c r="AH1389" s="259"/>
      <c r="AI1389" s="259"/>
      <c r="AJ1389" s="260"/>
      <c r="AK1389" s="259" t="s">
        <v>1174</v>
      </c>
      <c r="AL1389" s="259"/>
      <c r="AM1389" s="259" t="s">
        <v>3670</v>
      </c>
      <c r="AN1389" s="449"/>
      <c r="AO1389" s="449"/>
      <c r="AP1389" s="449"/>
      <c r="AQ1389" s="392" t="str">
        <f>IFERROR(VLOOKUP(BG1389,#REF!,1,0),"")</f>
        <v/>
      </c>
      <c r="AS1389" s="259" t="s">
        <v>150</v>
      </c>
      <c r="BD1389" s="202" t="str">
        <f t="shared" si="200"/>
        <v>Q540 TDI Quattro</v>
      </c>
      <c r="BE1389" s="261" t="str">
        <f t="shared" si="206"/>
        <v>0248</v>
      </c>
      <c r="BF1389" s="407" t="s">
        <v>3952</v>
      </c>
      <c r="BG1389" s="202" t="str">
        <f t="shared" si="201"/>
        <v>0248-1388</v>
      </c>
    </row>
    <row r="1390" spans="1:59">
      <c r="A1390" s="405">
        <v>5164</v>
      </c>
      <c r="B1390" s="406">
        <v>5164</v>
      </c>
      <c r="C1390" s="261" t="str">
        <f t="shared" si="202"/>
        <v>0006-0248</v>
      </c>
      <c r="D1390" s="261" t="str">
        <f t="shared" si="203"/>
        <v>0006-0248-0006</v>
      </c>
      <c r="E1390" s="407" t="s">
        <v>1886</v>
      </c>
      <c r="F1390" s="261" t="str">
        <f>TEXT(VLOOKUP(J1390,'[3]1'!$B$2:$D$37,2,0),"0000")</f>
        <v>0006</v>
      </c>
      <c r="G1390" s="261" t="str">
        <f t="shared" si="204"/>
        <v>0248</v>
      </c>
      <c r="H1390" s="408">
        <f t="shared" si="205"/>
        <v>6</v>
      </c>
      <c r="I1390" s="407" t="s">
        <v>1886</v>
      </c>
      <c r="J1390" s="413" t="s">
        <v>197</v>
      </c>
      <c r="K1390" s="413" t="s">
        <v>2101</v>
      </c>
      <c r="L1390" s="413" t="s">
        <v>2095</v>
      </c>
      <c r="M1390" s="428">
        <v>74281000</v>
      </c>
      <c r="N1390" s="416">
        <v>1968</v>
      </c>
      <c r="O1390" s="413" t="s">
        <v>78</v>
      </c>
      <c r="P1390" s="413" t="s">
        <v>73</v>
      </c>
      <c r="Q1390" s="413" t="s">
        <v>72</v>
      </c>
      <c r="R1390" s="416">
        <v>5</v>
      </c>
      <c r="S1390" s="410">
        <v>6</v>
      </c>
      <c r="T1390" s="261">
        <v>6</v>
      </c>
      <c r="U1390" s="261">
        <v>6</v>
      </c>
      <c r="V1390" s="258" t="s">
        <v>71</v>
      </c>
      <c r="W1390" s="261" t="str">
        <f t="shared" si="207"/>
        <v>AUDIQ540 TDI Quattro Premium74281000</v>
      </c>
      <c r="X1390" s="411">
        <f t="shared" si="208"/>
        <v>5164</v>
      </c>
      <c r="Y1390" s="261">
        <v>6</v>
      </c>
      <c r="Z1390" s="261">
        <v>6</v>
      </c>
      <c r="AA1390" s="407" t="s">
        <v>1886</v>
      </c>
      <c r="AB1390" s="258" t="s">
        <v>1965</v>
      </c>
      <c r="AC1390" s="258"/>
      <c r="AD1390" s="258">
        <v>3</v>
      </c>
      <c r="AE1390" s="258">
        <v>1</v>
      </c>
      <c r="AF1390" s="259"/>
      <c r="AG1390" s="260"/>
      <c r="AH1390" s="259"/>
      <c r="AI1390" s="259"/>
      <c r="AJ1390" s="260"/>
      <c r="AK1390" s="259" t="s">
        <v>1174</v>
      </c>
      <c r="AL1390" s="259"/>
      <c r="AM1390" s="259" t="s">
        <v>3670</v>
      </c>
      <c r="AN1390" s="449"/>
      <c r="AO1390" s="449"/>
      <c r="AP1390" s="449"/>
      <c r="AQ1390" s="392" t="str">
        <f>IFERROR(VLOOKUP(BG1390,#REF!,1,0),"")</f>
        <v/>
      </c>
      <c r="AS1390" s="259" t="s">
        <v>150</v>
      </c>
      <c r="BD1390" s="202" t="str">
        <f t="shared" si="200"/>
        <v>Q540 TDI Quattro Premium</v>
      </c>
      <c r="BE1390" s="261" t="str">
        <f t="shared" si="206"/>
        <v>0248</v>
      </c>
      <c r="BF1390" s="407" t="s">
        <v>1886</v>
      </c>
      <c r="BG1390" s="202" t="str">
        <f t="shared" si="201"/>
        <v>0248-1389</v>
      </c>
    </row>
    <row r="1391" spans="1:59">
      <c r="A1391" s="405">
        <v>5165</v>
      </c>
      <c r="B1391" s="406">
        <v>5165</v>
      </c>
      <c r="C1391" s="261" t="str">
        <f t="shared" si="202"/>
        <v>0006-0248</v>
      </c>
      <c r="D1391" s="261" t="str">
        <f t="shared" si="203"/>
        <v>0006-0248-0007</v>
      </c>
      <c r="E1391" s="407" t="s">
        <v>1887</v>
      </c>
      <c r="F1391" s="261" t="str">
        <f>TEXT(VLOOKUP(J1391,'[3]1'!$B$2:$D$37,2,0),"0000")</f>
        <v>0006</v>
      </c>
      <c r="G1391" s="261" t="str">
        <f t="shared" si="204"/>
        <v>0248</v>
      </c>
      <c r="H1391" s="408">
        <f t="shared" si="205"/>
        <v>7</v>
      </c>
      <c r="I1391" s="407" t="s">
        <v>1887</v>
      </c>
      <c r="J1391" s="413" t="s">
        <v>197</v>
      </c>
      <c r="K1391" s="413" t="s">
        <v>2101</v>
      </c>
      <c r="L1391" s="413" t="s">
        <v>3451</v>
      </c>
      <c r="M1391" s="428">
        <v>71826000</v>
      </c>
      <c r="N1391" s="416">
        <v>1968</v>
      </c>
      <c r="O1391" s="413" t="s">
        <v>78</v>
      </c>
      <c r="P1391" s="413" t="s">
        <v>73</v>
      </c>
      <c r="Q1391" s="413" t="s">
        <v>72</v>
      </c>
      <c r="R1391" s="416">
        <v>5</v>
      </c>
      <c r="S1391" s="410">
        <v>6</v>
      </c>
      <c r="T1391" s="261">
        <v>6</v>
      </c>
      <c r="U1391" s="261">
        <v>6</v>
      </c>
      <c r="V1391" s="258" t="s">
        <v>71</v>
      </c>
      <c r="W1391" s="261" t="str">
        <f t="shared" si="207"/>
        <v>AUDIQ540 TDI Quattro 스포트백71826000</v>
      </c>
      <c r="X1391" s="411">
        <f t="shared" si="208"/>
        <v>5165</v>
      </c>
      <c r="Y1391" s="261">
        <v>6</v>
      </c>
      <c r="Z1391" s="261">
        <v>6</v>
      </c>
      <c r="AA1391" s="407" t="s">
        <v>1887</v>
      </c>
      <c r="AB1391" s="258" t="s">
        <v>1965</v>
      </c>
      <c r="AC1391" s="258"/>
      <c r="AD1391" s="258">
        <v>3</v>
      </c>
      <c r="AE1391" s="258">
        <v>1</v>
      </c>
      <c r="AF1391" s="259"/>
      <c r="AG1391" s="260"/>
      <c r="AH1391" s="259"/>
      <c r="AI1391" s="259"/>
      <c r="AJ1391" s="260"/>
      <c r="AK1391" s="259" t="s">
        <v>3686</v>
      </c>
      <c r="AL1391" s="259"/>
      <c r="AM1391" s="259" t="s">
        <v>3669</v>
      </c>
      <c r="AN1391" s="449"/>
      <c r="AO1391" s="449"/>
      <c r="AP1391" s="449"/>
      <c r="AQ1391" s="392" t="str">
        <f>IFERROR(VLOOKUP(BG1391,#REF!,1,0),"")</f>
        <v/>
      </c>
      <c r="AS1391" s="259" t="s">
        <v>150</v>
      </c>
      <c r="AT1391" s="392">
        <v>2024.02</v>
      </c>
      <c r="AW1391" s="392" t="s">
        <v>3460</v>
      </c>
      <c r="BD1391" s="202" t="str">
        <f t="shared" si="200"/>
        <v>Q540 TDI Quattro 스포트백</v>
      </c>
      <c r="BE1391" s="261" t="str">
        <f t="shared" si="206"/>
        <v>0248</v>
      </c>
      <c r="BF1391" s="407" t="s">
        <v>1887</v>
      </c>
      <c r="BG1391" s="202" t="str">
        <f t="shared" si="201"/>
        <v>0248-1390</v>
      </c>
    </row>
    <row r="1392" spans="1:59">
      <c r="A1392" s="405">
        <v>5166</v>
      </c>
      <c r="B1392" s="406">
        <v>5166</v>
      </c>
      <c r="C1392" s="261" t="str">
        <f t="shared" si="202"/>
        <v>0006-0248</v>
      </c>
      <c r="D1392" s="261" t="str">
        <f t="shared" si="203"/>
        <v>0006-0248-0008</v>
      </c>
      <c r="E1392" s="407" t="s">
        <v>3953</v>
      </c>
      <c r="F1392" s="261" t="str">
        <f>TEXT(VLOOKUP(J1392,'[3]1'!$B$2:$D$37,2,0),"0000")</f>
        <v>0006</v>
      </c>
      <c r="G1392" s="261" t="str">
        <f t="shared" si="204"/>
        <v>0248</v>
      </c>
      <c r="H1392" s="408">
        <f t="shared" si="205"/>
        <v>8</v>
      </c>
      <c r="I1392" s="407" t="s">
        <v>3953</v>
      </c>
      <c r="J1392" s="413" t="s">
        <v>197</v>
      </c>
      <c r="K1392" s="413" t="s">
        <v>2101</v>
      </c>
      <c r="L1392" s="413" t="s">
        <v>3452</v>
      </c>
      <c r="M1392" s="428">
        <v>77226000</v>
      </c>
      <c r="N1392" s="416">
        <v>1968</v>
      </c>
      <c r="O1392" s="413" t="s">
        <v>78</v>
      </c>
      <c r="P1392" s="413" t="s">
        <v>73</v>
      </c>
      <c r="Q1392" s="413" t="s">
        <v>72</v>
      </c>
      <c r="R1392" s="416">
        <v>5</v>
      </c>
      <c r="S1392" s="410">
        <v>6</v>
      </c>
      <c r="T1392" s="261">
        <v>6</v>
      </c>
      <c r="U1392" s="261">
        <v>6</v>
      </c>
      <c r="V1392" s="258" t="s">
        <v>71</v>
      </c>
      <c r="W1392" s="261" t="str">
        <f t="shared" si="207"/>
        <v>AUDIQ540 TDI Quattro Premium 스포트백77226000</v>
      </c>
      <c r="X1392" s="411">
        <f t="shared" si="208"/>
        <v>5166</v>
      </c>
      <c r="Y1392" s="261">
        <v>6</v>
      </c>
      <c r="Z1392" s="261">
        <v>6</v>
      </c>
      <c r="AA1392" s="407" t="s">
        <v>3953</v>
      </c>
      <c r="AB1392" s="258" t="s">
        <v>1965</v>
      </c>
      <c r="AC1392" s="258"/>
      <c r="AD1392" s="258">
        <v>3</v>
      </c>
      <c r="AE1392" s="258">
        <v>1</v>
      </c>
      <c r="AF1392" s="259"/>
      <c r="AG1392" s="260"/>
      <c r="AH1392" s="259"/>
      <c r="AI1392" s="259"/>
      <c r="AJ1392" s="260"/>
      <c r="AK1392" s="259" t="s">
        <v>3686</v>
      </c>
      <c r="AL1392" s="259"/>
      <c r="AM1392" s="259" t="s">
        <v>3669</v>
      </c>
      <c r="AN1392" s="449"/>
      <c r="AO1392" s="449"/>
      <c r="AP1392" s="449"/>
      <c r="AQ1392" s="392" t="str">
        <f>IFERROR(VLOOKUP(BG1392,#REF!,1,0),"")</f>
        <v/>
      </c>
      <c r="AS1392" s="259" t="s">
        <v>150</v>
      </c>
      <c r="AT1392" s="392">
        <v>2024.02</v>
      </c>
      <c r="AW1392" s="392" t="s">
        <v>3460</v>
      </c>
      <c r="BD1392" s="202" t="str">
        <f t="shared" si="200"/>
        <v>Q540 TDI Quattro Premium 스포트백</v>
      </c>
      <c r="BE1392" s="261" t="str">
        <f t="shared" si="206"/>
        <v>0248</v>
      </c>
      <c r="BF1392" s="407" t="s">
        <v>3953</v>
      </c>
      <c r="BG1392" s="202" t="str">
        <f t="shared" si="201"/>
        <v>0248-1391</v>
      </c>
    </row>
    <row r="1393" spans="1:59">
      <c r="A1393" s="405">
        <v>5167</v>
      </c>
      <c r="B1393" s="406">
        <v>5167</v>
      </c>
      <c r="C1393" s="261" t="str">
        <f t="shared" si="202"/>
        <v>0006-0248</v>
      </c>
      <c r="D1393" s="261" t="str">
        <f t="shared" si="203"/>
        <v>0006-0248-0009</v>
      </c>
      <c r="E1393" s="407" t="s">
        <v>1888</v>
      </c>
      <c r="F1393" s="261" t="str">
        <f>TEXT(VLOOKUP(J1393,'[3]1'!$B$2:$D$37,2,0),"0000")</f>
        <v>0006</v>
      </c>
      <c r="G1393" s="261" t="str">
        <f t="shared" si="204"/>
        <v>0248</v>
      </c>
      <c r="H1393" s="408">
        <f t="shared" si="205"/>
        <v>9</v>
      </c>
      <c r="I1393" s="407" t="s">
        <v>1888</v>
      </c>
      <c r="J1393" s="413" t="s">
        <v>197</v>
      </c>
      <c r="K1393" s="413" t="s">
        <v>2101</v>
      </c>
      <c r="L1393" s="413" t="s">
        <v>3458</v>
      </c>
      <c r="M1393" s="428">
        <v>94110000</v>
      </c>
      <c r="N1393" s="416">
        <v>2995</v>
      </c>
      <c r="O1393" s="258" t="s">
        <v>77</v>
      </c>
      <c r="P1393" s="413" t="s">
        <v>73</v>
      </c>
      <c r="Q1393" s="413" t="s">
        <v>72</v>
      </c>
      <c r="R1393" s="416">
        <v>5</v>
      </c>
      <c r="S1393" s="410">
        <v>13</v>
      </c>
      <c r="T1393" s="261">
        <v>6</v>
      </c>
      <c r="U1393" s="261">
        <v>6</v>
      </c>
      <c r="V1393" s="258" t="s">
        <v>71</v>
      </c>
      <c r="W1393" s="261" t="str">
        <f t="shared" si="207"/>
        <v>AUDIQ5SQ5 TFSI94110000</v>
      </c>
      <c r="X1393" s="411">
        <f t="shared" si="208"/>
        <v>5167</v>
      </c>
      <c r="Y1393" s="261">
        <v>6</v>
      </c>
      <c r="Z1393" s="261">
        <v>6</v>
      </c>
      <c r="AA1393" s="407" t="s">
        <v>1888</v>
      </c>
      <c r="AB1393" s="258" t="s">
        <v>1965</v>
      </c>
      <c r="AC1393" s="258"/>
      <c r="AD1393" s="258">
        <v>3</v>
      </c>
      <c r="AE1393" s="258">
        <v>1</v>
      </c>
      <c r="AF1393" s="259"/>
      <c r="AG1393" s="260"/>
      <c r="AH1393" s="259"/>
      <c r="AI1393" s="259"/>
      <c r="AJ1393" s="260"/>
      <c r="AK1393" s="259">
        <v>18</v>
      </c>
      <c r="AL1393" s="259"/>
      <c r="AM1393" s="259" t="s">
        <v>3770</v>
      </c>
      <c r="AN1393" s="449"/>
      <c r="AO1393" s="449"/>
      <c r="AP1393" s="449"/>
      <c r="AQ1393" s="392" t="str">
        <f>IFERROR(VLOOKUP(BG1393,#REF!,1,0),"")</f>
        <v/>
      </c>
      <c r="AS1393" s="259" t="s">
        <v>3457</v>
      </c>
      <c r="AT1393" s="392">
        <v>2024.02</v>
      </c>
      <c r="AW1393" s="392" t="s">
        <v>3460</v>
      </c>
      <c r="BD1393" s="202" t="str">
        <f t="shared" si="200"/>
        <v>Q5SQ5 TFSI</v>
      </c>
      <c r="BE1393" s="261" t="str">
        <f t="shared" si="206"/>
        <v>0248</v>
      </c>
      <c r="BF1393" s="407" t="s">
        <v>1888</v>
      </c>
      <c r="BG1393" s="202" t="str">
        <f t="shared" si="201"/>
        <v>0248-1392</v>
      </c>
    </row>
    <row r="1394" spans="1:59">
      <c r="A1394" s="405">
        <v>5168</v>
      </c>
      <c r="B1394" s="406">
        <v>5168</v>
      </c>
      <c r="C1394" s="261" t="str">
        <f t="shared" si="202"/>
        <v>0006-0248</v>
      </c>
      <c r="D1394" s="261" t="str">
        <f t="shared" si="203"/>
        <v>0006-0248-0010</v>
      </c>
      <c r="E1394" s="407" t="s">
        <v>3954</v>
      </c>
      <c r="F1394" s="261" t="str">
        <f>TEXT(VLOOKUP(J1394,'[3]1'!$B$2:$D$37,2,0),"0000")</f>
        <v>0006</v>
      </c>
      <c r="G1394" s="261" t="str">
        <f t="shared" si="204"/>
        <v>0248</v>
      </c>
      <c r="H1394" s="408">
        <f t="shared" si="205"/>
        <v>10</v>
      </c>
      <c r="I1394" s="407" t="s">
        <v>3954</v>
      </c>
      <c r="J1394" s="413" t="s">
        <v>197</v>
      </c>
      <c r="K1394" s="413" t="s">
        <v>2101</v>
      </c>
      <c r="L1394" s="413" t="s">
        <v>3459</v>
      </c>
      <c r="M1394" s="428">
        <v>99960000</v>
      </c>
      <c r="N1394" s="416">
        <v>2995</v>
      </c>
      <c r="O1394" s="258" t="s">
        <v>77</v>
      </c>
      <c r="P1394" s="413" t="s">
        <v>73</v>
      </c>
      <c r="Q1394" s="413" t="s">
        <v>72</v>
      </c>
      <c r="R1394" s="416">
        <v>5</v>
      </c>
      <c r="S1394" s="410">
        <v>13</v>
      </c>
      <c r="T1394" s="261">
        <v>6</v>
      </c>
      <c r="U1394" s="261">
        <v>6</v>
      </c>
      <c r="V1394" s="258" t="s">
        <v>71</v>
      </c>
      <c r="W1394" s="261" t="str">
        <f t="shared" si="207"/>
        <v>AUDIQ5SQ5 TFSI 스포트백99960000</v>
      </c>
      <c r="X1394" s="411">
        <f t="shared" si="208"/>
        <v>5168</v>
      </c>
      <c r="Y1394" s="261">
        <v>6</v>
      </c>
      <c r="Z1394" s="261">
        <v>6</v>
      </c>
      <c r="AA1394" s="407" t="s">
        <v>3954</v>
      </c>
      <c r="AB1394" s="258" t="s">
        <v>1965</v>
      </c>
      <c r="AC1394" s="258"/>
      <c r="AD1394" s="258">
        <v>3</v>
      </c>
      <c r="AE1394" s="258">
        <v>1</v>
      </c>
      <c r="AF1394" s="259"/>
      <c r="AG1394" s="260"/>
      <c r="AH1394" s="259"/>
      <c r="AI1394" s="259"/>
      <c r="AJ1394" s="260"/>
      <c r="AK1394" s="259">
        <v>18</v>
      </c>
      <c r="AL1394" s="259"/>
      <c r="AM1394" s="259" t="s">
        <v>3770</v>
      </c>
      <c r="AN1394" s="449"/>
      <c r="AO1394" s="449"/>
      <c r="AP1394" s="449"/>
      <c r="AQ1394" s="392" t="str">
        <f>IFERROR(VLOOKUP(BG1394,#REF!,1,0),"")</f>
        <v/>
      </c>
      <c r="AS1394" s="259" t="s">
        <v>3457</v>
      </c>
      <c r="AT1394" s="392">
        <v>2024.02</v>
      </c>
      <c r="AW1394" s="392" t="s">
        <v>3460</v>
      </c>
      <c r="BD1394" s="202" t="str">
        <f t="shared" si="200"/>
        <v>Q5SQ5 TFSI 스포트백</v>
      </c>
      <c r="BE1394" s="261" t="str">
        <f t="shared" si="206"/>
        <v>0248</v>
      </c>
      <c r="BF1394" s="407" t="s">
        <v>3954</v>
      </c>
      <c r="BG1394" s="202" t="str">
        <f t="shared" si="201"/>
        <v>0248-1393</v>
      </c>
    </row>
    <row r="1395" spans="1:59">
      <c r="A1395" s="405">
        <v>5169</v>
      </c>
      <c r="B1395" s="406">
        <v>5169</v>
      </c>
      <c r="C1395" s="261" t="str">
        <f t="shared" si="202"/>
        <v>0006-0248</v>
      </c>
      <c r="D1395" s="261" t="str">
        <f t="shared" si="203"/>
        <v>0006-0248-0011</v>
      </c>
      <c r="E1395" s="407" t="s">
        <v>3955</v>
      </c>
      <c r="F1395" s="261" t="str">
        <f>TEXT(VLOOKUP(J1395,'[3]1'!$B$2:$D$37,2,0),"0000")</f>
        <v>0006</v>
      </c>
      <c r="G1395" s="261" t="str">
        <f t="shared" si="204"/>
        <v>0248</v>
      </c>
      <c r="H1395" s="408">
        <f t="shared" si="205"/>
        <v>11</v>
      </c>
      <c r="I1395" s="407" t="s">
        <v>3955</v>
      </c>
      <c r="J1395" s="413" t="s">
        <v>197</v>
      </c>
      <c r="K1395" s="413" t="s">
        <v>2101</v>
      </c>
      <c r="L1395" s="413" t="s">
        <v>2778</v>
      </c>
      <c r="M1395" s="428">
        <v>78800000</v>
      </c>
      <c r="N1395" s="416">
        <v>2967</v>
      </c>
      <c r="O1395" s="413" t="s">
        <v>78</v>
      </c>
      <c r="P1395" s="413" t="s">
        <v>73</v>
      </c>
      <c r="Q1395" s="413" t="s">
        <v>72</v>
      </c>
      <c r="R1395" s="416">
        <v>5</v>
      </c>
      <c r="S1395" s="410">
        <v>6</v>
      </c>
      <c r="T1395" s="261">
        <v>6</v>
      </c>
      <c r="U1395" s="261">
        <v>6</v>
      </c>
      <c r="V1395" s="258" t="s">
        <v>71</v>
      </c>
      <c r="W1395" s="261" t="str">
        <f t="shared" si="207"/>
        <v>AUDIQ550 TDI Quattro Premium78800000</v>
      </c>
      <c r="X1395" s="411">
        <f t="shared" si="208"/>
        <v>5169</v>
      </c>
      <c r="Y1395" s="261">
        <v>6</v>
      </c>
      <c r="Z1395" s="261">
        <v>6</v>
      </c>
      <c r="AA1395" s="407" t="s">
        <v>3955</v>
      </c>
      <c r="AB1395" s="258" t="s">
        <v>1965</v>
      </c>
      <c r="AC1395" s="258"/>
      <c r="AD1395" s="258">
        <v>3</v>
      </c>
      <c r="AE1395" s="258">
        <v>1</v>
      </c>
      <c r="AF1395" s="259"/>
      <c r="AG1395" s="260"/>
      <c r="AH1395" s="259"/>
      <c r="AI1395" s="259"/>
      <c r="AJ1395" s="260"/>
      <c r="AK1395" s="259" t="s">
        <v>1174</v>
      </c>
      <c r="AL1395" s="259"/>
      <c r="AM1395" s="259" t="s">
        <v>3670</v>
      </c>
      <c r="AN1395" s="449"/>
      <c r="AO1395" s="449"/>
      <c r="AP1395" s="449"/>
      <c r="AQ1395" s="392" t="str">
        <f>IFERROR(VLOOKUP(BG1395,#REF!,1,0),"")</f>
        <v/>
      </c>
      <c r="AS1395" s="259" t="s">
        <v>150</v>
      </c>
      <c r="BD1395" s="202" t="str">
        <f t="shared" si="200"/>
        <v>Q550 TDI Quattro Premium</v>
      </c>
      <c r="BE1395" s="261" t="str">
        <f t="shared" si="206"/>
        <v>0248</v>
      </c>
      <c r="BF1395" s="407" t="s">
        <v>3955</v>
      </c>
      <c r="BG1395" s="202" t="str">
        <f t="shared" si="201"/>
        <v>0248-1394</v>
      </c>
    </row>
    <row r="1396" spans="1:59">
      <c r="A1396" s="405">
        <v>5170</v>
      </c>
      <c r="B1396" s="406">
        <v>5170</v>
      </c>
      <c r="C1396" s="261" t="str">
        <f t="shared" si="202"/>
        <v>0006-0249</v>
      </c>
      <c r="D1396" s="261" t="str">
        <f t="shared" si="203"/>
        <v>0006-0249-0001</v>
      </c>
      <c r="E1396" s="407" t="s">
        <v>3956</v>
      </c>
      <c r="F1396" s="261" t="str">
        <f>TEXT(VLOOKUP(J1396,'[3]1'!$B$2:$D$37,2,0),"0000")</f>
        <v>0006</v>
      </c>
      <c r="G1396" s="261" t="str">
        <f t="shared" si="204"/>
        <v>0249</v>
      </c>
      <c r="H1396" s="408">
        <f t="shared" si="205"/>
        <v>1</v>
      </c>
      <c r="I1396" s="407" t="s">
        <v>3956</v>
      </c>
      <c r="J1396" s="422" t="s">
        <v>197</v>
      </c>
      <c r="K1396" s="422" t="s">
        <v>1906</v>
      </c>
      <c r="L1396" s="422" t="s">
        <v>3607</v>
      </c>
      <c r="M1396" s="268">
        <v>110400000</v>
      </c>
      <c r="N1396" s="258">
        <v>2995</v>
      </c>
      <c r="O1396" s="258" t="s">
        <v>77</v>
      </c>
      <c r="P1396" s="422" t="s">
        <v>73</v>
      </c>
      <c r="Q1396" s="422" t="s">
        <v>72</v>
      </c>
      <c r="R1396" s="415">
        <v>7</v>
      </c>
      <c r="S1396" s="410">
        <v>8</v>
      </c>
      <c r="T1396" s="261">
        <v>6</v>
      </c>
      <c r="U1396" s="261">
        <v>6</v>
      </c>
      <c r="V1396" s="267" t="s">
        <v>71</v>
      </c>
      <c r="W1396" s="261" t="str">
        <f t="shared" si="207"/>
        <v>AUDIQ7Q7 55 TFSI110400000</v>
      </c>
      <c r="X1396" s="411">
        <f t="shared" si="208"/>
        <v>5170</v>
      </c>
      <c r="Y1396" s="261">
        <v>6</v>
      </c>
      <c r="Z1396" s="261">
        <v>6</v>
      </c>
      <c r="AA1396" s="407" t="s">
        <v>3956</v>
      </c>
      <c r="AB1396" s="267" t="s">
        <v>1965</v>
      </c>
      <c r="AC1396" s="267"/>
      <c r="AD1396" s="267">
        <v>5</v>
      </c>
      <c r="AE1396" s="267">
        <v>2</v>
      </c>
      <c r="AF1396" s="270"/>
      <c r="AG1396" s="307"/>
      <c r="AH1396" s="270"/>
      <c r="AI1396" s="270"/>
      <c r="AJ1396" s="307"/>
      <c r="AK1396" s="259">
        <v>13</v>
      </c>
      <c r="AL1396" s="259"/>
      <c r="AM1396" s="259" t="s">
        <v>3662</v>
      </c>
      <c r="AN1396" s="391"/>
      <c r="AO1396" s="391"/>
      <c r="AP1396" s="391"/>
      <c r="AQ1396" s="392" t="str">
        <f>IFERROR(VLOOKUP(BG1396,#REF!,1,0),"")</f>
        <v/>
      </c>
      <c r="AR1396" s="450"/>
      <c r="AS1396" s="259" t="s">
        <v>3231</v>
      </c>
      <c r="AT1396" s="450"/>
      <c r="AW1396" s="450"/>
      <c r="AX1396" s="450"/>
      <c r="AY1396" s="450"/>
      <c r="BD1396" s="202" t="str">
        <f t="shared" si="200"/>
        <v>Q7Q7 55 TFSI</v>
      </c>
      <c r="BE1396" s="261" t="str">
        <f t="shared" si="206"/>
        <v>0249</v>
      </c>
      <c r="BF1396" s="407" t="s">
        <v>3956</v>
      </c>
      <c r="BG1396" s="202" t="str">
        <f t="shared" si="201"/>
        <v>0249-1395</v>
      </c>
    </row>
    <row r="1397" spans="1:59">
      <c r="A1397" s="405">
        <v>5171</v>
      </c>
      <c r="B1397" s="406">
        <v>5171</v>
      </c>
      <c r="C1397" s="261" t="str">
        <f t="shared" si="202"/>
        <v>0006-0249</v>
      </c>
      <c r="D1397" s="261" t="str">
        <f t="shared" si="203"/>
        <v>0006-0249-0002</v>
      </c>
      <c r="E1397" s="407" t="s">
        <v>1889</v>
      </c>
      <c r="F1397" s="261" t="str">
        <f>TEXT(VLOOKUP(J1397,'[3]1'!$B$2:$D$37,2,0),"0000")</f>
        <v>0006</v>
      </c>
      <c r="G1397" s="261" t="str">
        <f t="shared" si="204"/>
        <v>0249</v>
      </c>
      <c r="H1397" s="408">
        <f t="shared" si="205"/>
        <v>2</v>
      </c>
      <c r="I1397" s="407" t="s">
        <v>1889</v>
      </c>
      <c r="J1397" s="258" t="s">
        <v>197</v>
      </c>
      <c r="K1397" s="258" t="s">
        <v>1906</v>
      </c>
      <c r="L1397" s="258" t="s">
        <v>3605</v>
      </c>
      <c r="M1397" s="409">
        <v>87800000</v>
      </c>
      <c r="N1397" s="258">
        <v>2967</v>
      </c>
      <c r="O1397" s="258" t="s">
        <v>1961</v>
      </c>
      <c r="P1397" s="258" t="s">
        <v>73</v>
      </c>
      <c r="Q1397" s="258" t="s">
        <v>72</v>
      </c>
      <c r="R1397" s="258">
        <v>5</v>
      </c>
      <c r="S1397" s="410">
        <v>4</v>
      </c>
      <c r="T1397" s="261">
        <v>6</v>
      </c>
      <c r="U1397" s="261">
        <v>6</v>
      </c>
      <c r="V1397" s="258" t="s">
        <v>71</v>
      </c>
      <c r="W1397" s="261" t="str">
        <f t="shared" si="207"/>
        <v>AUDIQ7Q7 45 TDI87800000</v>
      </c>
      <c r="X1397" s="411">
        <f t="shared" si="208"/>
        <v>5171</v>
      </c>
      <c r="Y1397" s="261">
        <v>6</v>
      </c>
      <c r="Z1397" s="261">
        <v>6</v>
      </c>
      <c r="AA1397" s="407" t="s">
        <v>1889</v>
      </c>
      <c r="AB1397" s="258" t="s">
        <v>1965</v>
      </c>
      <c r="AC1397" s="258"/>
      <c r="AD1397" s="258">
        <v>3</v>
      </c>
      <c r="AE1397" s="258">
        <v>0</v>
      </c>
      <c r="AF1397" s="259"/>
      <c r="AG1397" s="260"/>
      <c r="AH1397" s="259"/>
      <c r="AI1397" s="259"/>
      <c r="AJ1397" s="260"/>
      <c r="AK1397" s="259">
        <v>13</v>
      </c>
      <c r="AL1397" s="259"/>
      <c r="AM1397" s="259" t="s">
        <v>3662</v>
      </c>
      <c r="AN1397" s="449"/>
      <c r="AO1397" s="449"/>
      <c r="AP1397" s="449"/>
      <c r="AQ1397" s="392" t="str">
        <f>IFERROR(VLOOKUP(BG1397,#REF!,1,0),"")</f>
        <v/>
      </c>
      <c r="AS1397" s="259" t="s">
        <v>3226</v>
      </c>
      <c r="BD1397" s="202" t="str">
        <f t="shared" si="200"/>
        <v>Q7Q7 45 TDI</v>
      </c>
      <c r="BE1397" s="261" t="str">
        <f t="shared" si="206"/>
        <v>0249</v>
      </c>
      <c r="BF1397" s="407" t="s">
        <v>1889</v>
      </c>
      <c r="BG1397" s="202" t="str">
        <f t="shared" si="201"/>
        <v>0249-1396</v>
      </c>
    </row>
    <row r="1398" spans="1:59">
      <c r="A1398" s="405">
        <v>5172</v>
      </c>
      <c r="B1398" s="406">
        <v>5172</v>
      </c>
      <c r="C1398" s="261" t="str">
        <f t="shared" si="202"/>
        <v>0006-0249</v>
      </c>
      <c r="D1398" s="261" t="str">
        <f t="shared" si="203"/>
        <v>0006-0249-0003</v>
      </c>
      <c r="E1398" s="407" t="s">
        <v>1890</v>
      </c>
      <c r="F1398" s="261" t="str">
        <f>TEXT(VLOOKUP(J1398,'[3]1'!$B$2:$D$37,2,0),"0000")</f>
        <v>0006</v>
      </c>
      <c r="G1398" s="261" t="str">
        <f t="shared" si="204"/>
        <v>0249</v>
      </c>
      <c r="H1398" s="408">
        <f t="shared" si="205"/>
        <v>3</v>
      </c>
      <c r="I1398" s="407" t="s">
        <v>1890</v>
      </c>
      <c r="J1398" s="413" t="s">
        <v>197</v>
      </c>
      <c r="K1398" s="413" t="s">
        <v>1906</v>
      </c>
      <c r="L1398" s="413" t="s">
        <v>3606</v>
      </c>
      <c r="M1398" s="428">
        <v>105000000</v>
      </c>
      <c r="N1398" s="416">
        <v>2967</v>
      </c>
      <c r="O1398" s="413" t="s">
        <v>78</v>
      </c>
      <c r="P1398" s="413" t="s">
        <v>73</v>
      </c>
      <c r="Q1398" s="413" t="s">
        <v>72</v>
      </c>
      <c r="R1398" s="416">
        <v>5</v>
      </c>
      <c r="S1398" s="410">
        <v>5</v>
      </c>
      <c r="T1398" s="261">
        <v>6</v>
      </c>
      <c r="U1398" s="261">
        <v>6</v>
      </c>
      <c r="V1398" s="258" t="s">
        <v>71</v>
      </c>
      <c r="W1398" s="261" t="str">
        <f t="shared" si="207"/>
        <v>AUDIQ7Q7 50 TDI105000000</v>
      </c>
      <c r="X1398" s="411">
        <f t="shared" si="208"/>
        <v>5172</v>
      </c>
      <c r="Y1398" s="261">
        <v>6</v>
      </c>
      <c r="Z1398" s="261">
        <v>6</v>
      </c>
      <c r="AA1398" s="407" t="s">
        <v>1890</v>
      </c>
      <c r="AB1398" s="258" t="s">
        <v>1965</v>
      </c>
      <c r="AC1398" s="258"/>
      <c r="AD1398" s="258">
        <v>3</v>
      </c>
      <c r="AE1398" s="258">
        <v>0</v>
      </c>
      <c r="AF1398" s="259"/>
      <c r="AG1398" s="260"/>
      <c r="AH1398" s="259"/>
      <c r="AI1398" s="259"/>
      <c r="AJ1398" s="260"/>
      <c r="AK1398" s="259">
        <v>13</v>
      </c>
      <c r="AL1398" s="259"/>
      <c r="AM1398" s="259" t="s">
        <v>3662</v>
      </c>
      <c r="AN1398" s="449"/>
      <c r="AO1398" s="449"/>
      <c r="AP1398" s="449"/>
      <c r="AQ1398" s="392" t="str">
        <f>IFERROR(VLOOKUP(BG1398,#REF!,1,0),"")</f>
        <v/>
      </c>
      <c r="AS1398" s="259" t="s">
        <v>93</v>
      </c>
      <c r="BD1398" s="202" t="str">
        <f t="shared" si="200"/>
        <v>Q7Q7 50 TDI</v>
      </c>
      <c r="BE1398" s="261" t="str">
        <f t="shared" si="206"/>
        <v>0249</v>
      </c>
      <c r="BF1398" s="407" t="s">
        <v>1890</v>
      </c>
      <c r="BG1398" s="202" t="str">
        <f t="shared" si="201"/>
        <v>0249-1397</v>
      </c>
    </row>
    <row r="1399" spans="1:59">
      <c r="A1399" s="405">
        <v>5173</v>
      </c>
      <c r="B1399" s="406">
        <v>5173</v>
      </c>
      <c r="C1399" s="261" t="str">
        <f t="shared" si="202"/>
        <v>0006-0250</v>
      </c>
      <c r="D1399" s="261" t="str">
        <f t="shared" si="203"/>
        <v>0006-0250-0001</v>
      </c>
      <c r="E1399" s="407" t="s">
        <v>1891</v>
      </c>
      <c r="F1399" s="261" t="str">
        <f>TEXT(VLOOKUP(J1399,'[3]1'!$B$2:$D$37,2,0),"0000")</f>
        <v>0006</v>
      </c>
      <c r="G1399" s="261" t="str">
        <f t="shared" si="204"/>
        <v>0250</v>
      </c>
      <c r="H1399" s="408">
        <f t="shared" si="205"/>
        <v>1</v>
      </c>
      <c r="I1399" s="407" t="s">
        <v>1891</v>
      </c>
      <c r="J1399" s="267" t="s">
        <v>197</v>
      </c>
      <c r="K1399" s="267" t="s">
        <v>1966</v>
      </c>
      <c r="L1399" s="267" t="s">
        <v>2999</v>
      </c>
      <c r="M1399" s="268">
        <v>114400000</v>
      </c>
      <c r="N1399" s="269">
        <v>2995</v>
      </c>
      <c r="O1399" s="258" t="s">
        <v>77</v>
      </c>
      <c r="P1399" s="422" t="s">
        <v>73</v>
      </c>
      <c r="Q1399" s="422" t="s">
        <v>72</v>
      </c>
      <c r="R1399" s="267">
        <v>5</v>
      </c>
      <c r="S1399" s="410">
        <v>8</v>
      </c>
      <c r="T1399" s="261">
        <v>6</v>
      </c>
      <c r="U1399" s="261">
        <v>6</v>
      </c>
      <c r="V1399" s="267" t="s">
        <v>71</v>
      </c>
      <c r="W1399" s="261" t="str">
        <f t="shared" si="207"/>
        <v>AUDIQ8Q8 55 TFSI Q Premium 114400000</v>
      </c>
      <c r="X1399" s="411">
        <f t="shared" si="208"/>
        <v>5173</v>
      </c>
      <c r="Y1399" s="261">
        <v>6</v>
      </c>
      <c r="Z1399" s="261">
        <v>6</v>
      </c>
      <c r="AA1399" s="407" t="s">
        <v>1891</v>
      </c>
      <c r="AB1399" s="267" t="s">
        <v>1965</v>
      </c>
      <c r="AC1399" s="267"/>
      <c r="AD1399" s="267">
        <v>5</v>
      </c>
      <c r="AE1399" s="267">
        <v>2</v>
      </c>
      <c r="AF1399" s="270"/>
      <c r="AG1399" s="307"/>
      <c r="AH1399" s="270"/>
      <c r="AI1399" s="270"/>
      <c r="AJ1399" s="307"/>
      <c r="AK1399" s="259">
        <v>13</v>
      </c>
      <c r="AL1399" s="259"/>
      <c r="AM1399" s="259" t="s">
        <v>3662</v>
      </c>
      <c r="AN1399" s="391"/>
      <c r="AO1399" s="391"/>
      <c r="AP1399" s="391"/>
      <c r="AQ1399" s="392" t="str">
        <f>IFERROR(VLOOKUP(BG1399,#REF!,1,0),"")</f>
        <v/>
      </c>
      <c r="AR1399" s="450"/>
      <c r="AS1399" s="259" t="s">
        <v>3231</v>
      </c>
      <c r="AT1399" s="450"/>
      <c r="AW1399" s="450"/>
      <c r="AX1399" s="450"/>
      <c r="AY1399" s="450"/>
      <c r="BD1399" s="202" t="str">
        <f t="shared" si="200"/>
        <v xml:space="preserve">Q8Q8 55 TFSI Q Premium </v>
      </c>
      <c r="BE1399" s="261" t="str">
        <f t="shared" si="206"/>
        <v>0250</v>
      </c>
      <c r="BF1399" s="407" t="s">
        <v>1891</v>
      </c>
      <c r="BG1399" s="202" t="str">
        <f t="shared" si="201"/>
        <v>0250-1398</v>
      </c>
    </row>
    <row r="1400" spans="1:59">
      <c r="A1400" s="405">
        <v>5174</v>
      </c>
      <c r="B1400" s="406">
        <v>5174</v>
      </c>
      <c r="C1400" s="261" t="str">
        <f t="shared" si="202"/>
        <v>0006-0250</v>
      </c>
      <c r="D1400" s="261" t="str">
        <f t="shared" si="203"/>
        <v>0006-0250-0002</v>
      </c>
      <c r="E1400" s="407" t="s">
        <v>1892</v>
      </c>
      <c r="F1400" s="261" t="str">
        <f>TEXT(VLOOKUP(J1400,'[3]1'!$B$2:$D$37,2,0),"0000")</f>
        <v>0006</v>
      </c>
      <c r="G1400" s="261" t="str">
        <f t="shared" si="204"/>
        <v>0250</v>
      </c>
      <c r="H1400" s="408">
        <f t="shared" si="205"/>
        <v>2</v>
      </c>
      <c r="I1400" s="407" t="s">
        <v>1892</v>
      </c>
      <c r="J1400" s="258" t="s">
        <v>197</v>
      </c>
      <c r="K1400" s="258" t="s">
        <v>1966</v>
      </c>
      <c r="L1400" s="258" t="s">
        <v>2843</v>
      </c>
      <c r="M1400" s="409">
        <v>100000000</v>
      </c>
      <c r="N1400" s="258">
        <v>2967</v>
      </c>
      <c r="O1400" s="258" t="s">
        <v>1961</v>
      </c>
      <c r="P1400" s="258" t="s">
        <v>73</v>
      </c>
      <c r="Q1400" s="258" t="s">
        <v>72</v>
      </c>
      <c r="R1400" s="258">
        <v>5</v>
      </c>
      <c r="S1400" s="410">
        <v>5</v>
      </c>
      <c r="T1400" s="261">
        <v>6</v>
      </c>
      <c r="U1400" s="261">
        <v>6</v>
      </c>
      <c r="V1400" s="258" t="s">
        <v>71</v>
      </c>
      <c r="W1400" s="261" t="str">
        <f t="shared" si="207"/>
        <v>AUDIQ8Q8 45 TDI Q100000000</v>
      </c>
      <c r="X1400" s="411">
        <f t="shared" si="208"/>
        <v>5174</v>
      </c>
      <c r="Y1400" s="261">
        <v>6</v>
      </c>
      <c r="Z1400" s="261">
        <v>6</v>
      </c>
      <c r="AA1400" s="407" t="s">
        <v>1892</v>
      </c>
      <c r="AB1400" s="258" t="s">
        <v>1965</v>
      </c>
      <c r="AC1400" s="258"/>
      <c r="AD1400" s="258">
        <v>4</v>
      </c>
      <c r="AE1400" s="258">
        <v>0</v>
      </c>
      <c r="AF1400" s="259"/>
      <c r="AG1400" s="260"/>
      <c r="AH1400" s="259"/>
      <c r="AI1400" s="259"/>
      <c r="AJ1400" s="260"/>
      <c r="AK1400" s="259">
        <v>13</v>
      </c>
      <c r="AL1400" s="259"/>
      <c r="AM1400" s="259" t="s">
        <v>3662</v>
      </c>
      <c r="AN1400" s="449"/>
      <c r="AO1400" s="449"/>
      <c r="AP1400" s="449"/>
      <c r="AQ1400" s="392" t="str">
        <f>IFERROR(VLOOKUP(BG1400,#REF!,1,0),"")</f>
        <v/>
      </c>
      <c r="AS1400" s="259" t="s">
        <v>93</v>
      </c>
      <c r="BD1400" s="202" t="str">
        <f t="shared" si="200"/>
        <v>Q8Q8 45 TDI Q</v>
      </c>
      <c r="BE1400" s="261" t="str">
        <f t="shared" si="206"/>
        <v>0250</v>
      </c>
      <c r="BF1400" s="407" t="s">
        <v>1892</v>
      </c>
      <c r="BG1400" s="202" t="str">
        <f t="shared" si="201"/>
        <v>0250-1399</v>
      </c>
    </row>
    <row r="1401" spans="1:59">
      <c r="A1401" s="405">
        <v>5175</v>
      </c>
      <c r="B1401" s="406">
        <v>5175</v>
      </c>
      <c r="C1401" s="261" t="str">
        <f t="shared" si="202"/>
        <v>0006-0250</v>
      </c>
      <c r="D1401" s="261" t="str">
        <f t="shared" si="203"/>
        <v>0006-0250-0003</v>
      </c>
      <c r="E1401" s="407" t="s">
        <v>1893</v>
      </c>
      <c r="F1401" s="261" t="str">
        <f>TEXT(VLOOKUP(J1401,'[3]1'!$B$2:$D$37,2,0),"0000")</f>
        <v>0006</v>
      </c>
      <c r="G1401" s="261" t="str">
        <f t="shared" si="204"/>
        <v>0250</v>
      </c>
      <c r="H1401" s="408">
        <f t="shared" si="205"/>
        <v>3</v>
      </c>
      <c r="I1401" s="407" t="s">
        <v>1893</v>
      </c>
      <c r="J1401" s="258" t="s">
        <v>197</v>
      </c>
      <c r="K1401" s="258" t="s">
        <v>1966</v>
      </c>
      <c r="L1401" s="258" t="s">
        <v>3320</v>
      </c>
      <c r="M1401" s="409">
        <v>114400000</v>
      </c>
      <c r="N1401" s="258">
        <v>2967</v>
      </c>
      <c r="O1401" s="258" t="s">
        <v>1961</v>
      </c>
      <c r="P1401" s="258" t="s">
        <v>73</v>
      </c>
      <c r="Q1401" s="258" t="s">
        <v>72</v>
      </c>
      <c r="R1401" s="258">
        <v>5</v>
      </c>
      <c r="S1401" s="410">
        <v>5</v>
      </c>
      <c r="T1401" s="261">
        <v>6</v>
      </c>
      <c r="U1401" s="261">
        <v>6</v>
      </c>
      <c r="V1401" s="258" t="s">
        <v>71</v>
      </c>
      <c r="W1401" s="261" t="str">
        <f t="shared" si="207"/>
        <v>AUDIQ8Q8 50 TDI Q Premium 114400000</v>
      </c>
      <c r="X1401" s="411">
        <f t="shared" si="208"/>
        <v>5175</v>
      </c>
      <c r="Y1401" s="261">
        <v>6</v>
      </c>
      <c r="Z1401" s="261">
        <v>6</v>
      </c>
      <c r="AA1401" s="407" t="s">
        <v>1893</v>
      </c>
      <c r="AB1401" s="258" t="s">
        <v>1965</v>
      </c>
      <c r="AC1401" s="258"/>
      <c r="AD1401" s="258">
        <v>4</v>
      </c>
      <c r="AE1401" s="258">
        <v>0</v>
      </c>
      <c r="AF1401" s="259"/>
      <c r="AG1401" s="260"/>
      <c r="AH1401" s="259"/>
      <c r="AI1401" s="259"/>
      <c r="AJ1401" s="260"/>
      <c r="AK1401" s="259">
        <v>13</v>
      </c>
      <c r="AL1401" s="259"/>
      <c r="AM1401" s="259" t="s">
        <v>3662</v>
      </c>
      <c r="AN1401" s="449"/>
      <c r="AO1401" s="449"/>
      <c r="AP1401" s="449"/>
      <c r="AQ1401" s="392" t="str">
        <f>IFERROR(VLOOKUP(BG1401,#REF!,1,0),"")</f>
        <v/>
      </c>
      <c r="AS1401" s="259" t="s">
        <v>93</v>
      </c>
      <c r="BD1401" s="202" t="str">
        <f t="shared" si="200"/>
        <v xml:space="preserve">Q8Q8 50 TDI Q Premium </v>
      </c>
      <c r="BE1401" s="261" t="str">
        <f t="shared" si="206"/>
        <v>0250</v>
      </c>
      <c r="BF1401" s="407" t="s">
        <v>1893</v>
      </c>
      <c r="BG1401" s="202" t="str">
        <f t="shared" si="201"/>
        <v>0250-1400</v>
      </c>
    </row>
    <row r="1402" spans="1:59">
      <c r="A1402" s="405">
        <v>5176</v>
      </c>
      <c r="B1402" s="406">
        <v>5176</v>
      </c>
      <c r="C1402" s="261" t="str">
        <f t="shared" si="202"/>
        <v>0006-0250</v>
      </c>
      <c r="D1402" s="261" t="str">
        <f t="shared" si="203"/>
        <v>0006-0250-0004</v>
      </c>
      <c r="E1402" s="407" t="s">
        <v>1894</v>
      </c>
      <c r="F1402" s="261" t="str">
        <f>TEXT(VLOOKUP(J1402,'[3]1'!$B$2:$D$37,2,0),"0000")</f>
        <v>0006</v>
      </c>
      <c r="G1402" s="261" t="str">
        <f t="shared" si="204"/>
        <v>0250</v>
      </c>
      <c r="H1402" s="408">
        <f t="shared" si="205"/>
        <v>4</v>
      </c>
      <c r="I1402" s="407" t="s">
        <v>1894</v>
      </c>
      <c r="J1402" s="258" t="s">
        <v>197</v>
      </c>
      <c r="K1402" s="258" t="s">
        <v>1966</v>
      </c>
      <c r="L1402" s="258" t="s">
        <v>2844</v>
      </c>
      <c r="M1402" s="409">
        <v>114400000</v>
      </c>
      <c r="N1402" s="258">
        <v>2967</v>
      </c>
      <c r="O1402" s="258" t="s">
        <v>1961</v>
      </c>
      <c r="P1402" s="258" t="s">
        <v>73</v>
      </c>
      <c r="Q1402" s="258" t="s">
        <v>72</v>
      </c>
      <c r="R1402" s="258">
        <v>5</v>
      </c>
      <c r="S1402" s="410">
        <v>5</v>
      </c>
      <c r="T1402" s="261">
        <v>6</v>
      </c>
      <c r="U1402" s="261">
        <v>6</v>
      </c>
      <c r="V1402" s="258" t="s">
        <v>71</v>
      </c>
      <c r="W1402" s="261" t="str">
        <f t="shared" si="207"/>
        <v>AUDIQ8Q8 50 TDI Q114400000</v>
      </c>
      <c r="X1402" s="411">
        <f t="shared" si="208"/>
        <v>5176</v>
      </c>
      <c r="Y1402" s="261">
        <v>6</v>
      </c>
      <c r="Z1402" s="261">
        <v>6</v>
      </c>
      <c r="AA1402" s="407" t="s">
        <v>1894</v>
      </c>
      <c r="AB1402" s="258" t="s">
        <v>1965</v>
      </c>
      <c r="AC1402" s="258"/>
      <c r="AD1402" s="258">
        <v>4</v>
      </c>
      <c r="AE1402" s="258">
        <v>0</v>
      </c>
      <c r="AF1402" s="259"/>
      <c r="AG1402" s="260"/>
      <c r="AH1402" s="259"/>
      <c r="AI1402" s="259"/>
      <c r="AJ1402" s="260"/>
      <c r="AK1402" s="259">
        <v>13</v>
      </c>
      <c r="AL1402" s="259"/>
      <c r="AM1402" s="259" t="s">
        <v>3662</v>
      </c>
      <c r="AN1402" s="449"/>
      <c r="AO1402" s="449"/>
      <c r="AP1402" s="449"/>
      <c r="AQ1402" s="392" t="str">
        <f>IFERROR(VLOOKUP(BG1402,#REF!,1,0),"")</f>
        <v/>
      </c>
      <c r="AS1402" s="259" t="s">
        <v>93</v>
      </c>
      <c r="BD1402" s="202" t="str">
        <f t="shared" si="200"/>
        <v>Q8Q8 50 TDI Q</v>
      </c>
      <c r="BE1402" s="261" t="str">
        <f t="shared" si="206"/>
        <v>0250</v>
      </c>
      <c r="BF1402" s="407" t="s">
        <v>1894</v>
      </c>
      <c r="BG1402" s="202" t="str">
        <f t="shared" si="201"/>
        <v>0250-1401</v>
      </c>
    </row>
    <row r="1403" spans="1:59">
      <c r="A1403" s="405">
        <v>5177</v>
      </c>
      <c r="B1403" s="406">
        <v>5177</v>
      </c>
      <c r="C1403" s="261" t="str">
        <f t="shared" si="202"/>
        <v>0006-0251</v>
      </c>
      <c r="D1403" s="261" t="str">
        <f t="shared" si="203"/>
        <v>0006-0251-0001</v>
      </c>
      <c r="E1403" s="407" t="s">
        <v>1895</v>
      </c>
      <c r="F1403" s="261" t="str">
        <f>TEXT(VLOOKUP(J1403,'[3]1'!$B$2:$D$37,2,0),"0000")</f>
        <v>0006</v>
      </c>
      <c r="G1403" s="261" t="str">
        <f t="shared" si="204"/>
        <v>0251</v>
      </c>
      <c r="H1403" s="408">
        <f t="shared" si="205"/>
        <v>1</v>
      </c>
      <c r="I1403" s="407" t="s">
        <v>1895</v>
      </c>
      <c r="J1403" s="258" t="s">
        <v>197</v>
      </c>
      <c r="K1403" s="258" t="s">
        <v>2108</v>
      </c>
      <c r="L1403" s="258" t="s">
        <v>2110</v>
      </c>
      <c r="M1403" s="409">
        <v>110000000</v>
      </c>
      <c r="N1403" s="258">
        <v>2967</v>
      </c>
      <c r="O1403" s="258" t="s">
        <v>1961</v>
      </c>
      <c r="P1403" s="258" t="s">
        <v>1431</v>
      </c>
      <c r="Q1403" s="258" t="s">
        <v>1974</v>
      </c>
      <c r="R1403" s="258">
        <v>5</v>
      </c>
      <c r="S1403" s="410">
        <v>15</v>
      </c>
      <c r="T1403" s="261">
        <v>6</v>
      </c>
      <c r="U1403" s="261">
        <v>6</v>
      </c>
      <c r="V1403" s="258" t="s">
        <v>71</v>
      </c>
      <c r="W1403" s="261" t="str">
        <f t="shared" si="207"/>
        <v>AUDIS6TDI110000000</v>
      </c>
      <c r="X1403" s="411">
        <f t="shared" si="208"/>
        <v>5177</v>
      </c>
      <c r="Y1403" s="261">
        <v>6</v>
      </c>
      <c r="Z1403" s="261">
        <v>6</v>
      </c>
      <c r="AA1403" s="407" t="s">
        <v>1895</v>
      </c>
      <c r="AB1403" s="258" t="s">
        <v>73</v>
      </c>
      <c r="AC1403" s="258"/>
      <c r="AD1403" s="258">
        <v>6</v>
      </c>
      <c r="AE1403" s="258">
        <v>0</v>
      </c>
      <c r="AF1403" s="259"/>
      <c r="AG1403" s="260"/>
      <c r="AH1403" s="259"/>
      <c r="AI1403" s="459"/>
      <c r="AJ1403" s="260"/>
      <c r="AK1403" s="259">
        <v>22</v>
      </c>
      <c r="AL1403" s="259"/>
      <c r="AM1403" s="259" t="s">
        <v>3671</v>
      </c>
      <c r="AN1403" s="449"/>
      <c r="AO1403" s="449"/>
      <c r="AP1403" s="449"/>
      <c r="AQ1403" s="392" t="str">
        <f>IFERROR(VLOOKUP(BG1403,#REF!,1,0),"")</f>
        <v/>
      </c>
      <c r="AS1403" s="259" t="s">
        <v>3233</v>
      </c>
      <c r="BD1403" s="202" t="str">
        <f t="shared" si="200"/>
        <v>S6TDI</v>
      </c>
      <c r="BE1403" s="261" t="str">
        <f t="shared" si="206"/>
        <v>0251</v>
      </c>
      <c r="BF1403" s="407" t="s">
        <v>1895</v>
      </c>
      <c r="BG1403" s="202" t="str">
        <f t="shared" si="201"/>
        <v>0251-1402</v>
      </c>
    </row>
    <row r="1404" spans="1:59">
      <c r="A1404" s="405">
        <v>5178</v>
      </c>
      <c r="B1404" s="406">
        <v>5178</v>
      </c>
      <c r="C1404" s="261" t="str">
        <f t="shared" si="202"/>
        <v>0006-0252</v>
      </c>
      <c r="D1404" s="261" t="str">
        <f t="shared" si="203"/>
        <v>0006-0252-0001</v>
      </c>
      <c r="E1404" s="407" t="s">
        <v>1896</v>
      </c>
      <c r="F1404" s="261" t="str">
        <f>TEXT(VLOOKUP(J1404,'[3]1'!$B$2:$D$37,2,0),"0000")</f>
        <v>0006</v>
      </c>
      <c r="G1404" s="261" t="str">
        <f t="shared" si="204"/>
        <v>0252</v>
      </c>
      <c r="H1404" s="408">
        <f t="shared" si="205"/>
        <v>1</v>
      </c>
      <c r="I1404" s="407" t="s">
        <v>1896</v>
      </c>
      <c r="J1404" s="258" t="s">
        <v>197</v>
      </c>
      <c r="K1404" s="258" t="s">
        <v>2109</v>
      </c>
      <c r="L1404" s="258" t="s">
        <v>2110</v>
      </c>
      <c r="M1404" s="409">
        <v>114000000</v>
      </c>
      <c r="N1404" s="258">
        <v>2967</v>
      </c>
      <c r="O1404" s="258" t="s">
        <v>1961</v>
      </c>
      <c r="P1404" s="258" t="s">
        <v>1431</v>
      </c>
      <c r="Q1404" s="258" t="s">
        <v>1974</v>
      </c>
      <c r="R1404" s="258">
        <v>5</v>
      </c>
      <c r="S1404" s="410">
        <v>15</v>
      </c>
      <c r="T1404" s="261">
        <v>6</v>
      </c>
      <c r="U1404" s="261">
        <v>6</v>
      </c>
      <c r="V1404" s="258" t="s">
        <v>71</v>
      </c>
      <c r="W1404" s="261" t="str">
        <f t="shared" si="207"/>
        <v>AUDIS7TDI114000000</v>
      </c>
      <c r="X1404" s="411">
        <f t="shared" si="208"/>
        <v>5178</v>
      </c>
      <c r="Y1404" s="261">
        <v>6</v>
      </c>
      <c r="Z1404" s="261">
        <v>6</v>
      </c>
      <c r="AA1404" s="407" t="s">
        <v>1896</v>
      </c>
      <c r="AB1404" s="258" t="s">
        <v>73</v>
      </c>
      <c r="AC1404" s="258"/>
      <c r="AD1404" s="258">
        <v>6</v>
      </c>
      <c r="AE1404" s="258">
        <v>0</v>
      </c>
      <c r="AF1404" s="259"/>
      <c r="AG1404" s="260"/>
      <c r="AH1404" s="259"/>
      <c r="AI1404" s="459"/>
      <c r="AJ1404" s="260"/>
      <c r="AK1404" s="259">
        <v>22</v>
      </c>
      <c r="AL1404" s="259"/>
      <c r="AM1404" s="259" t="s">
        <v>3671</v>
      </c>
      <c r="AN1404" s="449"/>
      <c r="AO1404" s="449"/>
      <c r="AP1404" s="449"/>
      <c r="AQ1404" s="392" t="str">
        <f>IFERROR(VLOOKUP(BG1404,#REF!,1,0),"")</f>
        <v/>
      </c>
      <c r="AS1404" s="259" t="s">
        <v>3233</v>
      </c>
      <c r="BD1404" s="202" t="str">
        <f t="shared" si="200"/>
        <v>S7TDI</v>
      </c>
      <c r="BE1404" s="261" t="str">
        <f t="shared" si="206"/>
        <v>0252</v>
      </c>
      <c r="BF1404" s="407" t="s">
        <v>1896</v>
      </c>
      <c r="BG1404" s="202" t="str">
        <f t="shared" si="201"/>
        <v>0252-1403</v>
      </c>
    </row>
    <row r="1405" spans="1:59">
      <c r="A1405" s="405">
        <v>5179</v>
      </c>
      <c r="B1405" s="406">
        <v>5179</v>
      </c>
      <c r="C1405" s="261" t="str">
        <f t="shared" si="202"/>
        <v>0006-0253</v>
      </c>
      <c r="D1405" s="261" t="str">
        <f t="shared" si="203"/>
        <v>0006-0253-0001</v>
      </c>
      <c r="E1405" s="407" t="s">
        <v>1897</v>
      </c>
      <c r="F1405" s="261" t="str">
        <f>TEXT(VLOOKUP(J1405,'[3]1'!$B$2:$D$37,2,0),"0000")</f>
        <v>0006</v>
      </c>
      <c r="G1405" s="261" t="str">
        <f t="shared" si="204"/>
        <v>0253</v>
      </c>
      <c r="H1405" s="408">
        <f t="shared" si="205"/>
        <v>1</v>
      </c>
      <c r="I1405" s="407" t="s">
        <v>1897</v>
      </c>
      <c r="J1405" s="258" t="s">
        <v>197</v>
      </c>
      <c r="K1405" s="258" t="s">
        <v>2114</v>
      </c>
      <c r="L1405" s="258" t="s">
        <v>2115</v>
      </c>
      <c r="M1405" s="409">
        <v>205000000</v>
      </c>
      <c r="N1405" s="258">
        <v>3996</v>
      </c>
      <c r="O1405" s="258" t="s">
        <v>77</v>
      </c>
      <c r="P1405" s="258" t="s">
        <v>1431</v>
      </c>
      <c r="Q1405" s="258" t="s">
        <v>1974</v>
      </c>
      <c r="R1405" s="258">
        <v>5</v>
      </c>
      <c r="S1405" s="410">
        <v>15</v>
      </c>
      <c r="T1405" s="261">
        <v>6</v>
      </c>
      <c r="U1405" s="261">
        <v>6</v>
      </c>
      <c r="V1405" s="258" t="s">
        <v>1969</v>
      </c>
      <c r="W1405" s="261" t="str">
        <f t="shared" si="207"/>
        <v>AUDIS8L TFSI205000000</v>
      </c>
      <c r="X1405" s="411">
        <f t="shared" si="208"/>
        <v>5179</v>
      </c>
      <c r="Y1405" s="261">
        <v>6</v>
      </c>
      <c r="Z1405" s="261">
        <v>6</v>
      </c>
      <c r="AA1405" s="407" t="s">
        <v>1897</v>
      </c>
      <c r="AB1405" s="258" t="s">
        <v>73</v>
      </c>
      <c r="AC1405" s="258"/>
      <c r="AD1405" s="258">
        <v>6</v>
      </c>
      <c r="AE1405" s="258">
        <v>0</v>
      </c>
      <c r="AF1405" s="259"/>
      <c r="AG1405" s="260"/>
      <c r="AH1405" s="259"/>
      <c r="AI1405" s="459"/>
      <c r="AJ1405" s="260"/>
      <c r="AK1405" s="259">
        <v>22</v>
      </c>
      <c r="AL1405" s="259"/>
      <c r="AM1405" s="259" t="s">
        <v>3671</v>
      </c>
      <c r="AN1405" s="449"/>
      <c r="AO1405" s="449"/>
      <c r="AP1405" s="449"/>
      <c r="AQ1405" s="392" t="str">
        <f>IFERROR(VLOOKUP(BG1405,#REF!,1,0),"")</f>
        <v/>
      </c>
      <c r="AS1405" s="259" t="s">
        <v>3233</v>
      </c>
      <c r="BD1405" s="202" t="str">
        <f t="shared" si="200"/>
        <v>S8L TFSI</v>
      </c>
      <c r="BE1405" s="261" t="str">
        <f t="shared" si="206"/>
        <v>0253</v>
      </c>
      <c r="BF1405" s="407" t="s">
        <v>1897</v>
      </c>
      <c r="BG1405" s="202" t="str">
        <f t="shared" si="201"/>
        <v>0253-1404</v>
      </c>
    </row>
    <row r="1406" spans="1:59" s="481" customFormat="1">
      <c r="A1406" s="405">
        <v>5180</v>
      </c>
      <c r="B1406" s="406">
        <v>5180</v>
      </c>
      <c r="C1406" s="261" t="str">
        <f t="shared" si="202"/>
        <v>0006-0254</v>
      </c>
      <c r="D1406" s="261" t="str">
        <f t="shared" si="203"/>
        <v>0006-0254-0001</v>
      </c>
      <c r="E1406" s="407" t="s">
        <v>1898</v>
      </c>
      <c r="F1406" s="261" t="str">
        <f>TEXT(VLOOKUP(J1406,'[3]1'!$B$2:$D$37,2,0),"0000")</f>
        <v>0006</v>
      </c>
      <c r="G1406" s="261" t="str">
        <f t="shared" si="204"/>
        <v>0254</v>
      </c>
      <c r="H1406" s="408">
        <f t="shared" si="205"/>
        <v>1</v>
      </c>
      <c r="I1406" s="407" t="s">
        <v>1898</v>
      </c>
      <c r="J1406" s="413" t="s">
        <v>197</v>
      </c>
      <c r="K1406" s="413" t="s">
        <v>2780</v>
      </c>
      <c r="L1406" s="413" t="s">
        <v>3154</v>
      </c>
      <c r="M1406" s="595">
        <v>91250000</v>
      </c>
      <c r="N1406" s="473">
        <v>2995</v>
      </c>
      <c r="O1406" s="258" t="s">
        <v>77</v>
      </c>
      <c r="P1406" s="413" t="s">
        <v>73</v>
      </c>
      <c r="Q1406" s="413" t="s">
        <v>72</v>
      </c>
      <c r="R1406" s="416">
        <v>5</v>
      </c>
      <c r="S1406" s="410">
        <v>13</v>
      </c>
      <c r="T1406" s="261">
        <v>6</v>
      </c>
      <c r="U1406" s="261">
        <v>6</v>
      </c>
      <c r="V1406" s="258" t="s">
        <v>71</v>
      </c>
      <c r="W1406" s="261" t="str">
        <f t="shared" si="207"/>
        <v>AUDISQ5SQ5 TFSI91250000</v>
      </c>
      <c r="X1406" s="411">
        <f t="shared" si="208"/>
        <v>5180</v>
      </c>
      <c r="Y1406" s="261">
        <v>6</v>
      </c>
      <c r="Z1406" s="261">
        <v>6</v>
      </c>
      <c r="AA1406" s="407" t="s">
        <v>1898</v>
      </c>
      <c r="AB1406" s="258" t="s">
        <v>1965</v>
      </c>
      <c r="AC1406" s="473"/>
      <c r="AD1406" s="473"/>
      <c r="AE1406" s="473"/>
      <c r="AF1406" s="476"/>
      <c r="AG1406" s="476"/>
      <c r="AH1406" s="476"/>
      <c r="AI1406" s="476"/>
      <c r="AJ1406" s="476"/>
      <c r="AK1406" s="259">
        <v>18</v>
      </c>
      <c r="AL1406" s="259"/>
      <c r="AM1406" s="259" t="s">
        <v>3667</v>
      </c>
      <c r="AN1406" s="477"/>
      <c r="AO1406" s="477"/>
      <c r="AP1406" s="477"/>
      <c r="AQ1406" s="392" t="str">
        <f>IFERROR(VLOOKUP(BG1406,#REF!,1,0),"")</f>
        <v/>
      </c>
      <c r="AR1406" s="478"/>
      <c r="AS1406" s="259" t="s">
        <v>3227</v>
      </c>
      <c r="AT1406" s="478" t="s">
        <v>3150</v>
      </c>
      <c r="AU1406" s="478"/>
      <c r="AV1406" s="478"/>
      <c r="AW1406" s="478"/>
      <c r="AX1406" s="478"/>
      <c r="AY1406" s="478"/>
      <c r="BD1406" s="202" t="str">
        <f t="shared" si="200"/>
        <v>SQ5SQ5 TFSI</v>
      </c>
      <c r="BE1406" s="261" t="str">
        <f t="shared" si="206"/>
        <v>0254</v>
      </c>
      <c r="BF1406" s="407" t="s">
        <v>1898</v>
      </c>
      <c r="BG1406" s="202" t="str">
        <f t="shared" si="201"/>
        <v>0254-1405</v>
      </c>
    </row>
    <row r="1407" spans="1:59">
      <c r="A1407" s="405">
        <v>5181</v>
      </c>
      <c r="B1407" s="406">
        <v>5181</v>
      </c>
      <c r="C1407" s="261" t="str">
        <f t="shared" si="202"/>
        <v>0006-0255</v>
      </c>
      <c r="D1407" s="261" t="str">
        <f t="shared" si="203"/>
        <v>0006-0255-0001</v>
      </c>
      <c r="E1407" s="407" t="s">
        <v>1899</v>
      </c>
      <c r="F1407" s="261" t="str">
        <f>TEXT(VLOOKUP(J1407,'[3]1'!$B$2:$D$37,2,0),"0000")</f>
        <v>0006</v>
      </c>
      <c r="G1407" s="261" t="str">
        <f t="shared" si="204"/>
        <v>0255</v>
      </c>
      <c r="H1407" s="408">
        <f t="shared" si="205"/>
        <v>1</v>
      </c>
      <c r="I1407" s="407" t="s">
        <v>1899</v>
      </c>
      <c r="J1407" s="413" t="s">
        <v>197</v>
      </c>
      <c r="K1407" s="413" t="s">
        <v>3340</v>
      </c>
      <c r="L1407" s="413" t="s">
        <v>3341</v>
      </c>
      <c r="M1407" s="506">
        <v>99960000</v>
      </c>
      <c r="N1407" s="416">
        <v>3996</v>
      </c>
      <c r="O1407" s="413" t="s">
        <v>78</v>
      </c>
      <c r="P1407" s="413" t="s">
        <v>73</v>
      </c>
      <c r="Q1407" s="413" t="s">
        <v>72</v>
      </c>
      <c r="R1407" s="416">
        <v>5</v>
      </c>
      <c r="S1407" s="410">
        <v>14</v>
      </c>
      <c r="T1407" s="261">
        <v>6</v>
      </c>
      <c r="U1407" s="261">
        <v>6</v>
      </c>
      <c r="V1407" s="258" t="s">
        <v>71</v>
      </c>
      <c r="W1407" s="261" t="str">
        <f t="shared" si="207"/>
        <v>AUDISQ7SQ7 TFSI99960000</v>
      </c>
      <c r="X1407" s="411">
        <f t="shared" si="208"/>
        <v>5181</v>
      </c>
      <c r="Y1407" s="261">
        <v>6</v>
      </c>
      <c r="Z1407" s="261">
        <v>6</v>
      </c>
      <c r="AA1407" s="407" t="s">
        <v>1899</v>
      </c>
      <c r="AB1407" s="258" t="s">
        <v>1965</v>
      </c>
      <c r="AC1407" s="258"/>
      <c r="AD1407" s="258">
        <v>6</v>
      </c>
      <c r="AE1407" s="258">
        <v>0</v>
      </c>
      <c r="AF1407" s="259"/>
      <c r="AG1407" s="260"/>
      <c r="AH1407" s="259"/>
      <c r="AI1407" s="259"/>
      <c r="AJ1407" s="260"/>
      <c r="AK1407" s="259">
        <v>18</v>
      </c>
      <c r="AL1407" s="259"/>
      <c r="AM1407" s="259" t="s">
        <v>3667</v>
      </c>
      <c r="AN1407" s="449"/>
      <c r="AO1407" s="449"/>
      <c r="AP1407" s="449"/>
      <c r="AQ1407" s="392" t="str">
        <f>IFERROR(VLOOKUP(BG1407,#REF!,1,0),"")</f>
        <v/>
      </c>
      <c r="AS1407" s="259" t="s">
        <v>3342</v>
      </c>
      <c r="AT1407" s="392">
        <v>2024.01</v>
      </c>
      <c r="BD1407" s="202" t="str">
        <f t="shared" si="200"/>
        <v>SQ7SQ7 TFSI</v>
      </c>
      <c r="BE1407" s="261" t="str">
        <f t="shared" si="206"/>
        <v>0255</v>
      </c>
      <c r="BF1407" s="407" t="s">
        <v>1899</v>
      </c>
      <c r="BG1407" s="202" t="str">
        <f t="shared" si="201"/>
        <v>0255-1406</v>
      </c>
    </row>
    <row r="1408" spans="1:59">
      <c r="A1408" s="405">
        <v>5182</v>
      </c>
      <c r="B1408" s="406">
        <v>5182</v>
      </c>
      <c r="C1408" s="261" t="str">
        <f t="shared" si="202"/>
        <v>0015-0256</v>
      </c>
      <c r="D1408" s="261" t="str">
        <f t="shared" si="203"/>
        <v>0015-0256-0001</v>
      </c>
      <c r="E1408" s="407" t="s">
        <v>1900</v>
      </c>
      <c r="F1408" s="261" t="str">
        <f>TEXT(VLOOKUP(J1408,'[3]1'!$B$2:$D$37,2,0),"0000")</f>
        <v>0015</v>
      </c>
      <c r="G1408" s="261" t="str">
        <f t="shared" si="204"/>
        <v>0256</v>
      </c>
      <c r="H1408" s="408">
        <f t="shared" si="205"/>
        <v>1</v>
      </c>
      <c r="I1408" s="407" t="s">
        <v>1900</v>
      </c>
      <c r="J1408" s="258" t="s">
        <v>1208</v>
      </c>
      <c r="K1408" s="258" t="s">
        <v>1212</v>
      </c>
      <c r="L1408" s="258" t="s">
        <v>3592</v>
      </c>
      <c r="M1408" s="409">
        <v>295000000</v>
      </c>
      <c r="N1408" s="258">
        <v>3982</v>
      </c>
      <c r="O1408" s="258" t="s">
        <v>77</v>
      </c>
      <c r="P1408" s="258" t="s">
        <v>73</v>
      </c>
      <c r="Q1408" s="258" t="s">
        <v>72</v>
      </c>
      <c r="R1408" s="258">
        <v>4</v>
      </c>
      <c r="S1408" s="410">
        <v>16</v>
      </c>
      <c r="T1408" s="261">
        <v>6</v>
      </c>
      <c r="U1408" s="261">
        <v>6</v>
      </c>
      <c r="V1408" s="258" t="s">
        <v>71</v>
      </c>
      <c r="W1408" s="261" t="str">
        <f t="shared" si="207"/>
        <v>Aston martinDB11볼란테 4.0 V8295000000</v>
      </c>
      <c r="X1408" s="411">
        <f t="shared" si="208"/>
        <v>5182</v>
      </c>
      <c r="Y1408" s="261">
        <v>6</v>
      </c>
      <c r="Z1408" s="261">
        <v>6</v>
      </c>
      <c r="AA1408" s="407" t="s">
        <v>1900</v>
      </c>
      <c r="AB1408" s="258" t="s">
        <v>73</v>
      </c>
      <c r="AC1408" s="258"/>
      <c r="AD1408" s="258">
        <v>6</v>
      </c>
      <c r="AE1408" s="258">
        <v>0</v>
      </c>
      <c r="AF1408" s="259"/>
      <c r="AG1408" s="260"/>
      <c r="AH1408" s="259"/>
      <c r="AI1408" s="259"/>
      <c r="AJ1408" s="260"/>
      <c r="AK1408" s="259">
        <v>22</v>
      </c>
      <c r="AL1408" s="259"/>
      <c r="AM1408" s="259" t="s">
        <v>3671</v>
      </c>
      <c r="AN1408" s="449"/>
      <c r="AO1408" s="449"/>
      <c r="AP1408" s="449"/>
      <c r="AQ1408" s="392" t="str">
        <f>IFERROR(VLOOKUP(BG1408,#REF!,1,0),"")</f>
        <v/>
      </c>
      <c r="AS1408" s="259" t="s">
        <v>3230</v>
      </c>
      <c r="BD1408" s="202" t="str">
        <f t="shared" si="200"/>
        <v>DB11볼란테 4.0 V8</v>
      </c>
      <c r="BE1408" s="261" t="str">
        <f t="shared" si="206"/>
        <v>0256</v>
      </c>
      <c r="BF1408" s="407" t="s">
        <v>1900</v>
      </c>
      <c r="BG1408" s="202" t="str">
        <f t="shared" si="201"/>
        <v>0256-1407</v>
      </c>
    </row>
    <row r="1409" spans="1:59">
      <c r="A1409" s="405">
        <v>5183</v>
      </c>
      <c r="B1409" s="406">
        <v>5183</v>
      </c>
      <c r="C1409" s="261" t="str">
        <f t="shared" si="202"/>
        <v>0015-0257</v>
      </c>
      <c r="D1409" s="261" t="str">
        <f t="shared" si="203"/>
        <v>0015-0257-0001</v>
      </c>
      <c r="E1409" s="407" t="s">
        <v>1901</v>
      </c>
      <c r="F1409" s="261" t="str">
        <f>TEXT(VLOOKUP(J1409,'[3]1'!$B$2:$D$37,2,0),"0000")</f>
        <v>0015</v>
      </c>
      <c r="G1409" s="261" t="str">
        <f t="shared" si="204"/>
        <v>0257</v>
      </c>
      <c r="H1409" s="408">
        <f t="shared" si="205"/>
        <v>1</v>
      </c>
      <c r="I1409" s="407" t="s">
        <v>1901</v>
      </c>
      <c r="J1409" s="258" t="s">
        <v>1208</v>
      </c>
      <c r="K1409" s="258" t="s">
        <v>3589</v>
      </c>
      <c r="L1409" s="258" t="s">
        <v>3590</v>
      </c>
      <c r="M1409" s="409">
        <v>317000000</v>
      </c>
      <c r="N1409" s="258">
        <v>3982</v>
      </c>
      <c r="O1409" s="258" t="s">
        <v>77</v>
      </c>
      <c r="P1409" s="258" t="s">
        <v>73</v>
      </c>
      <c r="Q1409" s="258" t="s">
        <v>72</v>
      </c>
      <c r="R1409" s="258">
        <v>2</v>
      </c>
      <c r="S1409" s="410">
        <v>16</v>
      </c>
      <c r="T1409" s="261">
        <v>6</v>
      </c>
      <c r="U1409" s="261">
        <v>6</v>
      </c>
      <c r="V1409" s="258" t="s">
        <v>71</v>
      </c>
      <c r="W1409" s="261" t="str">
        <f t="shared" si="207"/>
        <v>Aston martinDBXV8 DBX 707317000000</v>
      </c>
      <c r="X1409" s="411">
        <f t="shared" si="208"/>
        <v>5183</v>
      </c>
      <c r="Y1409" s="261">
        <v>6</v>
      </c>
      <c r="Z1409" s="261">
        <v>6</v>
      </c>
      <c r="AA1409" s="407" t="s">
        <v>1901</v>
      </c>
      <c r="AB1409" s="258" t="s">
        <v>73</v>
      </c>
      <c r="AC1409" s="258"/>
      <c r="AD1409" s="258">
        <v>6</v>
      </c>
      <c r="AE1409" s="258">
        <v>0</v>
      </c>
      <c r="AF1409" s="259"/>
      <c r="AG1409" s="260"/>
      <c r="AH1409" s="259"/>
      <c r="AI1409" s="259"/>
      <c r="AJ1409" s="260"/>
      <c r="AK1409" s="259">
        <v>15</v>
      </c>
      <c r="AL1409" s="259"/>
      <c r="AM1409" s="259" t="s">
        <v>3664</v>
      </c>
      <c r="AN1409" s="449"/>
      <c r="AO1409" s="449"/>
      <c r="AP1409" s="449"/>
      <c r="AQ1409" s="392" t="str">
        <f>IFERROR(VLOOKUP(BG1409,#REF!,1,0),"")</f>
        <v/>
      </c>
      <c r="AS1409" s="259" t="s">
        <v>3230</v>
      </c>
      <c r="BD1409" s="202" t="str">
        <f t="shared" si="200"/>
        <v>DBXV8 DBX 707</v>
      </c>
      <c r="BE1409" s="261" t="str">
        <f t="shared" si="206"/>
        <v>0257</v>
      </c>
      <c r="BF1409" s="407" t="s">
        <v>1901</v>
      </c>
      <c r="BG1409" s="202" t="str">
        <f t="shared" si="201"/>
        <v>0257-1408</v>
      </c>
    </row>
    <row r="1410" spans="1:59">
      <c r="A1410" s="405">
        <v>5184</v>
      </c>
      <c r="B1410" s="406">
        <v>5184</v>
      </c>
      <c r="C1410" s="261" t="str">
        <f t="shared" si="202"/>
        <v>0015-0257</v>
      </c>
      <c r="D1410" s="261" t="str">
        <f t="shared" si="203"/>
        <v>0015-0257-0002</v>
      </c>
      <c r="E1410" s="407" t="s">
        <v>1902</v>
      </c>
      <c r="F1410" s="261" t="str">
        <f>TEXT(VLOOKUP(J1410,'[3]1'!$B$2:$D$37,2,0),"0000")</f>
        <v>0015</v>
      </c>
      <c r="G1410" s="261" t="str">
        <f t="shared" si="204"/>
        <v>0257</v>
      </c>
      <c r="H1410" s="408">
        <f t="shared" si="205"/>
        <v>2</v>
      </c>
      <c r="I1410" s="407" t="s">
        <v>1902</v>
      </c>
      <c r="J1410" s="258" t="s">
        <v>1208</v>
      </c>
      <c r="K1410" s="258" t="s">
        <v>3589</v>
      </c>
      <c r="L1410" s="258" t="s">
        <v>3046</v>
      </c>
      <c r="M1410" s="409">
        <v>251200000</v>
      </c>
      <c r="N1410" s="258">
        <v>3982</v>
      </c>
      <c r="O1410" s="258" t="s">
        <v>77</v>
      </c>
      <c r="P1410" s="258" t="s">
        <v>73</v>
      </c>
      <c r="Q1410" s="258" t="s">
        <v>72</v>
      </c>
      <c r="R1410" s="258">
        <v>2</v>
      </c>
      <c r="S1410" s="410">
        <v>16</v>
      </c>
      <c r="T1410" s="261">
        <v>6</v>
      </c>
      <c r="U1410" s="261">
        <v>6</v>
      </c>
      <c r="V1410" s="258" t="s">
        <v>71</v>
      </c>
      <c r="W1410" s="261" t="str">
        <f t="shared" si="207"/>
        <v>Aston martinDBXV8251200000</v>
      </c>
      <c r="X1410" s="411">
        <f t="shared" si="208"/>
        <v>5184</v>
      </c>
      <c r="Y1410" s="261">
        <v>6</v>
      </c>
      <c r="Z1410" s="261">
        <v>6</v>
      </c>
      <c r="AA1410" s="407" t="s">
        <v>1902</v>
      </c>
      <c r="AB1410" s="258" t="s">
        <v>73</v>
      </c>
      <c r="AC1410" s="258"/>
      <c r="AD1410" s="258">
        <v>6</v>
      </c>
      <c r="AE1410" s="258">
        <v>0</v>
      </c>
      <c r="AF1410" s="259"/>
      <c r="AG1410" s="260"/>
      <c r="AH1410" s="259"/>
      <c r="AI1410" s="259"/>
      <c r="AJ1410" s="260"/>
      <c r="AK1410" s="259">
        <v>15</v>
      </c>
      <c r="AL1410" s="259"/>
      <c r="AM1410" s="259" t="s">
        <v>3664</v>
      </c>
      <c r="AN1410" s="449"/>
      <c r="AO1410" s="449"/>
      <c r="AP1410" s="449"/>
      <c r="AQ1410" s="392" t="str">
        <f>IFERROR(VLOOKUP(BG1410,#REF!,1,0),"")</f>
        <v/>
      </c>
      <c r="AS1410" s="259" t="s">
        <v>3230</v>
      </c>
      <c r="BD1410" s="202" t="str">
        <f t="shared" si="200"/>
        <v>DBXV8</v>
      </c>
      <c r="BE1410" s="261" t="str">
        <f t="shared" si="206"/>
        <v>0257</v>
      </c>
      <c r="BF1410" s="407" t="s">
        <v>1902</v>
      </c>
      <c r="BG1410" s="202" t="str">
        <f t="shared" si="201"/>
        <v>0257-1409</v>
      </c>
    </row>
    <row r="1411" spans="1:59">
      <c r="A1411" s="405">
        <v>5185</v>
      </c>
      <c r="B1411" s="406">
        <v>5185</v>
      </c>
      <c r="C1411" s="261" t="str">
        <f t="shared" si="202"/>
        <v>0015-0258</v>
      </c>
      <c r="D1411" s="261" t="str">
        <f t="shared" si="203"/>
        <v>0015-0258-0001</v>
      </c>
      <c r="E1411" s="407" t="s">
        <v>1903</v>
      </c>
      <c r="F1411" s="261" t="str">
        <f>TEXT(VLOOKUP(J1411,'[3]1'!$B$2:$D$37,2,0),"0000")</f>
        <v>0015</v>
      </c>
      <c r="G1411" s="261" t="str">
        <f t="shared" si="204"/>
        <v>0258</v>
      </c>
      <c r="H1411" s="408">
        <f t="shared" si="205"/>
        <v>1</v>
      </c>
      <c r="I1411" s="407" t="s">
        <v>1903</v>
      </c>
      <c r="J1411" s="258" t="s">
        <v>1208</v>
      </c>
      <c r="K1411" s="258" t="s">
        <v>3137</v>
      </c>
      <c r="L1411" s="258" t="s">
        <v>3591</v>
      </c>
      <c r="M1411" s="409">
        <v>419000000</v>
      </c>
      <c r="N1411" s="258">
        <v>5204</v>
      </c>
      <c r="O1411" s="258" t="s">
        <v>77</v>
      </c>
      <c r="P1411" s="258" t="s">
        <v>73</v>
      </c>
      <c r="Q1411" s="258" t="s">
        <v>72</v>
      </c>
      <c r="R1411" s="258">
        <v>2</v>
      </c>
      <c r="S1411" s="410">
        <v>20</v>
      </c>
      <c r="T1411" s="261">
        <v>6</v>
      </c>
      <c r="U1411" s="261">
        <v>6</v>
      </c>
      <c r="V1411" s="258" t="s">
        <v>71</v>
      </c>
      <c r="W1411" s="261" t="str">
        <f t="shared" si="207"/>
        <v>Aston martinDBSV12 볼란테419000000</v>
      </c>
      <c r="X1411" s="411">
        <f t="shared" si="208"/>
        <v>5185</v>
      </c>
      <c r="Y1411" s="261">
        <v>6</v>
      </c>
      <c r="Z1411" s="261">
        <v>6</v>
      </c>
      <c r="AA1411" s="407" t="s">
        <v>1903</v>
      </c>
      <c r="AB1411" s="258" t="s">
        <v>73</v>
      </c>
      <c r="AC1411" s="258"/>
      <c r="AD1411" s="258">
        <v>6</v>
      </c>
      <c r="AE1411" s="258">
        <v>0</v>
      </c>
      <c r="AF1411" s="259"/>
      <c r="AG1411" s="260"/>
      <c r="AH1411" s="259"/>
      <c r="AI1411" s="259"/>
      <c r="AJ1411" s="260"/>
      <c r="AK1411" s="259">
        <v>22</v>
      </c>
      <c r="AL1411" s="259"/>
      <c r="AM1411" s="259" t="s">
        <v>3671</v>
      </c>
      <c r="AN1411" s="449"/>
      <c r="AO1411" s="449"/>
      <c r="AP1411" s="449"/>
      <c r="AQ1411" s="392" t="str">
        <f>IFERROR(VLOOKUP(BG1411,#REF!,1,0),"")</f>
        <v/>
      </c>
      <c r="AS1411" s="259" t="s">
        <v>3234</v>
      </c>
      <c r="BD1411" s="202" t="str">
        <f t="shared" si="200"/>
        <v>DBSV12 볼란테</v>
      </c>
      <c r="BE1411" s="261" t="str">
        <f t="shared" si="206"/>
        <v>0258</v>
      </c>
      <c r="BF1411" s="407" t="s">
        <v>1903</v>
      </c>
      <c r="BG1411" s="202" t="str">
        <f t="shared" si="201"/>
        <v>0258-1410</v>
      </c>
    </row>
    <row r="1412" spans="1:59">
      <c r="A1412" s="405">
        <v>5186</v>
      </c>
      <c r="B1412" s="406">
        <v>5186</v>
      </c>
      <c r="C1412" s="261" t="str">
        <f t="shared" si="202"/>
        <v>0015-0258</v>
      </c>
      <c r="D1412" s="261" t="str">
        <f t="shared" si="203"/>
        <v>0015-0258-0002</v>
      </c>
      <c r="E1412" s="407" t="s">
        <v>1904</v>
      </c>
      <c r="F1412" s="261" t="str">
        <f>TEXT(VLOOKUP(J1412,'[3]1'!$B$2:$D$37,2,0),"0000")</f>
        <v>0015</v>
      </c>
      <c r="G1412" s="261" t="str">
        <f t="shared" si="204"/>
        <v>0258</v>
      </c>
      <c r="H1412" s="408">
        <f t="shared" si="205"/>
        <v>2</v>
      </c>
      <c r="I1412" s="407" t="s">
        <v>1904</v>
      </c>
      <c r="J1412" s="258" t="s">
        <v>1208</v>
      </c>
      <c r="K1412" s="258" t="s">
        <v>3137</v>
      </c>
      <c r="L1412" s="258" t="s">
        <v>1320</v>
      </c>
      <c r="M1412" s="409">
        <v>390750000</v>
      </c>
      <c r="N1412" s="258">
        <v>5204</v>
      </c>
      <c r="O1412" s="258" t="s">
        <v>77</v>
      </c>
      <c r="P1412" s="258" t="s">
        <v>73</v>
      </c>
      <c r="Q1412" s="258" t="s">
        <v>72</v>
      </c>
      <c r="R1412" s="258">
        <v>2</v>
      </c>
      <c r="S1412" s="410">
        <v>20</v>
      </c>
      <c r="T1412" s="261">
        <v>6</v>
      </c>
      <c r="U1412" s="261">
        <v>6</v>
      </c>
      <c r="V1412" s="258" t="s">
        <v>71</v>
      </c>
      <c r="W1412" s="261" t="str">
        <f t="shared" si="207"/>
        <v>Aston martinDBSSuperleggera390750000</v>
      </c>
      <c r="X1412" s="411">
        <f t="shared" si="208"/>
        <v>5186</v>
      </c>
      <c r="Y1412" s="261">
        <v>6</v>
      </c>
      <c r="Z1412" s="261">
        <v>6</v>
      </c>
      <c r="AA1412" s="407" t="s">
        <v>1904</v>
      </c>
      <c r="AB1412" s="258" t="s">
        <v>73</v>
      </c>
      <c r="AC1412" s="258"/>
      <c r="AD1412" s="258">
        <v>6</v>
      </c>
      <c r="AE1412" s="258">
        <v>0</v>
      </c>
      <c r="AF1412" s="259"/>
      <c r="AG1412" s="260"/>
      <c r="AH1412" s="259"/>
      <c r="AI1412" s="259"/>
      <c r="AJ1412" s="260"/>
      <c r="AK1412" s="259">
        <v>22</v>
      </c>
      <c r="AL1412" s="259"/>
      <c r="AM1412" s="259" t="s">
        <v>3671</v>
      </c>
      <c r="AN1412" s="449"/>
      <c r="AO1412" s="449"/>
      <c r="AP1412" s="449"/>
      <c r="AQ1412" s="392" t="str">
        <f>IFERROR(VLOOKUP(BG1412,#REF!,1,0),"")</f>
        <v/>
      </c>
      <c r="AS1412" s="259" t="s">
        <v>3234</v>
      </c>
      <c r="BD1412" s="202" t="str">
        <f t="shared" si="200"/>
        <v>DBSSuperleggera</v>
      </c>
      <c r="BE1412" s="261" t="str">
        <f t="shared" si="206"/>
        <v>0258</v>
      </c>
      <c r="BF1412" s="407" t="s">
        <v>1904</v>
      </c>
      <c r="BG1412" s="202" t="str">
        <f t="shared" si="201"/>
        <v>0258-1411</v>
      </c>
    </row>
    <row r="1413" spans="1:59">
      <c r="A1413" s="405">
        <v>5187</v>
      </c>
      <c r="B1413" s="406">
        <v>5187</v>
      </c>
      <c r="C1413" s="261" t="str">
        <f t="shared" si="202"/>
        <v>0015-0259</v>
      </c>
      <c r="D1413" s="261" t="str">
        <f t="shared" si="203"/>
        <v>0015-0259-0001</v>
      </c>
      <c r="E1413" s="407" t="s">
        <v>1905</v>
      </c>
      <c r="F1413" s="261" t="str">
        <f>TEXT(VLOOKUP(J1413,'[3]1'!$B$2:$D$37,2,0),"0000")</f>
        <v>0015</v>
      </c>
      <c r="G1413" s="261" t="str">
        <f t="shared" si="204"/>
        <v>0259</v>
      </c>
      <c r="H1413" s="408">
        <f t="shared" si="205"/>
        <v>1</v>
      </c>
      <c r="I1413" s="407" t="s">
        <v>1905</v>
      </c>
      <c r="J1413" s="258" t="s">
        <v>1208</v>
      </c>
      <c r="K1413" s="258" t="s">
        <v>3143</v>
      </c>
      <c r="L1413" s="258" t="s">
        <v>1213</v>
      </c>
      <c r="M1413" s="409">
        <v>198000000</v>
      </c>
      <c r="N1413" s="258">
        <v>3982</v>
      </c>
      <c r="O1413" s="258" t="s">
        <v>77</v>
      </c>
      <c r="P1413" s="258" t="s">
        <v>73</v>
      </c>
      <c r="Q1413" s="258" t="s">
        <v>72</v>
      </c>
      <c r="R1413" s="258">
        <v>2</v>
      </c>
      <c r="S1413" s="410">
        <v>16</v>
      </c>
      <c r="T1413" s="261">
        <v>6</v>
      </c>
      <c r="U1413" s="261">
        <v>6</v>
      </c>
      <c r="V1413" s="258" t="s">
        <v>71</v>
      </c>
      <c r="W1413" s="261" t="str">
        <f t="shared" si="207"/>
        <v>Aston martin밴티지V8 쿠페 198000000</v>
      </c>
      <c r="X1413" s="411">
        <f t="shared" si="208"/>
        <v>5187</v>
      </c>
      <c r="Y1413" s="261">
        <v>6</v>
      </c>
      <c r="Z1413" s="261">
        <v>6</v>
      </c>
      <c r="AA1413" s="407" t="s">
        <v>1905</v>
      </c>
      <c r="AB1413" s="258" t="s">
        <v>73</v>
      </c>
      <c r="AC1413" s="258"/>
      <c r="AD1413" s="258">
        <v>6</v>
      </c>
      <c r="AE1413" s="258">
        <v>0</v>
      </c>
      <c r="AF1413" s="259"/>
      <c r="AG1413" s="260"/>
      <c r="AH1413" s="259"/>
      <c r="AI1413" s="259"/>
      <c r="AJ1413" s="260"/>
      <c r="AK1413" s="259">
        <v>22</v>
      </c>
      <c r="AL1413" s="259"/>
      <c r="AM1413" s="259" t="s">
        <v>3671</v>
      </c>
      <c r="AN1413" s="449"/>
      <c r="AO1413" s="449"/>
      <c r="AP1413" s="449"/>
      <c r="AQ1413" s="392" t="str">
        <f>IFERROR(VLOOKUP(BG1413,#REF!,1,0),"")</f>
        <v/>
      </c>
      <c r="AS1413" s="259" t="s">
        <v>3230</v>
      </c>
      <c r="BD1413" s="202" t="str">
        <f t="shared" ref="BD1413" si="209">K1413&amp;L1413</f>
        <v xml:space="preserve">밴티지V8 쿠페 </v>
      </c>
      <c r="BE1413" s="261" t="str">
        <f t="shared" si="206"/>
        <v>0259</v>
      </c>
      <c r="BF1413" s="407" t="s">
        <v>1905</v>
      </c>
      <c r="BG1413" s="202" t="str">
        <f t="shared" ref="BG1413" si="210">BE1413&amp;"-"&amp;BF1413</f>
        <v>0259-1412</v>
      </c>
    </row>
    <row r="1414" spans="1:59">
      <c r="AK1414" s="621" t="s">
        <v>1148</v>
      </c>
    </row>
    <row r="1416" spans="1:59">
      <c r="M1416" s="439" t="s">
        <v>3779</v>
      </c>
      <c r="N1416" s="249" t="s">
        <v>3406</v>
      </c>
    </row>
    <row r="1427" spans="11:12">
      <c r="L1427" s="249" t="s">
        <v>3132</v>
      </c>
    </row>
    <row r="1429" spans="11:12">
      <c r="K1429" s="249" t="s">
        <v>3134</v>
      </c>
    </row>
    <row r="1431" spans="11:12">
      <c r="L1431" s="249" t="s">
        <v>3133</v>
      </c>
    </row>
  </sheetData>
  <mergeCells count="1">
    <mergeCell ref="C1:I1"/>
  </mergeCells>
  <phoneticPr fontId="2" type="noConversion"/>
  <conditionalFormatting sqref="B1:B1048576">
    <cfRule type="duplicateValues" dxfId="1" priority="670"/>
  </conditionalFormatting>
  <conditionalFormatting sqref="B2:B1413">
    <cfRule type="duplicateValues" dxfId="0" priority="213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43" workbookViewId="0">
      <selection activeCell="H13" sqref="H13"/>
    </sheetView>
  </sheetViews>
  <sheetFormatPr defaultRowHeight="16.5"/>
  <cols>
    <col min="1" max="1" width="14.25" bestFit="1" customWidth="1"/>
    <col min="2" max="2" width="39.125" bestFit="1" customWidth="1"/>
  </cols>
  <sheetData>
    <row r="1" spans="1:9">
      <c r="A1" s="401" t="s">
        <v>1105</v>
      </c>
      <c r="B1" s="401" t="s">
        <v>3088</v>
      </c>
    </row>
    <row r="2" spans="1:9">
      <c r="A2" s="1" t="s">
        <v>2831</v>
      </c>
      <c r="B2" s="267" t="s">
        <v>3429</v>
      </c>
      <c r="C2" t="str">
        <f>VLOOKUP(A2,차량가!$K$2:$BE$1413,46,0)</f>
        <v>E-ClassE200 Avantgarde</v>
      </c>
      <c r="D2" t="str">
        <f>VLOOKUP(B2,차량가!$L$2:$AA$1413,16,0)</f>
        <v>0994</v>
      </c>
      <c r="E2" t="str">
        <f>VLOOKUP($D2,차량가!$I$2:$L$1413,3,0)</f>
        <v>E-Class</v>
      </c>
      <c r="F2" t="str">
        <f>VLOOKUP($D2,차량가!$I$2:$L$1413,4,0)</f>
        <v>E200 Avantgarde</v>
      </c>
      <c r="G2" s="1" t="str">
        <f>IF(AND(A2=E2,B2=F2),"o","x")</f>
        <v>o</v>
      </c>
      <c r="H2" s="608" t="s">
        <v>3520</v>
      </c>
      <c r="I2" s="609">
        <v>5.0000000000000031E-2</v>
      </c>
    </row>
    <row r="3" spans="1:9">
      <c r="A3" s="1" t="s">
        <v>2831</v>
      </c>
      <c r="B3" s="267" t="s">
        <v>3430</v>
      </c>
      <c r="C3" t="str">
        <f>VLOOKUP(A3,차량가!$K$2:$BE$1413,46,0)</f>
        <v>E-ClassE200 Avantgarde</v>
      </c>
      <c r="D3" t="str">
        <f>VLOOKUP(B3,차량가!$L$2:$AA$1413,16,0)</f>
        <v>0995</v>
      </c>
      <c r="E3" t="str">
        <f>VLOOKUP($D3,차량가!$I$2:$L$1413,3,0)</f>
        <v>E-Class</v>
      </c>
      <c r="F3" t="str">
        <f>VLOOKUP($D3,차량가!$I$2:$L$1413,4,0)</f>
        <v>E220d 4MATIC Exclusive</v>
      </c>
      <c r="G3" s="1" t="str">
        <f t="shared" ref="G3:G52" si="0">IF(AND(A3=E3,B3=F3),"o","x")</f>
        <v>o</v>
      </c>
      <c r="H3" s="608" t="s">
        <v>3520</v>
      </c>
      <c r="I3" s="609">
        <v>5.0000000000000031E-2</v>
      </c>
    </row>
    <row r="4" spans="1:9">
      <c r="A4" s="1" t="s">
        <v>2831</v>
      </c>
      <c r="B4" s="267" t="s">
        <v>3519</v>
      </c>
      <c r="C4" t="str">
        <f>VLOOKUP(A4,차량가!$K$2:$BE$1413,46,0)</f>
        <v>E-ClassE200 Avantgarde</v>
      </c>
      <c r="D4" t="str">
        <f>VLOOKUP(B4,차량가!$L$2:$AA$1413,16,0)</f>
        <v>0997</v>
      </c>
      <c r="E4" t="str">
        <f>VLOOKUP($D4,차량가!$I$2:$L$1413,3,0)</f>
        <v>E-Class</v>
      </c>
      <c r="F4" t="str">
        <f>VLOOKUP($D4,차량가!$I$2:$L$1413,4,0)</f>
        <v>E300 4MATIC Exclusive</v>
      </c>
      <c r="G4" s="1" t="str">
        <f t="shared" si="0"/>
        <v>o</v>
      </c>
      <c r="H4" s="608" t="s">
        <v>3520</v>
      </c>
      <c r="I4" s="609">
        <v>3.0000000000000068E-2</v>
      </c>
    </row>
    <row r="5" spans="1:9">
      <c r="A5" s="1" t="s">
        <v>2831</v>
      </c>
      <c r="B5" s="267" t="s">
        <v>1911</v>
      </c>
      <c r="C5" t="str">
        <f>VLOOKUP(A5,차량가!$K$2:$BE$1413,46,0)</f>
        <v>E-ClassE200 Avantgarde</v>
      </c>
      <c r="D5" t="str">
        <f>VLOOKUP(B5,차량가!$L$2:$AA$1413,16,0)</f>
        <v>0998</v>
      </c>
      <c r="E5" t="str">
        <f>VLOOKUP($D5,차량가!$I$2:$L$1413,3,0)</f>
        <v>E-Class</v>
      </c>
      <c r="F5" t="str">
        <f>VLOOKUP($D5,차량가!$I$2:$L$1413,4,0)</f>
        <v>E300 4matic AMG Line</v>
      </c>
      <c r="G5" s="1" t="str">
        <f t="shared" si="0"/>
        <v>o</v>
      </c>
      <c r="H5" s="608" t="s">
        <v>3520</v>
      </c>
      <c r="I5" s="609">
        <v>3.0000000000000068E-2</v>
      </c>
    </row>
    <row r="6" spans="1:9">
      <c r="A6" s="1" t="s">
        <v>2831</v>
      </c>
      <c r="B6" s="307" t="s">
        <v>1372</v>
      </c>
      <c r="C6" t="str">
        <f>VLOOKUP(A6,차량가!$K$2:$BE$1413,46,0)</f>
        <v>E-ClassE200 Avantgarde</v>
      </c>
      <c r="D6" t="str">
        <f>VLOOKUP(B6,차량가!$L$2:$AA$1413,16,0)</f>
        <v>1002</v>
      </c>
      <c r="E6" t="str">
        <f>VLOOKUP($D6,차량가!$I$2:$L$1413,3,0)</f>
        <v>E-Class</v>
      </c>
      <c r="F6" t="str">
        <f>VLOOKUP($D6,차량가!$I$2:$L$1413,4,0)</f>
        <v>E450 4MATIC Exclusive</v>
      </c>
      <c r="G6" s="1" t="str">
        <f t="shared" si="0"/>
        <v>o</v>
      </c>
      <c r="H6" s="608" t="s">
        <v>3520</v>
      </c>
      <c r="I6" s="609">
        <v>2.0000000000000004E-2</v>
      </c>
    </row>
    <row r="7" spans="1:9">
      <c r="A7" s="260" t="s">
        <v>116</v>
      </c>
      <c r="B7" s="307" t="s">
        <v>1415</v>
      </c>
      <c r="C7" t="str">
        <f>VLOOKUP(A7,차량가!$K$2:$BE$1413,46,0)</f>
        <v>GLE-Class300d 4Matic</v>
      </c>
      <c r="D7" t="str">
        <f>VLOOKUP(B7,차량가!$L$2:$AA$1413,16,0)</f>
        <v>1040</v>
      </c>
      <c r="E7" t="str">
        <f>VLOOKUP($D7,차량가!$I$2:$L$1413,3,0)</f>
        <v>GLE-Class</v>
      </c>
      <c r="F7" t="str">
        <f>VLOOKUP($D7,차량가!$I$2:$L$1413,4,0)</f>
        <v>300d 4Matic</v>
      </c>
      <c r="G7" s="1" t="str">
        <f t="shared" si="0"/>
        <v>o</v>
      </c>
      <c r="H7" s="608" t="s">
        <v>3520</v>
      </c>
      <c r="I7" s="609">
        <v>0.10000000000000003</v>
      </c>
    </row>
    <row r="8" spans="1:9">
      <c r="A8" s="260" t="s">
        <v>116</v>
      </c>
      <c r="B8" s="307" t="s">
        <v>3492</v>
      </c>
      <c r="C8" t="str">
        <f>VLOOKUP(A8,차량가!$K$2:$BE$1413,46,0)</f>
        <v>GLE-Class300d 4Matic</v>
      </c>
      <c r="D8" t="str">
        <f>VLOOKUP(B8,차량가!$L$2:$AA$1413,16,0)</f>
        <v>1041</v>
      </c>
      <c r="E8" t="str">
        <f>VLOOKUP($D8,차량가!$I$2:$L$1413,3,0)</f>
        <v>GLE-Class</v>
      </c>
      <c r="F8" t="str">
        <f>VLOOKUP($D8,차량가!$I$2:$L$1413,4,0)</f>
        <v>GLE 400e 4matic Coupe</v>
      </c>
      <c r="G8" s="1" t="str">
        <f t="shared" si="0"/>
        <v>o</v>
      </c>
      <c r="H8" s="608" t="s">
        <v>3520</v>
      </c>
      <c r="I8" s="609">
        <v>4.0000000000000036E-2</v>
      </c>
    </row>
    <row r="9" spans="1:9">
      <c r="A9" s="260" t="s">
        <v>116</v>
      </c>
      <c r="B9" s="307" t="s">
        <v>1416</v>
      </c>
      <c r="C9" t="str">
        <f>VLOOKUP(A9,차량가!$K$2:$BE$1413,46,0)</f>
        <v>GLE-Class300d 4Matic</v>
      </c>
      <c r="D9" t="str">
        <f>VLOOKUP(B9,차량가!$L$2:$AA$1413,16,0)</f>
        <v>1042</v>
      </c>
      <c r="E9" t="str">
        <f>VLOOKUP($D9,차량가!$I$2:$L$1413,3,0)</f>
        <v>GLE-Class</v>
      </c>
      <c r="F9" t="str">
        <f>VLOOKUP($D9,차량가!$I$2:$L$1413,4,0)</f>
        <v>450 4Matic</v>
      </c>
      <c r="G9" s="1" t="str">
        <f t="shared" si="0"/>
        <v>o</v>
      </c>
      <c r="H9" s="608" t="s">
        <v>3520</v>
      </c>
      <c r="I9" s="609">
        <v>0.10000000000000003</v>
      </c>
    </row>
    <row r="10" spans="1:9">
      <c r="A10" s="260" t="s">
        <v>116</v>
      </c>
      <c r="B10" s="422" t="s">
        <v>3493</v>
      </c>
      <c r="C10" t="str">
        <f>VLOOKUP(A10,차량가!$K$2:$BE$1413,46,0)</f>
        <v>GLE-Class300d 4Matic</v>
      </c>
      <c r="D10" t="e">
        <f>VLOOKUP(B10,차량가!$L$2:$AA$1413,16,0)</f>
        <v>#N/A</v>
      </c>
      <c r="E10" t="e">
        <f>VLOOKUP($D10,차량가!$I$2:$L$1413,3,0)</f>
        <v>#N/A</v>
      </c>
      <c r="F10" t="e">
        <f>VLOOKUP($D10,차량가!$I$2:$L$1413,4,0)</f>
        <v>#N/A</v>
      </c>
      <c r="G10" s="1" t="e">
        <f t="shared" si="0"/>
        <v>#N/A</v>
      </c>
      <c r="H10" s="608" t="s">
        <v>3520</v>
      </c>
      <c r="I10" s="609">
        <v>0.10000000000000003</v>
      </c>
    </row>
    <row r="11" spans="1:9">
      <c r="A11" s="260" t="s">
        <v>116</v>
      </c>
      <c r="B11" s="422" t="s">
        <v>3328</v>
      </c>
      <c r="C11" t="str">
        <f>VLOOKUP(A11,차량가!$K$2:$BE$1413,46,0)</f>
        <v>GLE-Class300d 4Matic</v>
      </c>
      <c r="D11" t="str">
        <f>VLOOKUP(B11,차량가!$L$2:$AA$1413,16,0)</f>
        <v>1043</v>
      </c>
      <c r="E11" t="str">
        <f>VLOOKUP($D11,차량가!$I$2:$L$1413,3,0)</f>
        <v>GLE-Class</v>
      </c>
      <c r="F11" t="str">
        <f>VLOOKUP($D11,차량가!$I$2:$L$1413,4,0)</f>
        <v>450d 4Matic Coupe</v>
      </c>
      <c r="G11" s="1" t="str">
        <f t="shared" si="0"/>
        <v>o</v>
      </c>
      <c r="H11" s="608" t="s">
        <v>3520</v>
      </c>
      <c r="I11" s="609">
        <v>0.10000000000000003</v>
      </c>
    </row>
    <row r="12" spans="1:9">
      <c r="A12" s="260" t="s">
        <v>116</v>
      </c>
      <c r="B12" s="422" t="s">
        <v>2867</v>
      </c>
      <c r="C12" t="str">
        <f>VLOOKUP(A12,차량가!$K$2:$BE$1413,46,0)</f>
        <v>GLE-Class300d 4Matic</v>
      </c>
      <c r="D12" t="e">
        <f>VLOOKUP(B12,차량가!$L$2:$AA$1413,16,0)</f>
        <v>#N/A</v>
      </c>
      <c r="E12" t="e">
        <f>VLOOKUP($D12,차량가!$I$2:$L$1413,3,0)</f>
        <v>#N/A</v>
      </c>
      <c r="F12" t="e">
        <f>VLOOKUP($D12,차량가!$I$2:$L$1413,4,0)</f>
        <v>#N/A</v>
      </c>
      <c r="G12" s="1" t="e">
        <f t="shared" si="0"/>
        <v>#N/A</v>
      </c>
      <c r="H12" s="608" t="s">
        <v>3520</v>
      </c>
      <c r="I12" s="609">
        <v>2.9999999999999971E-2</v>
      </c>
    </row>
    <row r="13" spans="1:9">
      <c r="A13" s="260" t="s">
        <v>116</v>
      </c>
      <c r="B13" s="422" t="s">
        <v>2898</v>
      </c>
      <c r="C13" t="str">
        <f>VLOOKUP(A13,차량가!$K$2:$BE$1413,46,0)</f>
        <v>GLE-Class300d 4Matic</v>
      </c>
      <c r="D13" t="e">
        <f>VLOOKUP(B13,차량가!$L$2:$AA$1413,16,0)</f>
        <v>#N/A</v>
      </c>
      <c r="E13" t="e">
        <f>VLOOKUP($D13,차량가!$I$2:$L$1413,3,0)</f>
        <v>#N/A</v>
      </c>
      <c r="F13" t="e">
        <f>VLOOKUP($D13,차량가!$I$2:$L$1413,4,0)</f>
        <v>#N/A</v>
      </c>
      <c r="G13" s="1" t="e">
        <f t="shared" si="0"/>
        <v>#N/A</v>
      </c>
      <c r="H13" s="608" t="s">
        <v>3520</v>
      </c>
      <c r="I13" s="609">
        <v>3.999999999999998E-2</v>
      </c>
    </row>
    <row r="14" spans="1:9">
      <c r="A14" s="260" t="s">
        <v>115</v>
      </c>
      <c r="B14" s="422" t="s">
        <v>2024</v>
      </c>
      <c r="C14" t="str">
        <f>VLOOKUP(A14,차량가!$K$2:$BE$1413,46,0)</f>
        <v>GLS-ClassGLS 400d 4matic</v>
      </c>
      <c r="D14" t="str">
        <f>VLOOKUP(B14,차량가!$L$2:$AA$1413,16,0)</f>
        <v>1046</v>
      </c>
      <c r="E14" t="str">
        <f>VLOOKUP($D14,차량가!$I$2:$L$1413,3,0)</f>
        <v>GLS-Class</v>
      </c>
      <c r="F14" t="str">
        <f>VLOOKUP($D14,차량가!$I$2:$L$1413,4,0)</f>
        <v>GLS 400d 4matic</v>
      </c>
      <c r="G14" s="1" t="str">
        <f t="shared" si="0"/>
        <v>o</v>
      </c>
      <c r="H14" s="608" t="s">
        <v>3520</v>
      </c>
      <c r="I14" s="609">
        <v>3.0000000000000027E-2</v>
      </c>
    </row>
    <row r="15" spans="1:9">
      <c r="A15" s="260" t="s">
        <v>115</v>
      </c>
      <c r="B15" s="422" t="s">
        <v>2025</v>
      </c>
      <c r="C15" t="str">
        <f>VLOOKUP(A15,차량가!$K$2:$BE$1413,46,0)</f>
        <v>GLS-ClassGLS 400d 4matic</v>
      </c>
      <c r="D15" t="str">
        <f>VLOOKUP(B15,차량가!$L$2:$AA$1413,16,0)</f>
        <v>1048</v>
      </c>
      <c r="E15" t="str">
        <f>VLOOKUP($D15,차량가!$I$2:$L$1413,3,0)</f>
        <v>GLS-Class</v>
      </c>
      <c r="F15" t="str">
        <f>VLOOKUP($D15,차량가!$I$2:$L$1413,4,0)</f>
        <v>GLS 580 4Matic</v>
      </c>
      <c r="G15" s="1" t="str">
        <f t="shared" si="0"/>
        <v>o</v>
      </c>
      <c r="H15" s="608" t="s">
        <v>3520</v>
      </c>
      <c r="I15" s="609">
        <v>2.0000000000000018E-2</v>
      </c>
    </row>
    <row r="16" spans="1:9">
      <c r="A16" s="260" t="s">
        <v>115</v>
      </c>
      <c r="B16" s="422" t="s">
        <v>3335</v>
      </c>
      <c r="C16" t="str">
        <f>VLOOKUP(A16,차량가!$K$2:$BE$1413,46,0)</f>
        <v>GLS-ClassGLS 400d 4matic</v>
      </c>
      <c r="D16" t="str">
        <f>VLOOKUP(B16,차량가!$L$2:$AA$1413,16,0)</f>
        <v>1047</v>
      </c>
      <c r="E16" t="str">
        <f>VLOOKUP($D16,차량가!$I$2:$L$1413,3,0)</f>
        <v>GLS-Class</v>
      </c>
      <c r="F16" t="str">
        <f>VLOOKUP($D16,차량가!$I$2:$L$1413,4,0)</f>
        <v>GLS 450d 4matic</v>
      </c>
      <c r="G16" s="1" t="str">
        <f t="shared" si="0"/>
        <v>o</v>
      </c>
      <c r="H16" s="608" t="s">
        <v>3520</v>
      </c>
      <c r="I16" s="609">
        <v>2.0000000000000018E-2</v>
      </c>
    </row>
    <row r="17" spans="1:9">
      <c r="A17" s="260" t="s">
        <v>3095</v>
      </c>
      <c r="B17" s="307" t="s">
        <v>3096</v>
      </c>
      <c r="C17" t="str">
        <f>VLOOKUP(A17,차량가!$K$2:$BE$1413,46,0)</f>
        <v>마이바흐 GLSGLS 600 4matic</v>
      </c>
      <c r="D17" t="str">
        <f>VLOOKUP(B17,차량가!$L$2:$AA$1413,16,0)</f>
        <v>1060</v>
      </c>
      <c r="E17" t="str">
        <f>VLOOKUP($D17,차량가!$I$2:$L$1413,3,0)</f>
        <v>마이바흐 GLS</v>
      </c>
      <c r="F17" t="str">
        <f>VLOOKUP($D17,차량가!$I$2:$L$1413,4,0)</f>
        <v>GLS 600 4matic</v>
      </c>
      <c r="G17" s="1" t="str">
        <f t="shared" si="0"/>
        <v>o</v>
      </c>
      <c r="H17" s="608" t="s">
        <v>3520</v>
      </c>
      <c r="I17" s="609">
        <v>0.06</v>
      </c>
    </row>
    <row r="18" spans="1:9">
      <c r="A18" s="260" t="s">
        <v>3095</v>
      </c>
      <c r="B18" s="307" t="s">
        <v>3494</v>
      </c>
      <c r="C18" t="str">
        <f>VLOOKUP(A18,차량가!$K$2:$BE$1413,46,0)</f>
        <v>마이바흐 GLSGLS 600 4matic</v>
      </c>
      <c r="D18" t="str">
        <f>VLOOKUP(B18,차량가!$L$2:$AA$1413,16,0)</f>
        <v>1061</v>
      </c>
      <c r="E18" t="str">
        <f>VLOOKUP($D18,차량가!$I$2:$L$1413,3,0)</f>
        <v>마이바흐 GLS</v>
      </c>
      <c r="F18" t="str">
        <f>VLOOKUP($D18,차량가!$I$2:$L$1413,4,0)</f>
        <v>GLS 600 4Matic Manufaktur</v>
      </c>
      <c r="G18" s="1" t="str">
        <f t="shared" si="0"/>
        <v>o</v>
      </c>
      <c r="H18" s="608" t="s">
        <v>3520</v>
      </c>
      <c r="I18" s="609">
        <v>0.06</v>
      </c>
    </row>
    <row r="19" spans="1:9">
      <c r="A19" s="260" t="s">
        <v>122</v>
      </c>
      <c r="B19" s="267" t="s">
        <v>2889</v>
      </c>
      <c r="C19" t="str">
        <f>VLOOKUP(A19,차량가!$K$2:$BE$1413,46,0)</f>
        <v>G-ClassG 400d</v>
      </c>
      <c r="D19" t="str">
        <f>VLOOKUP(B19,차량가!$L$2:$AA$1413,16,0)</f>
        <v>1026</v>
      </c>
      <c r="E19" t="str">
        <f>VLOOKUP($D19,차량가!$I$2:$L$1413,3,0)</f>
        <v>G-Class</v>
      </c>
      <c r="F19" t="str">
        <f>VLOOKUP($D19,차량가!$I$2:$L$1413,4,0)</f>
        <v>G 400d</v>
      </c>
      <c r="G19" s="1" t="str">
        <f t="shared" si="0"/>
        <v>o</v>
      </c>
      <c r="H19" s="608" t="s">
        <v>3520</v>
      </c>
      <c r="I19" s="609">
        <v>3.0000000000000027E-2</v>
      </c>
    </row>
    <row r="20" spans="1:9">
      <c r="A20" s="260" t="s">
        <v>122</v>
      </c>
      <c r="B20" s="267" t="s">
        <v>121</v>
      </c>
      <c r="C20" t="str">
        <f>VLOOKUP(A20,차량가!$K$2:$BE$1413,46,0)</f>
        <v>G-ClassG 400d</v>
      </c>
      <c r="D20" t="str">
        <f>VLOOKUP(B20,차량가!$L$2:$AA$1413,16,0)</f>
        <v>1027</v>
      </c>
      <c r="E20" t="str">
        <f>VLOOKUP($D20,차량가!$I$2:$L$1413,3,0)</f>
        <v>G-Class</v>
      </c>
      <c r="F20" t="str">
        <f>VLOOKUP($D20,차량가!$I$2:$L$1413,4,0)</f>
        <v>G 63 AMG</v>
      </c>
      <c r="G20" s="1" t="str">
        <f t="shared" si="0"/>
        <v>o</v>
      </c>
      <c r="H20" s="608" t="s">
        <v>3520</v>
      </c>
      <c r="I20" s="609">
        <v>2.0000000000000018E-2</v>
      </c>
    </row>
    <row r="21" spans="1:9">
      <c r="A21" s="260" t="s">
        <v>122</v>
      </c>
      <c r="B21" s="607" t="s">
        <v>1414</v>
      </c>
      <c r="C21" t="str">
        <f>VLOOKUP(A21,차량가!$K$2:$BE$1413,46,0)</f>
        <v>G-ClassG 400d</v>
      </c>
      <c r="D21" t="e">
        <f>VLOOKUP(B21,차량가!$L$2:$AA$1413,16,0)</f>
        <v>#N/A</v>
      </c>
      <c r="E21" t="e">
        <f>VLOOKUP($D21,차량가!$I$2:$L$1413,3,0)</f>
        <v>#N/A</v>
      </c>
      <c r="F21" t="e">
        <f>VLOOKUP($D21,차량가!$I$2:$L$1413,4,0)</f>
        <v>#N/A</v>
      </c>
      <c r="G21" s="1" t="e">
        <f t="shared" si="0"/>
        <v>#N/A</v>
      </c>
      <c r="H21" s="608" t="s">
        <v>3520</v>
      </c>
      <c r="I21" s="609">
        <v>2.0000000000000018E-2</v>
      </c>
    </row>
    <row r="22" spans="1:9">
      <c r="A22" s="260" t="s">
        <v>118</v>
      </c>
      <c r="B22" s="307" t="s">
        <v>1919</v>
      </c>
      <c r="C22" t="str">
        <f>VLOOKUP(A22,차량가!$K$2:$BE$1413,46,0)</f>
        <v>GLC-Class220d 4MATIC</v>
      </c>
      <c r="D22" t="str">
        <f>VLOOKUP(B22,차량가!$L$2:$AA$1413,16,0)</f>
        <v>1033</v>
      </c>
      <c r="E22" t="str">
        <f>VLOOKUP($D22,차량가!$I$2:$L$1413,3,0)</f>
        <v>GLC-Class</v>
      </c>
      <c r="F22" t="str">
        <f>VLOOKUP($D22,차량가!$I$2:$L$1413,4,0)</f>
        <v>220d 4MATIC</v>
      </c>
      <c r="G22" s="1" t="str">
        <f t="shared" si="0"/>
        <v>o</v>
      </c>
      <c r="H22" s="608" t="s">
        <v>3520</v>
      </c>
      <c r="I22" s="609">
        <v>1.0000000000000009E-2</v>
      </c>
    </row>
    <row r="23" spans="1:9">
      <c r="A23" s="260" t="s">
        <v>1223</v>
      </c>
      <c r="B23" s="267" t="s">
        <v>1921</v>
      </c>
      <c r="C23" t="e">
        <f>VLOOKUP(A23,차량가!$K$2:$BE$1413,46,0)</f>
        <v>#N/A</v>
      </c>
      <c r="D23" t="str">
        <f>VLOOKUP(B23,차량가!$L$2:$AA$1413,16,0)</f>
        <v>1035</v>
      </c>
      <c r="E23" t="str">
        <f>VLOOKUP($D23,차량가!$I$2:$L$1413,3,0)</f>
        <v>GLC-Class</v>
      </c>
      <c r="F23" t="str">
        <f>VLOOKUP($D23,차량가!$I$2:$L$1413,4,0)</f>
        <v>220d 4Matic Coupe</v>
      </c>
      <c r="G23" s="1" t="str">
        <f t="shared" si="0"/>
        <v>x</v>
      </c>
      <c r="H23" s="608" t="s">
        <v>3520</v>
      </c>
      <c r="I23" s="609">
        <v>1.0000000000000009E-2</v>
      </c>
    </row>
    <row r="24" spans="1:9">
      <c r="A24" s="260" t="s">
        <v>118</v>
      </c>
      <c r="B24" s="307" t="s">
        <v>1374</v>
      </c>
      <c r="C24" t="str">
        <f>VLOOKUP(A24,차량가!$K$2:$BE$1413,46,0)</f>
        <v>GLC-Class220d 4MATIC</v>
      </c>
      <c r="D24" t="str">
        <f>VLOOKUP(B24,차량가!$L$2:$AA$1413,16,0)</f>
        <v>1034</v>
      </c>
      <c r="E24" t="str">
        <f>VLOOKUP($D24,차량가!$I$2:$L$1413,3,0)</f>
        <v>GLC-Class</v>
      </c>
      <c r="F24" t="str">
        <f>VLOOKUP($D24,차량가!$I$2:$L$1413,4,0)</f>
        <v>300 4MATIC</v>
      </c>
      <c r="G24" s="1" t="str">
        <f t="shared" si="0"/>
        <v>o</v>
      </c>
      <c r="H24" s="608" t="s">
        <v>3520</v>
      </c>
      <c r="I24" s="609">
        <v>1.0000000000000009E-2</v>
      </c>
    </row>
    <row r="25" spans="1:9">
      <c r="A25" s="260" t="s">
        <v>1223</v>
      </c>
      <c r="B25" s="267" t="s">
        <v>1307</v>
      </c>
      <c r="C25" t="e">
        <f>VLOOKUP(A25,차량가!$K$2:$BE$1413,46,0)</f>
        <v>#N/A</v>
      </c>
      <c r="D25" t="str">
        <f>VLOOKUP(B25,차량가!$L$2:$AA$1413,16,0)</f>
        <v>1036</v>
      </c>
      <c r="E25" t="str">
        <f>VLOOKUP($D25,차량가!$I$2:$L$1413,3,0)</f>
        <v>GLC-Class</v>
      </c>
      <c r="F25" t="str">
        <f>VLOOKUP($D25,차량가!$I$2:$L$1413,4,0)</f>
        <v>300 4Matic Coupe</v>
      </c>
      <c r="G25" s="1" t="str">
        <f t="shared" si="0"/>
        <v>x</v>
      </c>
      <c r="H25" s="608" t="s">
        <v>3520</v>
      </c>
      <c r="I25" s="609">
        <v>1.0000000000000009E-2</v>
      </c>
    </row>
    <row r="26" spans="1:9">
      <c r="A26" s="260" t="s">
        <v>118</v>
      </c>
      <c r="B26" s="267" t="s">
        <v>3104</v>
      </c>
      <c r="C26" t="str">
        <f>VLOOKUP(A26,차량가!$K$2:$BE$1413,46,0)</f>
        <v>GLC-Class220d 4MATIC</v>
      </c>
      <c r="D26" t="e">
        <f>VLOOKUP(B26,차량가!$L$2:$AA$1413,16,0)</f>
        <v>#N/A</v>
      </c>
      <c r="E26" t="e">
        <f>VLOOKUP($D26,차량가!$I$2:$L$1413,3,0)</f>
        <v>#N/A</v>
      </c>
      <c r="F26" t="e">
        <f>VLOOKUP($D26,차량가!$I$2:$L$1413,4,0)</f>
        <v>#N/A</v>
      </c>
      <c r="G26" s="1" t="e">
        <f t="shared" si="0"/>
        <v>#N/A</v>
      </c>
      <c r="H26" s="608" t="s">
        <v>3520</v>
      </c>
      <c r="I26" s="609">
        <v>1.0000000000000009E-2</v>
      </c>
    </row>
    <row r="27" spans="1:9">
      <c r="A27" s="260" t="s">
        <v>1223</v>
      </c>
      <c r="B27" s="267" t="s">
        <v>3103</v>
      </c>
      <c r="C27" t="e">
        <f>VLOOKUP(A27,차량가!$K$2:$BE$1413,46,0)</f>
        <v>#N/A</v>
      </c>
      <c r="D27" t="e">
        <f>VLOOKUP(B27,차량가!$L$2:$AA$1413,16,0)</f>
        <v>#N/A</v>
      </c>
      <c r="E27" t="e">
        <f>VLOOKUP($D27,차량가!$I$2:$L$1413,3,0)</f>
        <v>#N/A</v>
      </c>
      <c r="F27" t="e">
        <f>VLOOKUP($D27,차량가!$I$2:$L$1413,4,0)</f>
        <v>#N/A</v>
      </c>
      <c r="G27" s="1" t="e">
        <f t="shared" si="0"/>
        <v>#N/A</v>
      </c>
      <c r="H27" s="608" t="s">
        <v>3520</v>
      </c>
      <c r="I27" s="609">
        <v>1.0000000000000009E-2</v>
      </c>
    </row>
    <row r="28" spans="1:9">
      <c r="A28" s="260" t="s">
        <v>118</v>
      </c>
      <c r="B28" s="267" t="s">
        <v>2870</v>
      </c>
      <c r="C28" t="str">
        <f>VLOOKUP(A28,차량가!$K$2:$BE$1413,46,0)</f>
        <v>GLC-Class220d 4MATIC</v>
      </c>
      <c r="D28" t="e">
        <f>VLOOKUP(B28,차량가!$L$2:$AA$1413,16,0)</f>
        <v>#N/A</v>
      </c>
      <c r="E28" t="e">
        <f>VLOOKUP($D28,차량가!$I$2:$L$1413,3,0)</f>
        <v>#N/A</v>
      </c>
      <c r="F28" t="e">
        <f>VLOOKUP($D28,차량가!$I$2:$L$1413,4,0)</f>
        <v>#N/A</v>
      </c>
      <c r="G28" s="1" t="e">
        <f t="shared" si="0"/>
        <v>#N/A</v>
      </c>
      <c r="H28" s="608" t="s">
        <v>3520</v>
      </c>
      <c r="I28" s="609">
        <v>1.0000000000000009E-2</v>
      </c>
    </row>
    <row r="29" spans="1:9">
      <c r="A29" s="260" t="s">
        <v>1223</v>
      </c>
      <c r="B29" s="267" t="s">
        <v>1309</v>
      </c>
      <c r="C29" t="e">
        <f>VLOOKUP(A29,차량가!$K$2:$BE$1413,46,0)</f>
        <v>#N/A</v>
      </c>
      <c r="D29" t="e">
        <f>VLOOKUP(B29,차량가!$L$2:$AA$1413,16,0)</f>
        <v>#N/A</v>
      </c>
      <c r="E29" t="e">
        <f>VLOOKUP($D29,차량가!$I$2:$L$1413,3,0)</f>
        <v>#N/A</v>
      </c>
      <c r="F29" t="e">
        <f>VLOOKUP($D29,차량가!$I$2:$L$1413,4,0)</f>
        <v>#N/A</v>
      </c>
      <c r="G29" s="1" t="e">
        <f t="shared" si="0"/>
        <v>#N/A</v>
      </c>
      <c r="H29" s="608" t="s">
        <v>3520</v>
      </c>
      <c r="I29" s="609">
        <v>1.0000000000000009E-2</v>
      </c>
    </row>
    <row r="30" spans="1:9">
      <c r="A30" s="260" t="s">
        <v>1223</v>
      </c>
      <c r="B30" s="267" t="s">
        <v>1428</v>
      </c>
      <c r="C30" t="e">
        <f>VLOOKUP(A30,차량가!$K$2:$BE$1413,46,0)</f>
        <v>#N/A</v>
      </c>
      <c r="D30" t="str">
        <f>VLOOKUP(B30,차량가!$L$2:$AA$1413,16,0)</f>
        <v>1039</v>
      </c>
      <c r="E30" t="str">
        <f>VLOOKUP($D30,차량가!$I$2:$L$1413,3,0)</f>
        <v>GLC-Class</v>
      </c>
      <c r="F30" t="str">
        <f>VLOOKUP($D30,차량가!$I$2:$L$1413,4,0)</f>
        <v>63 S 4matic+ 쿠페</v>
      </c>
      <c r="G30" s="1" t="str">
        <f t="shared" si="0"/>
        <v>x</v>
      </c>
      <c r="H30" s="610" t="s">
        <v>3521</v>
      </c>
      <c r="I30" s="609">
        <v>-1.0000000000000009E-2</v>
      </c>
    </row>
    <row r="31" spans="1:9">
      <c r="A31" s="258" t="s">
        <v>186</v>
      </c>
      <c r="B31" s="258" t="s">
        <v>2058</v>
      </c>
      <c r="C31" t="str">
        <f>VLOOKUP(A31,차량가!$K$2:$BE$1413,46,0)</f>
        <v xml:space="preserve">X Series X5x5 xDrive 30d M Sport Package </v>
      </c>
      <c r="D31" t="str">
        <f>VLOOKUP(B31,차량가!$L$2:$AA$1413,16,0)</f>
        <v>1304</v>
      </c>
      <c r="E31" t="str">
        <f>VLOOKUP($D31,차량가!$I$2:$L$1413,3,0)</f>
        <v>X Series X5</v>
      </c>
      <c r="F31" t="str">
        <f>VLOOKUP($D31,차량가!$I$2:$L$1413,4,0)</f>
        <v xml:space="preserve">x5 xDrive 30d M Sport Package </v>
      </c>
      <c r="G31" s="1" t="str">
        <f t="shared" si="0"/>
        <v>o</v>
      </c>
      <c r="H31" s="608" t="s">
        <v>3520</v>
      </c>
      <c r="I31" s="609">
        <v>3.0000000000000027E-2</v>
      </c>
    </row>
    <row r="32" spans="1:9">
      <c r="A32" s="258" t="s">
        <v>186</v>
      </c>
      <c r="B32" s="258" t="s">
        <v>2060</v>
      </c>
      <c r="C32" t="str">
        <f>VLOOKUP(A32,차량가!$K$2:$BE$1413,46,0)</f>
        <v xml:space="preserve">X Series X5x5 xDrive 30d M Sport Package </v>
      </c>
      <c r="D32" t="str">
        <f>VLOOKUP(B32,차량가!$L$2:$AA$1413,16,0)</f>
        <v>1305</v>
      </c>
      <c r="E32" t="str">
        <f>VLOOKUP($D32,차량가!$I$2:$L$1413,3,0)</f>
        <v>X Series X5</v>
      </c>
      <c r="F32" t="str">
        <f>VLOOKUP($D32,차량가!$I$2:$L$1413,4,0)</f>
        <v>x5 xDrive 30d xLine(7인승)</v>
      </c>
      <c r="G32" s="1" t="str">
        <f t="shared" si="0"/>
        <v>o</v>
      </c>
      <c r="H32" s="608" t="s">
        <v>3520</v>
      </c>
      <c r="I32" s="609">
        <v>3.0000000000000027E-2</v>
      </c>
    </row>
    <row r="33" spans="1:9">
      <c r="A33" s="258" t="s">
        <v>186</v>
      </c>
      <c r="B33" s="258" t="s">
        <v>1968</v>
      </c>
      <c r="C33" t="str">
        <f>VLOOKUP(A33,차량가!$K$2:$BE$1413,46,0)</f>
        <v xml:space="preserve">X Series X5x5 xDrive 30d M Sport Package </v>
      </c>
      <c r="D33" t="str">
        <f>VLOOKUP(B33,차량가!$L$2:$AA$1413,16,0)</f>
        <v>1306</v>
      </c>
      <c r="E33" t="str">
        <f>VLOOKUP($D33,차량가!$I$2:$L$1413,3,0)</f>
        <v>X Series X5</v>
      </c>
      <c r="F33" t="str">
        <f>VLOOKUP($D33,차량가!$I$2:$L$1413,4,0)</f>
        <v>x5 xDrive 40i m sport</v>
      </c>
      <c r="G33" s="1" t="str">
        <f t="shared" si="0"/>
        <v>o</v>
      </c>
      <c r="H33" s="608" t="s">
        <v>3520</v>
      </c>
      <c r="I33" s="609">
        <v>5.0000000000000044E-2</v>
      </c>
    </row>
    <row r="34" spans="1:9">
      <c r="A34" s="258" t="s">
        <v>186</v>
      </c>
      <c r="B34" s="258" t="s">
        <v>1970</v>
      </c>
      <c r="C34" t="str">
        <f>VLOOKUP(A34,차량가!$K$2:$BE$1413,46,0)</f>
        <v xml:space="preserve">X Series X5x5 xDrive 30d M Sport Package </v>
      </c>
      <c r="D34" t="str">
        <f>VLOOKUP(B34,차량가!$L$2:$AA$1413,16,0)</f>
        <v>1307</v>
      </c>
      <c r="E34" t="str">
        <f>VLOOKUP($D34,차량가!$I$2:$L$1413,3,0)</f>
        <v>X Series X5</v>
      </c>
      <c r="F34" t="str">
        <f>VLOOKUP($D34,차량가!$I$2:$L$1413,4,0)</f>
        <v>x5 xDrive 40i xLine</v>
      </c>
      <c r="G34" s="1" t="str">
        <f t="shared" si="0"/>
        <v>o</v>
      </c>
      <c r="H34" s="608" t="s">
        <v>3520</v>
      </c>
      <c r="I34" s="609">
        <v>5.0000000000000044E-2</v>
      </c>
    </row>
    <row r="35" spans="1:9">
      <c r="A35" s="258" t="s">
        <v>186</v>
      </c>
      <c r="B35" s="258" t="s">
        <v>3185</v>
      </c>
      <c r="C35" t="str">
        <f>VLOOKUP(A35,차량가!$K$2:$BE$1413,46,0)</f>
        <v xml:space="preserve">X Series X5x5 xDrive 30d M Sport Package </v>
      </c>
      <c r="D35" t="str">
        <f>VLOOKUP(B35,차량가!$L$2:$AA$1413,16,0)</f>
        <v>1308</v>
      </c>
      <c r="E35" t="str">
        <f>VLOOKUP($D35,차량가!$I$2:$L$1413,3,0)</f>
        <v>X Series X5</v>
      </c>
      <c r="F35" t="str">
        <f>VLOOKUP($D35,차량가!$I$2:$L$1413,4,0)</f>
        <v>x5 xDrive 40i xLine (7인승)</v>
      </c>
      <c r="G35" s="1" t="str">
        <f t="shared" si="0"/>
        <v>o</v>
      </c>
      <c r="H35" s="608" t="s">
        <v>3520</v>
      </c>
      <c r="I35" s="609">
        <v>5.0000000000000044E-2</v>
      </c>
    </row>
    <row r="36" spans="1:9">
      <c r="A36" s="258" t="s">
        <v>186</v>
      </c>
      <c r="B36" s="260" t="s">
        <v>3314</v>
      </c>
      <c r="C36" t="str">
        <f>VLOOKUP(A36,차량가!$K$2:$BE$1413,46,0)</f>
        <v xml:space="preserve">X Series X5x5 xDrive 30d M Sport Package </v>
      </c>
      <c r="D36" t="str">
        <f>VLOOKUP(B36,차량가!$L$2:$AA$1413,16,0)</f>
        <v>1314</v>
      </c>
      <c r="E36" t="str">
        <f>VLOOKUP($D36,차량가!$I$2:$L$1413,3,0)</f>
        <v>X Series X5</v>
      </c>
      <c r="F36" t="str">
        <f>VLOOKUP($D36,차량가!$I$2:$L$1413,4,0)</f>
        <v xml:space="preserve"> M60i</v>
      </c>
      <c r="G36" s="1" t="str">
        <f t="shared" si="0"/>
        <v>o</v>
      </c>
      <c r="H36" s="608" t="s">
        <v>3520</v>
      </c>
      <c r="I36" s="609">
        <v>0.06</v>
      </c>
    </row>
    <row r="37" spans="1:9">
      <c r="A37" s="258" t="s">
        <v>186</v>
      </c>
      <c r="B37" s="258" t="s">
        <v>3488</v>
      </c>
      <c r="C37" t="str">
        <f>VLOOKUP(A37,차량가!$K$2:$BE$1413,46,0)</f>
        <v xml:space="preserve">X Series X5x5 xDrive 30d M Sport Package </v>
      </c>
      <c r="D37" t="str">
        <f>VLOOKUP(B37,차량가!$L$2:$AA$1413,16,0)</f>
        <v>1311</v>
      </c>
      <c r="E37" t="str">
        <f>VLOOKUP($D37,차량가!$I$2:$L$1413,3,0)</f>
        <v>X Series X5</v>
      </c>
      <c r="F37" t="str">
        <f>VLOOKUP($D37,차량가!$I$2:$L$1413,4,0)</f>
        <v>xDrive50e LCI xLine</v>
      </c>
      <c r="G37" s="1" t="str">
        <f t="shared" si="0"/>
        <v>o</v>
      </c>
      <c r="H37" s="608" t="s">
        <v>3520</v>
      </c>
      <c r="I37" s="609">
        <v>4.0000000000000036E-2</v>
      </c>
    </row>
    <row r="38" spans="1:9">
      <c r="A38" s="258" t="s">
        <v>186</v>
      </c>
      <c r="B38" s="258" t="s">
        <v>3490</v>
      </c>
      <c r="C38" t="str">
        <f>VLOOKUP(A38,차량가!$K$2:$BE$1413,46,0)</f>
        <v xml:space="preserve">X Series X5x5 xDrive 30d M Sport Package </v>
      </c>
      <c r="D38" t="str">
        <f>VLOOKUP(B38,차량가!$L$2:$AA$1413,16,0)</f>
        <v>1312</v>
      </c>
      <c r="E38" t="str">
        <f>VLOOKUP($D38,차량가!$I$2:$L$1413,3,0)</f>
        <v>X Series X5</v>
      </c>
      <c r="F38" t="str">
        <f>VLOOKUP($D38,차량가!$I$2:$L$1413,4,0)</f>
        <v>xDrive50e LCI M Sport Package Pro</v>
      </c>
      <c r="G38" s="1" t="str">
        <f t="shared" si="0"/>
        <v>o</v>
      </c>
      <c r="H38" s="608" t="s">
        <v>3520</v>
      </c>
      <c r="I38" s="609">
        <v>4.0000000000000036E-2</v>
      </c>
    </row>
    <row r="39" spans="1:9">
      <c r="A39" s="258" t="s">
        <v>186</v>
      </c>
      <c r="B39" s="258" t="s">
        <v>3491</v>
      </c>
      <c r="C39" t="str">
        <f>VLOOKUP(A39,차량가!$K$2:$BE$1413,46,0)</f>
        <v xml:space="preserve">X Series X5x5 xDrive 30d M Sport Package </v>
      </c>
      <c r="D39" t="str">
        <f>VLOOKUP(B39,차량가!$L$2:$AA$1413,16,0)</f>
        <v>1313</v>
      </c>
      <c r="E39" t="str">
        <f>VLOOKUP($D39,차량가!$I$2:$L$1413,3,0)</f>
        <v>X Series X5</v>
      </c>
      <c r="F39" t="str">
        <f>VLOOKUP($D39,차량가!$I$2:$L$1413,4,0)</f>
        <v>50e xDrive xLine LCI (P1)</v>
      </c>
      <c r="G39" s="1" t="str">
        <f t="shared" si="0"/>
        <v>o</v>
      </c>
      <c r="H39" s="608" t="s">
        <v>3520</v>
      </c>
      <c r="I39" s="609">
        <v>4.0000000000000036E-2</v>
      </c>
    </row>
    <row r="40" spans="1:9">
      <c r="A40" s="258" t="s">
        <v>2094</v>
      </c>
      <c r="B40" s="258" t="s">
        <v>1355</v>
      </c>
      <c r="C40" t="str">
        <f>VLOOKUP(A40,차량가!$K$2:$BE$1413,46,0)</f>
        <v>M Series X5 MX5M</v>
      </c>
      <c r="D40" t="str">
        <f>VLOOKUP(B40,차량가!$L$2:$AA$1413,16,0)</f>
        <v>1268</v>
      </c>
      <c r="E40" t="str">
        <f>VLOOKUP($D40,차량가!$I$2:$L$1413,3,0)</f>
        <v>M Series X5 M</v>
      </c>
      <c r="F40" t="str">
        <f>VLOOKUP($D40,차량가!$I$2:$L$1413,4,0)</f>
        <v>X5M</v>
      </c>
      <c r="G40" s="1" t="str">
        <f t="shared" si="0"/>
        <v>o</v>
      </c>
      <c r="H40" s="608" t="s">
        <v>3520</v>
      </c>
      <c r="I40" s="609">
        <v>7.0000000000000007E-2</v>
      </c>
    </row>
    <row r="41" spans="1:9">
      <c r="A41" s="258" t="s">
        <v>185</v>
      </c>
      <c r="B41" s="258" t="s">
        <v>3371</v>
      </c>
      <c r="C41" t="str">
        <f>VLOOKUP(A41,차량가!$K$2:$BE$1413,46,0)</f>
        <v>X Series X630d xDrive M Sport Package</v>
      </c>
      <c r="D41" t="str">
        <f>VLOOKUP(B41,차량가!$L$2:$AA$1413,16,0)</f>
        <v>1315</v>
      </c>
      <c r="E41" t="str">
        <f>VLOOKUP($D41,차량가!$I$2:$L$1413,3,0)</f>
        <v>X Series X6</v>
      </c>
      <c r="F41" t="str">
        <f>VLOOKUP($D41,차량가!$I$2:$L$1413,4,0)</f>
        <v>30d xDrive M Sport Package</v>
      </c>
      <c r="G41" s="1" t="str">
        <f t="shared" si="0"/>
        <v>o</v>
      </c>
      <c r="H41" s="608" t="s">
        <v>3520</v>
      </c>
      <c r="I41" s="609">
        <v>3.0000000000000027E-2</v>
      </c>
    </row>
    <row r="42" spans="1:9">
      <c r="A42" s="258" t="s">
        <v>185</v>
      </c>
      <c r="B42" s="413" t="s">
        <v>2062</v>
      </c>
      <c r="C42" t="str">
        <f>VLOOKUP(A42,차량가!$K$2:$BE$1413,46,0)</f>
        <v>X Series X630d xDrive M Sport Package</v>
      </c>
      <c r="D42" t="str">
        <f>VLOOKUP(B42,차량가!$L$2:$AA$1413,16,0)</f>
        <v>1318</v>
      </c>
      <c r="E42" t="str">
        <f>VLOOKUP($D42,차량가!$I$2:$L$1413,3,0)</f>
        <v>X Series X6</v>
      </c>
      <c r="F42" t="str">
        <f>VLOOKUP($D42,차량가!$I$2:$L$1413,4,0)</f>
        <v>x6 40i M Sport Package xDrive</v>
      </c>
      <c r="G42" s="1" t="str">
        <f t="shared" si="0"/>
        <v>o</v>
      </c>
      <c r="H42" s="608" t="s">
        <v>3520</v>
      </c>
      <c r="I42" s="609">
        <v>6.0000000000000053E-2</v>
      </c>
    </row>
    <row r="43" spans="1:9">
      <c r="A43" s="258" t="s">
        <v>185</v>
      </c>
      <c r="B43" s="413" t="s">
        <v>3316</v>
      </c>
      <c r="C43" t="str">
        <f>VLOOKUP(A43,차량가!$K$2:$BE$1413,46,0)</f>
        <v>X Series X630d xDrive M Sport Package</v>
      </c>
      <c r="D43" t="str">
        <f>VLOOKUP(B43,차량가!$L$2:$AA$1413,16,0)</f>
        <v>1320</v>
      </c>
      <c r="E43" t="str">
        <f>VLOOKUP($D43,차량가!$I$2:$L$1413,3,0)</f>
        <v>X Series X6</v>
      </c>
      <c r="F43" t="str">
        <f>VLOOKUP($D43,차량가!$I$2:$L$1413,4,0)</f>
        <v>X6 M60i</v>
      </c>
      <c r="G43" s="1" t="str">
        <f t="shared" si="0"/>
        <v>o</v>
      </c>
      <c r="H43" s="608" t="s">
        <v>3520</v>
      </c>
      <c r="I43" s="609">
        <v>0.06</v>
      </c>
    </row>
    <row r="44" spans="1:9">
      <c r="A44" s="258" t="s">
        <v>185</v>
      </c>
      <c r="B44" s="258" t="s">
        <v>1259</v>
      </c>
      <c r="C44" t="str">
        <f>VLOOKUP(A44,차량가!$K$2:$BE$1413,46,0)</f>
        <v>X Series X630d xDrive M Sport Package</v>
      </c>
      <c r="D44" t="str">
        <f>VLOOKUP(B44,차량가!$L$2:$AA$1413,16,0)</f>
        <v>1319</v>
      </c>
      <c r="E44" t="str">
        <f>VLOOKUP($D44,차량가!$I$2:$L$1413,3,0)</f>
        <v>X Series X6</v>
      </c>
      <c r="F44" t="str">
        <f>VLOOKUP($D44,차량가!$I$2:$L$1413,4,0)</f>
        <v>X6 M</v>
      </c>
      <c r="G44" s="1" t="str">
        <f t="shared" si="0"/>
        <v>o</v>
      </c>
      <c r="H44" s="608" t="s">
        <v>3520</v>
      </c>
      <c r="I44" s="609">
        <v>7.0000000000000007E-2</v>
      </c>
    </row>
    <row r="45" spans="1:9">
      <c r="A45" s="417" t="s">
        <v>1318</v>
      </c>
      <c r="B45" s="417" t="s">
        <v>2850</v>
      </c>
      <c r="C45" t="str">
        <f>VLOOKUP(A45,차량가!$K$2:$BE$1413,46,0)</f>
        <v>X Series X7xDrive 40i Design Pure Excellence(6인승)</v>
      </c>
      <c r="D45" t="str">
        <f>VLOOKUP(B45,차량가!$L$2:$AA$1413,16,0)</f>
        <v>1325</v>
      </c>
      <c r="E45" t="str">
        <f>VLOOKUP($D45,차량가!$I$2:$L$1413,3,0)</f>
        <v>X Series X7</v>
      </c>
      <c r="F45" t="str">
        <f>VLOOKUP($D45,차량가!$I$2:$L$1413,4,0)</f>
        <v>x7 40d DPE_6Seater</v>
      </c>
      <c r="G45" s="1" t="str">
        <f t="shared" si="0"/>
        <v>o</v>
      </c>
      <c r="H45" s="608" t="s">
        <v>3520</v>
      </c>
      <c r="I45" s="609">
        <v>4.0000000000000036E-2</v>
      </c>
    </row>
    <row r="46" spans="1:9">
      <c r="A46" s="417" t="s">
        <v>1318</v>
      </c>
      <c r="B46" s="417" t="s">
        <v>2851</v>
      </c>
      <c r="C46" t="str">
        <f>VLOOKUP(A46,차량가!$K$2:$BE$1413,46,0)</f>
        <v>X Series X7xDrive 40i Design Pure Excellence(6인승)</v>
      </c>
      <c r="D46" t="str">
        <f>VLOOKUP(B46,차량가!$L$2:$AA$1413,16,0)</f>
        <v>1326</v>
      </c>
      <c r="E46" t="str">
        <f>VLOOKUP($D46,차량가!$I$2:$L$1413,3,0)</f>
        <v>X Series X7</v>
      </c>
      <c r="F46" t="str">
        <f>VLOOKUP($D46,차량가!$I$2:$L$1413,4,0)</f>
        <v>x7 40d DPE_7Seater</v>
      </c>
      <c r="G46" s="1" t="str">
        <f t="shared" si="0"/>
        <v>o</v>
      </c>
      <c r="H46" s="608" t="s">
        <v>3520</v>
      </c>
      <c r="I46" s="609">
        <v>4.0000000000000036E-2</v>
      </c>
    </row>
    <row r="47" spans="1:9">
      <c r="A47" s="417" t="s">
        <v>1318</v>
      </c>
      <c r="B47" s="417" t="s">
        <v>2852</v>
      </c>
      <c r="C47" t="str">
        <f>VLOOKUP(A47,차량가!$K$2:$BE$1413,46,0)</f>
        <v>X Series X7xDrive 40i Design Pure Excellence(6인승)</v>
      </c>
      <c r="D47" t="str">
        <f>VLOOKUP(B47,차량가!$L$2:$AA$1413,16,0)</f>
        <v>1327</v>
      </c>
      <c r="E47" t="str">
        <f>VLOOKUP($D47,차량가!$I$2:$L$1413,3,0)</f>
        <v>X Series X7</v>
      </c>
      <c r="F47" t="str">
        <f>VLOOKUP($D47,차량가!$I$2:$L$1413,4,0)</f>
        <v>x7 40d M Sport</v>
      </c>
      <c r="G47" s="1" t="str">
        <f t="shared" si="0"/>
        <v>o</v>
      </c>
      <c r="H47" s="608" t="s">
        <v>3520</v>
      </c>
      <c r="I47" s="609">
        <v>4.0000000000000036E-2</v>
      </c>
    </row>
    <row r="48" spans="1:9">
      <c r="A48" s="417" t="s">
        <v>1318</v>
      </c>
      <c r="B48" s="258" t="s">
        <v>1403</v>
      </c>
      <c r="C48" t="str">
        <f>VLOOKUP(A48,차량가!$K$2:$BE$1413,46,0)</f>
        <v>X Series X7xDrive 40i Design Pure Excellence(6인승)</v>
      </c>
      <c r="D48" t="str">
        <f>VLOOKUP(B48,차량가!$L$2:$AA$1413,16,0)</f>
        <v>1321</v>
      </c>
      <c r="E48" t="str">
        <f>VLOOKUP($D48,차량가!$I$2:$L$1413,3,0)</f>
        <v>X Series X7</v>
      </c>
      <c r="F48" t="str">
        <f>VLOOKUP($D48,차량가!$I$2:$L$1413,4,0)</f>
        <v>xDrive 40i Design Pure Excellence(6인승)</v>
      </c>
      <c r="G48" s="1" t="str">
        <f t="shared" si="0"/>
        <v>o</v>
      </c>
      <c r="H48" s="608" t="s">
        <v>3520</v>
      </c>
      <c r="I48" s="609">
        <v>4.0000000000000036E-2</v>
      </c>
    </row>
    <row r="49" spans="1:9">
      <c r="A49" s="417" t="s">
        <v>1318</v>
      </c>
      <c r="B49" s="258" t="s">
        <v>1404</v>
      </c>
      <c r="C49" t="str">
        <f>VLOOKUP(A49,차량가!$K$2:$BE$1413,46,0)</f>
        <v>X Series X7xDrive 40i Design Pure Excellence(6인승)</v>
      </c>
      <c r="D49" t="str">
        <f>VLOOKUP(B49,차량가!$L$2:$AA$1413,16,0)</f>
        <v>1322</v>
      </c>
      <c r="E49" t="str">
        <f>VLOOKUP($D49,차량가!$I$2:$L$1413,3,0)</f>
        <v>X Series X7</v>
      </c>
      <c r="F49" t="str">
        <f>VLOOKUP($D49,차량가!$I$2:$L$1413,4,0)</f>
        <v>xDrive 40i Design Pure Excellence(7인승)</v>
      </c>
      <c r="G49" s="1" t="str">
        <f t="shared" si="0"/>
        <v>o</v>
      </c>
      <c r="H49" s="608" t="s">
        <v>3520</v>
      </c>
      <c r="I49" s="609">
        <v>4.0000000000000036E-2</v>
      </c>
    </row>
    <row r="50" spans="1:9">
      <c r="A50" s="417" t="s">
        <v>1318</v>
      </c>
      <c r="B50" s="258" t="s">
        <v>1405</v>
      </c>
      <c r="C50" t="str">
        <f>VLOOKUP(A50,차량가!$K$2:$BE$1413,46,0)</f>
        <v>X Series X7xDrive 40i Design Pure Excellence(6인승)</v>
      </c>
      <c r="D50" t="str">
        <f>VLOOKUP(B50,차량가!$L$2:$AA$1413,16,0)</f>
        <v>1323</v>
      </c>
      <c r="E50" t="str">
        <f>VLOOKUP($D50,차량가!$I$2:$L$1413,3,0)</f>
        <v>X Series X7</v>
      </c>
      <c r="F50" t="str">
        <f>VLOOKUP($D50,차량가!$I$2:$L$1413,4,0)</f>
        <v>xDrive 40i M Sport Package(6인승)</v>
      </c>
      <c r="G50" s="1" t="str">
        <f t="shared" si="0"/>
        <v>o</v>
      </c>
      <c r="H50" s="608" t="s">
        <v>3520</v>
      </c>
      <c r="I50" s="609">
        <v>4.0000000000000036E-2</v>
      </c>
    </row>
    <row r="51" spans="1:9">
      <c r="A51" s="417" t="s">
        <v>1318</v>
      </c>
      <c r="B51" s="521" t="s">
        <v>3255</v>
      </c>
      <c r="C51" t="str">
        <f>VLOOKUP(A51,차량가!$K$2:$BE$1413,46,0)</f>
        <v>X Series X7xDrive 40i Design Pure Excellence(6인승)</v>
      </c>
      <c r="D51" t="str">
        <f>VLOOKUP(B51,차량가!$L$2:$AA$1413,16,0)</f>
        <v>1324</v>
      </c>
      <c r="E51" t="str">
        <f>VLOOKUP($D51,차량가!$I$2:$L$1413,3,0)</f>
        <v>X Series X7</v>
      </c>
      <c r="F51" t="str">
        <f>VLOOKUP($D51,차량가!$I$2:$L$1413,4,0)</f>
        <v>X7 xDrive 40i M sport 7인승</v>
      </c>
      <c r="G51" s="1" t="str">
        <f t="shared" si="0"/>
        <v>o</v>
      </c>
      <c r="H51" s="608" t="s">
        <v>3520</v>
      </c>
      <c r="I51" s="609">
        <v>4.0000000000000036E-2</v>
      </c>
    </row>
    <row r="52" spans="1:9">
      <c r="A52" s="413" t="s">
        <v>3304</v>
      </c>
      <c r="B52" s="521" t="s">
        <v>3437</v>
      </c>
      <c r="C52" t="str">
        <f>VLOOKUP(A52,차량가!$K$2:$BE$1413,46,0)</f>
        <v>X Series XM50e</v>
      </c>
      <c r="D52" t="str">
        <f>VLOOKUP(B52,차량가!$L$2:$AA$1413,16,0)</f>
        <v>1329</v>
      </c>
      <c r="E52" t="str">
        <f>VLOOKUP($D52,차량가!$I$2:$L$1413,3,0)</f>
        <v>X Series XM</v>
      </c>
      <c r="F52" t="str">
        <f>VLOOKUP($D52,차량가!$I$2:$L$1413,4,0)</f>
        <v>50e</v>
      </c>
      <c r="G52" s="1" t="str">
        <f t="shared" si="0"/>
        <v>o</v>
      </c>
      <c r="H52" s="610" t="s">
        <v>3522</v>
      </c>
      <c r="I52" s="609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G27"/>
  <sheetViews>
    <sheetView workbookViewId="0">
      <selection activeCell="I23" sqref="I23"/>
    </sheetView>
  </sheetViews>
  <sheetFormatPr defaultRowHeight="16.5"/>
  <cols>
    <col min="2" max="2" width="22" customWidth="1"/>
  </cols>
  <sheetData>
    <row r="2" spans="2:7">
      <c r="B2" s="535" t="s">
        <v>3282</v>
      </c>
    </row>
    <row r="3" spans="2:7">
      <c r="B3" s="536"/>
      <c r="G3" s="536" t="s">
        <v>3283</v>
      </c>
    </row>
    <row r="4" spans="2:7" ht="18.75" customHeight="1">
      <c r="B4" s="537" t="s">
        <v>3284</v>
      </c>
      <c r="C4" s="538" t="s">
        <v>3285</v>
      </c>
      <c r="D4" s="538" t="s">
        <v>3286</v>
      </c>
      <c r="E4" s="538" t="s">
        <v>3287</v>
      </c>
      <c r="F4" s="538" t="s">
        <v>3288</v>
      </c>
      <c r="G4" s="539" t="s">
        <v>3289</v>
      </c>
    </row>
    <row r="5" spans="2:7" ht="18.75" customHeight="1">
      <c r="B5" s="541" t="s">
        <v>3296</v>
      </c>
      <c r="C5" s="542">
        <v>7.4700000000000003E-2</v>
      </c>
      <c r="D5" s="542">
        <v>7.6499999999999999E-2</v>
      </c>
      <c r="E5" s="542">
        <v>7.8E-2</v>
      </c>
      <c r="F5" s="542">
        <v>7.8700000000000006E-2</v>
      </c>
      <c r="G5" s="543">
        <v>7.9000000000000001E-2</v>
      </c>
    </row>
    <row r="6" spans="2:7" ht="18.75" customHeight="1">
      <c r="B6" s="541" t="s">
        <v>3297</v>
      </c>
      <c r="C6" s="542">
        <v>7.4700000000000003E-2</v>
      </c>
      <c r="D6" s="542">
        <v>7.6499999999999999E-2</v>
      </c>
      <c r="E6" s="542">
        <v>7.8E-2</v>
      </c>
      <c r="F6" s="542">
        <v>7.8700000000000006E-2</v>
      </c>
      <c r="G6" s="543">
        <v>7.9000000000000001E-2</v>
      </c>
    </row>
    <row r="7" spans="2:7" ht="18.75" customHeight="1">
      <c r="B7" s="541" t="s">
        <v>3298</v>
      </c>
      <c r="C7" s="542">
        <v>7.4700000000000003E-2</v>
      </c>
      <c r="D7" s="542">
        <v>7.6499999999999999E-2</v>
      </c>
      <c r="E7" s="542">
        <v>7.8E-2</v>
      </c>
      <c r="F7" s="542">
        <v>7.8700000000000006E-2</v>
      </c>
      <c r="G7" s="543">
        <v>7.9000000000000001E-2</v>
      </c>
    </row>
    <row r="8" spans="2:7" ht="18.75" customHeight="1">
      <c r="B8" s="541" t="s">
        <v>3295</v>
      </c>
      <c r="C8" s="542">
        <v>7.6499999999999999E-2</v>
      </c>
      <c r="D8" s="542">
        <v>7.8299999999999995E-2</v>
      </c>
      <c r="E8" s="542">
        <v>7.9799999999999996E-2</v>
      </c>
      <c r="F8" s="542">
        <v>8.0500000000000002E-2</v>
      </c>
      <c r="G8" s="543">
        <v>8.0799999999999997E-2</v>
      </c>
    </row>
    <row r="9" spans="2:7" ht="18.75" customHeight="1">
      <c r="B9" s="541" t="s">
        <v>3300</v>
      </c>
      <c r="C9" s="542">
        <v>7.9299999999999995E-2</v>
      </c>
      <c r="D9" s="542">
        <v>8.1100000000000005E-2</v>
      </c>
      <c r="E9" s="542">
        <v>8.2600000000000007E-2</v>
      </c>
      <c r="F9" s="542">
        <v>8.3299999999999999E-2</v>
      </c>
      <c r="G9" s="543">
        <v>8.3599999999999994E-2</v>
      </c>
    </row>
    <row r="10" spans="2:7" ht="18.75" customHeight="1">
      <c r="B10" s="541" t="s">
        <v>3299</v>
      </c>
      <c r="C10" s="542">
        <v>8.0600000000000005E-2</v>
      </c>
      <c r="D10" s="542">
        <v>8.2400000000000001E-2</v>
      </c>
      <c r="E10" s="542">
        <v>8.3900000000000002E-2</v>
      </c>
      <c r="F10" s="542">
        <v>8.4599999999999995E-2</v>
      </c>
      <c r="G10" s="543">
        <v>8.4900000000000003E-2</v>
      </c>
    </row>
    <row r="11" spans="2:7" ht="18.75" customHeight="1">
      <c r="B11" s="541" t="s">
        <v>3294</v>
      </c>
      <c r="C11" s="542">
        <v>8.2000000000000003E-2</v>
      </c>
      <c r="D11" s="542">
        <v>8.3799999999999999E-2</v>
      </c>
      <c r="E11" s="542">
        <v>8.5300000000000001E-2</v>
      </c>
      <c r="F11" s="542">
        <v>8.5999999999999993E-2</v>
      </c>
      <c r="G11" s="543">
        <v>8.6300000000000002E-2</v>
      </c>
    </row>
    <row r="12" spans="2:7" ht="18.75" customHeight="1">
      <c r="B12" s="541" t="s">
        <v>3293</v>
      </c>
      <c r="C12" s="542">
        <v>8.14E-2</v>
      </c>
      <c r="D12" s="542">
        <v>8.3199999999999996E-2</v>
      </c>
      <c r="E12" s="542">
        <v>8.4699999999999998E-2</v>
      </c>
      <c r="F12" s="542">
        <v>8.5400000000000004E-2</v>
      </c>
      <c r="G12" s="543">
        <v>8.5699999999999998E-2</v>
      </c>
    </row>
    <row r="13" spans="2:7">
      <c r="B13" s="540" t="s">
        <v>3290</v>
      </c>
    </row>
    <row r="15" spans="2:7">
      <c r="B15" s="535" t="s">
        <v>3291</v>
      </c>
    </row>
    <row r="16" spans="2:7">
      <c r="B16" s="535" t="s">
        <v>3292</v>
      </c>
    </row>
    <row r="17" spans="2:7">
      <c r="B17" s="536"/>
      <c r="G17" s="536" t="s">
        <v>3283</v>
      </c>
    </row>
    <row r="18" spans="2:7">
      <c r="B18" s="537" t="s">
        <v>3284</v>
      </c>
      <c r="C18" s="538" t="s">
        <v>3285</v>
      </c>
      <c r="D18" s="538" t="s">
        <v>3286</v>
      </c>
      <c r="E18" s="538" t="s">
        <v>3287</v>
      </c>
      <c r="F18" s="538" t="s">
        <v>3288</v>
      </c>
      <c r="G18" s="539" t="s">
        <v>3289</v>
      </c>
    </row>
    <row r="19" spans="2:7">
      <c r="B19" s="541" t="s">
        <v>3296</v>
      </c>
      <c r="C19" s="542">
        <v>7.1800000000000003E-2</v>
      </c>
      <c r="D19" s="542">
        <v>7.3599999999999999E-2</v>
      </c>
      <c r="E19" s="542">
        <v>7.51E-2</v>
      </c>
      <c r="F19" s="542">
        <v>7.5800000000000006E-2</v>
      </c>
      <c r="G19" s="543">
        <v>7.6100000000000001E-2</v>
      </c>
    </row>
    <row r="20" spans="2:7">
      <c r="B20" s="541" t="s">
        <v>3297</v>
      </c>
      <c r="C20" s="542">
        <v>7.3499999999999996E-2</v>
      </c>
      <c r="D20" s="542">
        <v>7.5300000000000006E-2</v>
      </c>
      <c r="E20" s="542">
        <v>7.6799999999999993E-2</v>
      </c>
      <c r="F20" s="542">
        <v>7.7499999999999999E-2</v>
      </c>
      <c r="G20" s="543">
        <v>7.7799999999999994E-2</v>
      </c>
    </row>
    <row r="21" spans="2:7">
      <c r="B21" s="541" t="s">
        <v>3298</v>
      </c>
      <c r="C21" s="542">
        <v>7.5499999999999998E-2</v>
      </c>
      <c r="D21" s="542">
        <v>7.7299999999999994E-2</v>
      </c>
      <c r="E21" s="542">
        <v>7.8799999999999995E-2</v>
      </c>
      <c r="F21" s="542">
        <v>7.9500000000000001E-2</v>
      </c>
      <c r="G21" s="543">
        <v>7.9799999999999996E-2</v>
      </c>
    </row>
    <row r="22" spans="2:7">
      <c r="B22" s="541" t="s">
        <v>3295</v>
      </c>
      <c r="C22" s="542">
        <v>7.5899999999999995E-2</v>
      </c>
      <c r="D22" s="542">
        <v>7.7700000000000005E-2</v>
      </c>
      <c r="E22" s="542">
        <v>7.9200000000000007E-2</v>
      </c>
      <c r="F22" s="542">
        <v>7.9899999999999999E-2</v>
      </c>
      <c r="G22" s="543">
        <v>8.0199999999999994E-2</v>
      </c>
    </row>
    <row r="23" spans="2:7">
      <c r="B23" s="541" t="s">
        <v>3300</v>
      </c>
      <c r="C23" s="542">
        <v>7.6399999999999996E-2</v>
      </c>
      <c r="D23" s="542">
        <v>7.8200000000000006E-2</v>
      </c>
      <c r="E23" s="542">
        <v>7.9699999999999993E-2</v>
      </c>
      <c r="F23" s="542">
        <v>8.0399999999999999E-2</v>
      </c>
      <c r="G23" s="543">
        <v>8.0699999999999994E-2</v>
      </c>
    </row>
    <row r="24" spans="2:7">
      <c r="B24" s="541" t="s">
        <v>3299</v>
      </c>
      <c r="C24" s="542">
        <v>7.7200000000000005E-2</v>
      </c>
      <c r="D24" s="542">
        <v>7.9000000000000001E-2</v>
      </c>
      <c r="E24" s="542">
        <v>8.0500000000000002E-2</v>
      </c>
      <c r="F24" s="542">
        <v>8.1199999999999994E-2</v>
      </c>
      <c r="G24" s="543">
        <v>8.1500000000000003E-2</v>
      </c>
    </row>
    <row r="25" spans="2:7">
      <c r="B25" s="541" t="s">
        <v>3294</v>
      </c>
      <c r="C25" s="542">
        <v>8.2600000000000007E-2</v>
      </c>
      <c r="D25" s="542">
        <v>8.4400000000000003E-2</v>
      </c>
      <c r="E25" s="542">
        <v>8.5900000000000004E-2</v>
      </c>
      <c r="F25" s="542">
        <v>8.6599999999999996E-2</v>
      </c>
      <c r="G25" s="543">
        <v>8.6900000000000005E-2</v>
      </c>
    </row>
    <row r="26" spans="2:7">
      <c r="B26" s="541" t="s">
        <v>3293</v>
      </c>
      <c r="C26" s="542">
        <v>8.0199999999999994E-2</v>
      </c>
      <c r="D26" s="542">
        <v>8.2000000000000003E-2</v>
      </c>
      <c r="E26" s="542">
        <v>8.3500000000000005E-2</v>
      </c>
      <c r="F26" s="542">
        <v>8.4199999999999997E-2</v>
      </c>
      <c r="G26" s="543">
        <v>8.4500000000000006E-2</v>
      </c>
    </row>
    <row r="27" spans="2:7">
      <c r="B27" s="540" t="s">
        <v>3290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979"/>
  <sheetViews>
    <sheetView zoomScale="70" zoomScaleNormal="70" workbookViewId="0">
      <selection activeCell="P3" sqref="P3"/>
    </sheetView>
  </sheetViews>
  <sheetFormatPr defaultRowHeight="16.5"/>
  <sheetData>
    <row r="1" spans="1:3">
      <c r="A1">
        <v>1</v>
      </c>
      <c r="B1" t="s">
        <v>1957</v>
      </c>
      <c r="C1">
        <v>1</v>
      </c>
    </row>
    <row r="2" spans="1:3">
      <c r="A2">
        <v>2</v>
      </c>
      <c r="B2" t="s">
        <v>1958</v>
      </c>
      <c r="C2">
        <v>2</v>
      </c>
    </row>
    <row r="3" spans="1:3">
      <c r="A3">
        <v>3</v>
      </c>
      <c r="B3" t="s">
        <v>3238</v>
      </c>
      <c r="C3">
        <v>3</v>
      </c>
    </row>
    <row r="4" spans="1:3">
      <c r="A4">
        <v>4</v>
      </c>
      <c r="B4" t="s">
        <v>1982</v>
      </c>
      <c r="C4">
        <v>4</v>
      </c>
    </row>
    <row r="5" spans="1:3">
      <c r="A5">
        <v>5</v>
      </c>
      <c r="B5" t="s">
        <v>1983</v>
      </c>
      <c r="C5">
        <v>5</v>
      </c>
    </row>
    <row r="6" spans="1:3">
      <c r="A6">
        <v>6</v>
      </c>
      <c r="B6" t="s">
        <v>1984</v>
      </c>
      <c r="C6">
        <v>6</v>
      </c>
    </row>
    <row r="7" spans="1:3">
      <c r="A7">
        <v>7</v>
      </c>
      <c r="B7" t="s">
        <v>1985</v>
      </c>
      <c r="C7">
        <v>7</v>
      </c>
    </row>
    <row r="8" spans="1:3">
      <c r="A8">
        <v>8</v>
      </c>
      <c r="B8" t="s">
        <v>1986</v>
      </c>
      <c r="C8">
        <v>8</v>
      </c>
    </row>
    <row r="9" spans="1:3">
      <c r="A9">
        <v>9</v>
      </c>
      <c r="B9" t="s">
        <v>1987</v>
      </c>
      <c r="C9">
        <v>9</v>
      </c>
    </row>
    <row r="10" spans="1:3">
      <c r="A10">
        <v>10</v>
      </c>
      <c r="B10" t="s">
        <v>1988</v>
      </c>
      <c r="C10">
        <v>10</v>
      </c>
    </row>
    <row r="11" spans="1:3">
      <c r="A11">
        <v>11</v>
      </c>
      <c r="B11" t="s">
        <v>1989</v>
      </c>
      <c r="C11">
        <v>11</v>
      </c>
    </row>
    <row r="12" spans="1:3">
      <c r="A12">
        <v>12</v>
      </c>
      <c r="B12" t="s">
        <v>1990</v>
      </c>
      <c r="C12">
        <v>12</v>
      </c>
    </row>
    <row r="13" spans="1:3">
      <c r="A13">
        <v>13</v>
      </c>
      <c r="B13" t="s">
        <v>1991</v>
      </c>
      <c r="C13">
        <v>13</v>
      </c>
    </row>
    <row r="14" spans="1:3">
      <c r="A14">
        <v>14</v>
      </c>
      <c r="B14" t="s">
        <v>1969</v>
      </c>
      <c r="C14">
        <v>14</v>
      </c>
    </row>
    <row r="15" spans="1:3">
      <c r="A15">
        <v>15</v>
      </c>
      <c r="B15" t="s">
        <v>1992</v>
      </c>
      <c r="C15">
        <v>15</v>
      </c>
    </row>
    <row r="16" spans="1:3">
      <c r="A16">
        <v>16</v>
      </c>
      <c r="B16" t="s">
        <v>1993</v>
      </c>
      <c r="C16">
        <v>16</v>
      </c>
    </row>
    <row r="17" spans="1:3">
      <c r="A17">
        <v>17</v>
      </c>
      <c r="B17" t="s">
        <v>1994</v>
      </c>
      <c r="C17">
        <v>17</v>
      </c>
    </row>
    <row r="18" spans="1:3">
      <c r="A18">
        <v>18</v>
      </c>
      <c r="B18" t="s">
        <v>1995</v>
      </c>
      <c r="C18">
        <v>18</v>
      </c>
    </row>
    <row r="19" spans="1:3">
      <c r="A19">
        <v>19</v>
      </c>
      <c r="B19" t="s">
        <v>1996</v>
      </c>
      <c r="C19">
        <v>19</v>
      </c>
    </row>
    <row r="20" spans="1:3">
      <c r="A20">
        <v>20</v>
      </c>
      <c r="B20" t="s">
        <v>3059</v>
      </c>
      <c r="C20">
        <v>20</v>
      </c>
    </row>
    <row r="21" spans="1:3">
      <c r="A21">
        <v>21</v>
      </c>
      <c r="B21" t="s">
        <v>3069</v>
      </c>
      <c r="C21">
        <v>21</v>
      </c>
    </row>
    <row r="22" spans="1:3">
      <c r="A22">
        <v>22</v>
      </c>
      <c r="B22" t="s">
        <v>3034</v>
      </c>
      <c r="C22">
        <v>22</v>
      </c>
    </row>
    <row r="23" spans="1:3">
      <c r="A23">
        <v>23</v>
      </c>
      <c r="B23" t="s">
        <v>3070</v>
      </c>
      <c r="C23">
        <v>23</v>
      </c>
    </row>
    <row r="24" spans="1:3">
      <c r="A24">
        <v>24</v>
      </c>
      <c r="B24" t="s">
        <v>3071</v>
      </c>
      <c r="C24">
        <v>24</v>
      </c>
    </row>
    <row r="25" spans="1:3">
      <c r="A25">
        <v>25</v>
      </c>
      <c r="B25" t="s">
        <v>1914</v>
      </c>
      <c r="C25">
        <v>25</v>
      </c>
    </row>
    <row r="26" spans="1:3">
      <c r="A26">
        <v>26</v>
      </c>
      <c r="B26" t="s">
        <v>3072</v>
      </c>
      <c r="C26">
        <v>26</v>
      </c>
    </row>
    <row r="27" spans="1:3">
      <c r="A27">
        <v>27</v>
      </c>
      <c r="C27">
        <v>27</v>
      </c>
    </row>
    <row r="28" spans="1:3">
      <c r="A28">
        <v>28</v>
      </c>
      <c r="C28">
        <v>28</v>
      </c>
    </row>
    <row r="29" spans="1:3">
      <c r="A29">
        <v>29</v>
      </c>
      <c r="C29">
        <v>29</v>
      </c>
    </row>
    <row r="30" spans="1:3">
      <c r="A30">
        <v>30</v>
      </c>
      <c r="C30">
        <v>30</v>
      </c>
    </row>
    <row r="979" spans="11:11">
      <c r="K979" t="s">
        <v>3553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158"/>
  <sheetViews>
    <sheetView topLeftCell="D1" zoomScale="85" zoomScaleNormal="85" workbookViewId="0">
      <selection activeCell="P20" sqref="P20"/>
    </sheetView>
  </sheetViews>
  <sheetFormatPr defaultColWidth="12" defaultRowHeight="16.5"/>
  <cols>
    <col min="2" max="2" width="15.625" customWidth="1"/>
    <col min="3" max="16" width="12" customWidth="1"/>
  </cols>
  <sheetData>
    <row r="1" spans="2:16" ht="13.5" customHeight="1">
      <c r="B1" s="901" t="s">
        <v>1134</v>
      </c>
      <c r="C1" s="901"/>
      <c r="H1" s="902" t="s">
        <v>1134</v>
      </c>
      <c r="I1" s="902"/>
      <c r="J1" s="902"/>
    </row>
    <row r="2" spans="2:16" ht="13.5" customHeight="1">
      <c r="B2" s="4" t="s">
        <v>828</v>
      </c>
      <c r="C2" s="5">
        <v>1</v>
      </c>
      <c r="D2" t="str">
        <f>TEXT($C2,"0000")</f>
        <v>0001</v>
      </c>
      <c r="E2">
        <v>1</v>
      </c>
      <c r="F2" t="s">
        <v>1135</v>
      </c>
      <c r="G2" t="s">
        <v>1136</v>
      </c>
      <c r="H2" t="str">
        <f>E$2&amp;P2</f>
        <v>11</v>
      </c>
      <c r="I2" s="4" t="s">
        <v>828</v>
      </c>
      <c r="J2" t="str">
        <f t="shared" ref="J2:J37" si="0">TEXT($C2,"0000")</f>
        <v>0001</v>
      </c>
      <c r="K2">
        <v>21</v>
      </c>
      <c r="L2" s="6" t="s">
        <v>197</v>
      </c>
      <c r="N2" t="e">
        <f>IF(#REF!=1,I2,L2)</f>
        <v>#REF!</v>
      </c>
      <c r="O2" t="s">
        <v>1174</v>
      </c>
      <c r="P2">
        <v>1</v>
      </c>
    </row>
    <row r="3" spans="2:16" ht="13.5" customHeight="1">
      <c r="B3" s="6" t="s">
        <v>773</v>
      </c>
      <c r="C3" s="5">
        <v>2</v>
      </c>
      <c r="D3" t="str">
        <f t="shared" ref="D3:D37" si="1">TEXT(C3,"0000")</f>
        <v>0002</v>
      </c>
      <c r="E3">
        <v>2</v>
      </c>
      <c r="F3" t="s">
        <v>1137</v>
      </c>
      <c r="G3" t="s">
        <v>1138</v>
      </c>
      <c r="H3" t="str">
        <f>E$2&amp;P3</f>
        <v>12</v>
      </c>
      <c r="I3" s="6" t="s">
        <v>773</v>
      </c>
      <c r="J3" t="str">
        <f t="shared" si="0"/>
        <v>0002</v>
      </c>
      <c r="K3">
        <v>22</v>
      </c>
      <c r="L3" s="6" t="s">
        <v>194</v>
      </c>
      <c r="N3" t="e">
        <f>IF(#REF!=1,I3,L3)</f>
        <v>#REF!</v>
      </c>
      <c r="O3" t="s">
        <v>1175</v>
      </c>
      <c r="P3">
        <v>2</v>
      </c>
    </row>
    <row r="4" spans="2:16" ht="13.5" customHeight="1">
      <c r="B4" s="6" t="s">
        <v>728</v>
      </c>
      <c r="C4" s="5">
        <v>3</v>
      </c>
      <c r="D4" t="str">
        <f t="shared" si="1"/>
        <v>0003</v>
      </c>
      <c r="H4" t="str">
        <f>E$2&amp;P4</f>
        <v>13</v>
      </c>
      <c r="I4" s="6" t="s">
        <v>728</v>
      </c>
      <c r="J4" t="str">
        <f t="shared" si="0"/>
        <v>0003</v>
      </c>
      <c r="K4">
        <v>23</v>
      </c>
      <c r="L4" s="6" t="s">
        <v>184</v>
      </c>
      <c r="N4" t="e">
        <f>IF(#REF!=1,I4,L4)</f>
        <v>#REF!</v>
      </c>
      <c r="O4" t="s">
        <v>1176</v>
      </c>
      <c r="P4">
        <v>3</v>
      </c>
    </row>
    <row r="5" spans="2:16" ht="13.5" customHeight="1">
      <c r="B5" s="6" t="s">
        <v>646</v>
      </c>
      <c r="C5" s="5">
        <v>4</v>
      </c>
      <c r="D5" t="str">
        <f t="shared" si="1"/>
        <v>0004</v>
      </c>
      <c r="F5" t="s">
        <v>1205</v>
      </c>
      <c r="H5" t="str">
        <f>E$2&amp;P5</f>
        <v>14</v>
      </c>
      <c r="I5" s="6" t="s">
        <v>646</v>
      </c>
      <c r="J5" t="str">
        <f t="shared" si="0"/>
        <v>0004</v>
      </c>
      <c r="K5">
        <v>24</v>
      </c>
      <c r="L5" s="6" t="s">
        <v>183</v>
      </c>
      <c r="N5" t="e">
        <f>IF(#REF!=1,I5,L5)</f>
        <v>#REF!</v>
      </c>
      <c r="O5" t="s">
        <v>1177</v>
      </c>
      <c r="P5">
        <v>4</v>
      </c>
    </row>
    <row r="6" spans="2:16" ht="13.5" customHeight="1">
      <c r="B6" s="6" t="s">
        <v>294</v>
      </c>
      <c r="C6" s="5">
        <v>5</v>
      </c>
      <c r="D6" t="str">
        <f t="shared" si="1"/>
        <v>0005</v>
      </c>
      <c r="H6" t="str">
        <f>E$2&amp;P6</f>
        <v>15</v>
      </c>
      <c r="I6" s="6" t="s">
        <v>294</v>
      </c>
      <c r="J6" t="str">
        <f t="shared" si="0"/>
        <v>0005</v>
      </c>
      <c r="K6">
        <v>25</v>
      </c>
      <c r="L6" s="6" t="s">
        <v>182</v>
      </c>
      <c r="N6" t="e">
        <f>IF(#REF!=1,I6,L6)</f>
        <v>#REF!</v>
      </c>
      <c r="O6" t="s">
        <v>1178</v>
      </c>
      <c r="P6">
        <v>5</v>
      </c>
    </row>
    <row r="7" spans="2:16" ht="13.5" customHeight="1">
      <c r="B7" s="6" t="s">
        <v>197</v>
      </c>
      <c r="C7" s="5">
        <v>6</v>
      </c>
      <c r="D7" t="str">
        <f t="shared" si="1"/>
        <v>0006</v>
      </c>
      <c r="F7" t="s">
        <v>1139</v>
      </c>
      <c r="H7" t="str">
        <f t="shared" ref="H7:H37" si="2">E$3&amp;P2</f>
        <v>21</v>
      </c>
      <c r="I7" s="6" t="s">
        <v>197</v>
      </c>
      <c r="J7" t="str">
        <f t="shared" si="0"/>
        <v>0006</v>
      </c>
      <c r="K7">
        <v>26</v>
      </c>
      <c r="L7" s="6" t="s">
        <v>181</v>
      </c>
      <c r="N7" t="e">
        <f>IF(#REF!=1,"",L7)</f>
        <v>#REF!</v>
      </c>
      <c r="O7" t="s">
        <v>1179</v>
      </c>
      <c r="P7">
        <v>6</v>
      </c>
    </row>
    <row r="8" spans="2:16" ht="13.5" customHeight="1">
      <c r="B8" s="6" t="s">
        <v>194</v>
      </c>
      <c r="C8" s="5">
        <v>7</v>
      </c>
      <c r="D8" t="str">
        <f t="shared" si="1"/>
        <v>0007</v>
      </c>
      <c r="F8" t="s">
        <v>1140</v>
      </c>
      <c r="H8" t="str">
        <f t="shared" si="2"/>
        <v>22</v>
      </c>
      <c r="I8" s="6" t="s">
        <v>194</v>
      </c>
      <c r="J8" t="str">
        <f t="shared" si="0"/>
        <v>0007</v>
      </c>
      <c r="K8">
        <v>27</v>
      </c>
      <c r="L8" s="6" t="s">
        <v>180</v>
      </c>
      <c r="N8" t="e">
        <f>IF(#REF!=1,"",L8)</f>
        <v>#REF!</v>
      </c>
      <c r="O8" t="s">
        <v>1180</v>
      </c>
      <c r="P8">
        <v>7</v>
      </c>
    </row>
    <row r="9" spans="2:16" ht="13.5" customHeight="1">
      <c r="B9" s="6" t="s">
        <v>184</v>
      </c>
      <c r="C9" s="5">
        <v>8</v>
      </c>
      <c r="D9" t="str">
        <f t="shared" si="1"/>
        <v>0008</v>
      </c>
      <c r="F9" t="s">
        <v>1141</v>
      </c>
      <c r="H9" t="str">
        <f t="shared" si="2"/>
        <v>23</v>
      </c>
      <c r="I9" s="6" t="s">
        <v>184</v>
      </c>
      <c r="J9" t="str">
        <f t="shared" si="0"/>
        <v>0008</v>
      </c>
      <c r="K9">
        <v>28</v>
      </c>
      <c r="L9" s="6" t="s">
        <v>179</v>
      </c>
      <c r="N9" t="e">
        <f>IF(#REF!=1,"",L9)</f>
        <v>#REF!</v>
      </c>
      <c r="O9" t="s">
        <v>1181</v>
      </c>
      <c r="P9">
        <v>8</v>
      </c>
    </row>
    <row r="10" spans="2:16" ht="13.5" customHeight="1">
      <c r="B10" s="6" t="s">
        <v>183</v>
      </c>
      <c r="C10" s="5">
        <v>9</v>
      </c>
      <c r="D10" t="str">
        <f t="shared" si="1"/>
        <v>0009</v>
      </c>
      <c r="H10" t="str">
        <f t="shared" si="2"/>
        <v>24</v>
      </c>
      <c r="I10" s="6" t="s">
        <v>183</v>
      </c>
      <c r="J10" t="str">
        <f t="shared" si="0"/>
        <v>0009</v>
      </c>
      <c r="K10">
        <v>29</v>
      </c>
      <c r="L10" s="6" t="s">
        <v>171</v>
      </c>
      <c r="N10" t="e">
        <f>IF(#REF!=1,"",L10)</f>
        <v>#REF!</v>
      </c>
      <c r="O10" t="s">
        <v>1182</v>
      </c>
      <c r="P10">
        <v>9</v>
      </c>
    </row>
    <row r="11" spans="2:16" ht="13.5" customHeight="1">
      <c r="B11" s="6" t="s">
        <v>182</v>
      </c>
      <c r="C11" s="5">
        <v>10</v>
      </c>
      <c r="D11" t="str">
        <f t="shared" si="1"/>
        <v>0010</v>
      </c>
      <c r="H11" t="str">
        <f t="shared" si="2"/>
        <v>25</v>
      </c>
      <c r="I11" s="6" t="s">
        <v>182</v>
      </c>
      <c r="J11" t="str">
        <f t="shared" si="0"/>
        <v>0010</v>
      </c>
      <c r="K11">
        <v>210</v>
      </c>
      <c r="L11" s="6" t="s">
        <v>1209</v>
      </c>
      <c r="N11" t="e">
        <f>IF(#REF!=1,"",L11)</f>
        <v>#REF!</v>
      </c>
      <c r="O11" t="s">
        <v>1183</v>
      </c>
      <c r="P11">
        <v>10</v>
      </c>
    </row>
    <row r="12" spans="2:16" ht="13.5" customHeight="1">
      <c r="B12" s="6" t="s">
        <v>181</v>
      </c>
      <c r="C12" s="5">
        <v>11</v>
      </c>
      <c r="D12" t="str">
        <f t="shared" si="1"/>
        <v>0011</v>
      </c>
      <c r="H12" t="str">
        <f t="shared" si="2"/>
        <v>26</v>
      </c>
      <c r="I12" s="6" t="s">
        <v>181</v>
      </c>
      <c r="J12" t="str">
        <f t="shared" si="0"/>
        <v>0011</v>
      </c>
      <c r="K12">
        <v>211</v>
      </c>
      <c r="L12" s="6" t="s">
        <v>169</v>
      </c>
      <c r="N12" t="e">
        <f>IF(#REF!=1,"",L12)</f>
        <v>#REF!</v>
      </c>
      <c r="O12" t="s">
        <v>1184</v>
      </c>
      <c r="P12">
        <v>11</v>
      </c>
    </row>
    <row r="13" spans="2:16" ht="13.5" customHeight="1">
      <c r="B13" s="6" t="s">
        <v>180</v>
      </c>
      <c r="C13" s="5">
        <v>12</v>
      </c>
      <c r="D13" t="str">
        <f t="shared" si="1"/>
        <v>0012</v>
      </c>
      <c r="H13" t="str">
        <f t="shared" si="2"/>
        <v>27</v>
      </c>
      <c r="I13" s="6" t="s">
        <v>180</v>
      </c>
      <c r="J13" t="str">
        <f t="shared" si="0"/>
        <v>0012</v>
      </c>
      <c r="K13">
        <v>212</v>
      </c>
      <c r="L13" s="6" t="s">
        <v>168</v>
      </c>
      <c r="N13" t="e">
        <f>IF(#REF!=1,"",L13)</f>
        <v>#REF!</v>
      </c>
      <c r="O13" t="s">
        <v>1185</v>
      </c>
      <c r="P13">
        <v>12</v>
      </c>
    </row>
    <row r="14" spans="2:16" ht="13.5" customHeight="1">
      <c r="B14" s="6" t="s">
        <v>179</v>
      </c>
      <c r="C14" s="5">
        <v>13</v>
      </c>
      <c r="D14" t="str">
        <f t="shared" si="1"/>
        <v>0013</v>
      </c>
      <c r="H14" t="str">
        <f t="shared" si="2"/>
        <v>28</v>
      </c>
      <c r="I14" s="6" t="s">
        <v>179</v>
      </c>
      <c r="J14" t="str">
        <f t="shared" si="0"/>
        <v>0013</v>
      </c>
      <c r="K14">
        <v>213</v>
      </c>
      <c r="L14" s="6" t="s">
        <v>1243</v>
      </c>
      <c r="N14" t="e">
        <f>IF(#REF!=1,"",L14)</f>
        <v>#REF!</v>
      </c>
      <c r="O14" t="s">
        <v>1186</v>
      </c>
      <c r="P14">
        <v>13</v>
      </c>
    </row>
    <row r="15" spans="2:16" ht="13.5" customHeight="1">
      <c r="B15" s="6" t="s">
        <v>171</v>
      </c>
      <c r="C15" s="5">
        <v>14</v>
      </c>
      <c r="D15" t="str">
        <f t="shared" si="1"/>
        <v>0014</v>
      </c>
      <c r="H15" t="str">
        <f t="shared" si="2"/>
        <v>29</v>
      </c>
      <c r="I15" s="6" t="s">
        <v>171</v>
      </c>
      <c r="J15" t="str">
        <f t="shared" si="0"/>
        <v>0014</v>
      </c>
      <c r="K15">
        <v>214</v>
      </c>
      <c r="L15" s="6" t="s">
        <v>159</v>
      </c>
      <c r="N15" t="e">
        <f>IF(#REF!=1,"",L15)</f>
        <v>#REF!</v>
      </c>
      <c r="O15" t="s">
        <v>1187</v>
      </c>
      <c r="P15">
        <v>14</v>
      </c>
    </row>
    <row r="16" spans="2:16" ht="13.5" customHeight="1">
      <c r="B16" s="6" t="s">
        <v>1209</v>
      </c>
      <c r="C16" s="5">
        <v>15</v>
      </c>
      <c r="D16" t="str">
        <f t="shared" si="1"/>
        <v>0015</v>
      </c>
      <c r="H16" t="str">
        <f t="shared" si="2"/>
        <v>210</v>
      </c>
      <c r="I16" s="6" t="s">
        <v>1209</v>
      </c>
      <c r="J16" t="str">
        <f t="shared" si="0"/>
        <v>0015</v>
      </c>
      <c r="K16">
        <v>215</v>
      </c>
      <c r="L16" s="6" t="s">
        <v>157</v>
      </c>
      <c r="N16" t="e">
        <f>IF(#REF!=1,"",L16)</f>
        <v>#REF!</v>
      </c>
      <c r="O16" t="s">
        <v>1188</v>
      </c>
      <c r="P16">
        <v>15</v>
      </c>
    </row>
    <row r="17" spans="2:16" ht="13.5" customHeight="1">
      <c r="B17" s="6" t="s">
        <v>169</v>
      </c>
      <c r="C17" s="5">
        <v>16</v>
      </c>
      <c r="D17" t="str">
        <f t="shared" si="1"/>
        <v>0016</v>
      </c>
      <c r="H17" t="str">
        <f t="shared" si="2"/>
        <v>211</v>
      </c>
      <c r="I17" s="6" t="s">
        <v>169</v>
      </c>
      <c r="J17" t="str">
        <f t="shared" si="0"/>
        <v>0016</v>
      </c>
      <c r="K17">
        <v>216</v>
      </c>
      <c r="L17" s="6" t="s">
        <v>152</v>
      </c>
      <c r="N17" t="e">
        <f>IF(#REF!=1,"",L17)</f>
        <v>#REF!</v>
      </c>
      <c r="O17" t="s">
        <v>1189</v>
      </c>
      <c r="P17">
        <v>16</v>
      </c>
    </row>
    <row r="18" spans="2:16" ht="13.5" customHeight="1">
      <c r="B18" s="6" t="s">
        <v>168</v>
      </c>
      <c r="C18" s="5">
        <v>17</v>
      </c>
      <c r="D18" t="str">
        <f t="shared" si="1"/>
        <v>0017</v>
      </c>
      <c r="H18" t="str">
        <f t="shared" si="2"/>
        <v>212</v>
      </c>
      <c r="I18" s="6" t="s">
        <v>168</v>
      </c>
      <c r="J18" t="str">
        <f t="shared" si="0"/>
        <v>0017</v>
      </c>
      <c r="K18">
        <v>217</v>
      </c>
      <c r="L18" s="6" t="s">
        <v>146</v>
      </c>
      <c r="N18" t="e">
        <f>IF(#REF!=1,"",L18)</f>
        <v>#REF!</v>
      </c>
      <c r="O18" t="s">
        <v>1190</v>
      </c>
      <c r="P18">
        <v>17</v>
      </c>
    </row>
    <row r="19" spans="2:16" ht="13.5" customHeight="1">
      <c r="B19" s="6" t="s">
        <v>1244</v>
      </c>
      <c r="C19" s="5">
        <v>18</v>
      </c>
      <c r="D19" t="str">
        <f t="shared" si="1"/>
        <v>0018</v>
      </c>
      <c r="H19" t="str">
        <f t="shared" si="2"/>
        <v>213</v>
      </c>
      <c r="I19" s="6" t="s">
        <v>1243</v>
      </c>
      <c r="J19" t="str">
        <f t="shared" si="0"/>
        <v>0018</v>
      </c>
      <c r="K19">
        <v>218</v>
      </c>
      <c r="L19" s="6" t="s">
        <v>144</v>
      </c>
      <c r="N19" t="e">
        <f>IF(#REF!=1,"",L19)</f>
        <v>#REF!</v>
      </c>
      <c r="O19" t="s">
        <v>1191</v>
      </c>
      <c r="P19">
        <v>18</v>
      </c>
    </row>
    <row r="20" spans="2:16" ht="13.5" customHeight="1">
      <c r="B20" s="6" t="s">
        <v>159</v>
      </c>
      <c r="C20" s="5">
        <v>19</v>
      </c>
      <c r="D20" t="str">
        <f t="shared" si="1"/>
        <v>0019</v>
      </c>
      <c r="H20" t="str">
        <f t="shared" si="2"/>
        <v>214</v>
      </c>
      <c r="I20" s="6" t="s">
        <v>159</v>
      </c>
      <c r="J20" t="str">
        <f t="shared" si="0"/>
        <v>0019</v>
      </c>
      <c r="K20">
        <v>219</v>
      </c>
      <c r="L20" s="6" t="s">
        <v>141</v>
      </c>
      <c r="N20" t="e">
        <f>IF(#REF!=1,"",L20)</f>
        <v>#REF!</v>
      </c>
      <c r="O20" t="s">
        <v>1192</v>
      </c>
      <c r="P20">
        <v>19</v>
      </c>
    </row>
    <row r="21" spans="2:16" ht="13.5" customHeight="1">
      <c r="B21" s="6" t="s">
        <v>157</v>
      </c>
      <c r="C21" s="5">
        <v>20</v>
      </c>
      <c r="D21" t="str">
        <f t="shared" si="1"/>
        <v>0020</v>
      </c>
      <c r="H21" t="str">
        <f t="shared" si="2"/>
        <v>215</v>
      </c>
      <c r="I21" s="6" t="s">
        <v>157</v>
      </c>
      <c r="J21" t="str">
        <f t="shared" si="0"/>
        <v>0020</v>
      </c>
      <c r="K21">
        <v>220</v>
      </c>
      <c r="L21" s="6" t="s">
        <v>1935</v>
      </c>
      <c r="N21" t="e">
        <f>IF(#REF!=1,"",L21)</f>
        <v>#REF!</v>
      </c>
      <c r="O21" t="s">
        <v>1193</v>
      </c>
      <c r="P21">
        <v>20</v>
      </c>
    </row>
    <row r="22" spans="2:16" ht="13.5" customHeight="1">
      <c r="B22" s="6" t="s">
        <v>152</v>
      </c>
      <c r="C22" s="5">
        <v>21</v>
      </c>
      <c r="D22" t="str">
        <f t="shared" si="1"/>
        <v>0021</v>
      </c>
      <c r="H22" t="str">
        <f t="shared" si="2"/>
        <v>216</v>
      </c>
      <c r="I22" s="6" t="s">
        <v>152</v>
      </c>
      <c r="J22" t="str">
        <f t="shared" si="0"/>
        <v>0021</v>
      </c>
      <c r="K22">
        <v>221</v>
      </c>
      <c r="L22" s="6" t="s">
        <v>112</v>
      </c>
      <c r="N22" t="e">
        <f>IF(#REF!=1,"",L22)</f>
        <v>#REF!</v>
      </c>
      <c r="O22" t="s">
        <v>1194</v>
      </c>
      <c r="P22">
        <v>21</v>
      </c>
    </row>
    <row r="23" spans="2:16" ht="13.5" customHeight="1">
      <c r="B23" s="6" t="s">
        <v>146</v>
      </c>
      <c r="C23" s="5">
        <v>22</v>
      </c>
      <c r="D23" t="str">
        <f t="shared" si="1"/>
        <v>0022</v>
      </c>
      <c r="H23" t="str">
        <f t="shared" si="2"/>
        <v>217</v>
      </c>
      <c r="I23" s="6" t="s">
        <v>146</v>
      </c>
      <c r="J23" t="str">
        <f t="shared" si="0"/>
        <v>0022</v>
      </c>
      <c r="K23">
        <v>222</v>
      </c>
      <c r="L23" s="6" t="s">
        <v>1207</v>
      </c>
      <c r="N23" t="e">
        <f>IF(#REF!=1,"",L23)</f>
        <v>#REF!</v>
      </c>
      <c r="O23" t="s">
        <v>1195</v>
      </c>
      <c r="P23">
        <v>22</v>
      </c>
    </row>
    <row r="24" spans="2:16" ht="13.5" customHeight="1">
      <c r="B24" s="6" t="s">
        <v>144</v>
      </c>
      <c r="C24" s="5">
        <v>23</v>
      </c>
      <c r="D24" t="str">
        <f t="shared" si="1"/>
        <v>0023</v>
      </c>
      <c r="H24" t="str">
        <f t="shared" si="2"/>
        <v>218</v>
      </c>
      <c r="I24" s="6" t="s">
        <v>144</v>
      </c>
      <c r="J24" t="str">
        <f t="shared" si="0"/>
        <v>0023</v>
      </c>
      <c r="K24">
        <v>223</v>
      </c>
      <c r="L24" s="6" t="s">
        <v>111</v>
      </c>
      <c r="N24" t="e">
        <f>IF(#REF!=1,"",L24)</f>
        <v>#REF!</v>
      </c>
      <c r="O24" t="s">
        <v>1196</v>
      </c>
      <c r="P24">
        <v>23</v>
      </c>
    </row>
    <row r="25" spans="2:16" ht="13.5" customHeight="1">
      <c r="B25" s="6" t="s">
        <v>141</v>
      </c>
      <c r="C25" s="5">
        <v>24</v>
      </c>
      <c r="D25" t="str">
        <f t="shared" si="1"/>
        <v>0024</v>
      </c>
      <c r="H25" t="str">
        <f t="shared" si="2"/>
        <v>219</v>
      </c>
      <c r="I25" s="6" t="s">
        <v>141</v>
      </c>
      <c r="J25" t="str">
        <f t="shared" si="0"/>
        <v>0024</v>
      </c>
      <c r="K25">
        <v>224</v>
      </c>
      <c r="L25" s="6" t="s">
        <v>110</v>
      </c>
      <c r="N25" t="e">
        <f>IF(#REF!=1,"",L25)</f>
        <v>#REF!</v>
      </c>
      <c r="O25" t="s">
        <v>1197</v>
      </c>
      <c r="P25">
        <v>24</v>
      </c>
    </row>
    <row r="26" spans="2:16" ht="13.5" customHeight="1">
      <c r="B26" s="6" t="s">
        <v>1935</v>
      </c>
      <c r="C26" s="5">
        <v>25</v>
      </c>
      <c r="D26" t="str">
        <f t="shared" si="1"/>
        <v>0025</v>
      </c>
      <c r="H26" t="str">
        <f t="shared" si="2"/>
        <v>220</v>
      </c>
      <c r="I26" s="6" t="s">
        <v>1935</v>
      </c>
      <c r="J26" t="str">
        <f t="shared" si="0"/>
        <v>0025</v>
      </c>
      <c r="K26">
        <v>225</v>
      </c>
      <c r="L26" s="6" t="s">
        <v>98</v>
      </c>
      <c r="N26" t="e">
        <f>IF(#REF!=1,"",L26)</f>
        <v>#REF!</v>
      </c>
      <c r="O26" t="s">
        <v>1198</v>
      </c>
      <c r="P26">
        <v>25</v>
      </c>
    </row>
    <row r="27" spans="2:16" ht="13.5" customHeight="1">
      <c r="B27" s="6" t="s">
        <v>112</v>
      </c>
      <c r="C27" s="5">
        <v>26</v>
      </c>
      <c r="D27" t="str">
        <f t="shared" si="1"/>
        <v>0026</v>
      </c>
      <c r="H27" t="str">
        <f t="shared" si="2"/>
        <v>221</v>
      </c>
      <c r="I27" s="6" t="s">
        <v>112</v>
      </c>
      <c r="J27" t="str">
        <f t="shared" si="0"/>
        <v>0026</v>
      </c>
      <c r="K27">
        <v>226</v>
      </c>
      <c r="L27" s="6" t="s">
        <v>96</v>
      </c>
      <c r="N27" t="e">
        <f>IF(#REF!=1,"",L27)</f>
        <v>#REF!</v>
      </c>
      <c r="O27" t="s">
        <v>1199</v>
      </c>
      <c r="P27">
        <v>26</v>
      </c>
    </row>
    <row r="28" spans="2:16" ht="13.5" customHeight="1">
      <c r="B28" s="6" t="s">
        <v>1207</v>
      </c>
      <c r="C28" s="5">
        <v>27</v>
      </c>
      <c r="D28" t="str">
        <f t="shared" si="1"/>
        <v>0027</v>
      </c>
      <c r="H28" t="str">
        <f t="shared" si="2"/>
        <v>222</v>
      </c>
      <c r="I28" s="6" t="s">
        <v>1207</v>
      </c>
      <c r="J28" t="str">
        <f t="shared" si="0"/>
        <v>0027</v>
      </c>
      <c r="K28">
        <v>227</v>
      </c>
      <c r="L28" s="6" t="s">
        <v>95</v>
      </c>
      <c r="N28" t="e">
        <f>IF(#REF!=1,"",L28)</f>
        <v>#REF!</v>
      </c>
      <c r="O28" t="s">
        <v>1200</v>
      </c>
      <c r="P28">
        <v>27</v>
      </c>
    </row>
    <row r="29" spans="2:16" ht="13.5" customHeight="1">
      <c r="B29" s="6" t="s">
        <v>111</v>
      </c>
      <c r="C29" s="5">
        <v>28</v>
      </c>
      <c r="D29" t="str">
        <f t="shared" si="1"/>
        <v>0028</v>
      </c>
      <c r="H29" t="str">
        <f t="shared" si="2"/>
        <v>223</v>
      </c>
      <c r="I29" s="6" t="s">
        <v>111</v>
      </c>
      <c r="J29" t="str">
        <f t="shared" si="0"/>
        <v>0028</v>
      </c>
      <c r="K29">
        <v>228</v>
      </c>
      <c r="L29" t="s">
        <v>1142</v>
      </c>
      <c r="N29" t="e">
        <f>IF(#REF!=1,"",L29)</f>
        <v>#REF!</v>
      </c>
      <c r="O29" t="s">
        <v>1201</v>
      </c>
      <c r="P29">
        <v>28</v>
      </c>
    </row>
    <row r="30" spans="2:16" ht="13.5" customHeight="1">
      <c r="B30" s="6" t="s">
        <v>110</v>
      </c>
      <c r="C30" s="5">
        <v>29</v>
      </c>
      <c r="D30" t="str">
        <f t="shared" si="1"/>
        <v>0029</v>
      </c>
      <c r="H30" t="str">
        <f t="shared" si="2"/>
        <v>224</v>
      </c>
      <c r="I30" s="6" t="s">
        <v>110</v>
      </c>
      <c r="J30" t="str">
        <f t="shared" si="0"/>
        <v>0029</v>
      </c>
      <c r="K30">
        <v>229</v>
      </c>
      <c r="L30" t="s">
        <v>87</v>
      </c>
      <c r="N30" t="e">
        <f>IF(#REF!=1,"",L30)</f>
        <v>#REF!</v>
      </c>
      <c r="O30" t="s">
        <v>1202</v>
      </c>
      <c r="P30">
        <v>29</v>
      </c>
    </row>
    <row r="31" spans="2:16" ht="13.5" customHeight="1">
      <c r="B31" s="6" t="s">
        <v>98</v>
      </c>
      <c r="C31" s="5">
        <v>30</v>
      </c>
      <c r="D31" t="str">
        <f t="shared" si="1"/>
        <v>0030</v>
      </c>
      <c r="H31" t="str">
        <f t="shared" si="2"/>
        <v>225</v>
      </c>
      <c r="I31" s="6" t="s">
        <v>98</v>
      </c>
      <c r="J31" t="str">
        <f t="shared" si="0"/>
        <v>0030</v>
      </c>
      <c r="K31">
        <v>230</v>
      </c>
      <c r="L31" t="s">
        <v>82</v>
      </c>
      <c r="N31" t="e">
        <f>IF(#REF!=1,"",L31)</f>
        <v>#REF!</v>
      </c>
      <c r="O31" t="s">
        <v>1203</v>
      </c>
      <c r="P31">
        <v>30</v>
      </c>
    </row>
    <row r="32" spans="2:16" ht="13.5" customHeight="1">
      <c r="B32" s="6" t="s">
        <v>96</v>
      </c>
      <c r="C32" s="5">
        <v>31</v>
      </c>
      <c r="D32" t="str">
        <f t="shared" si="1"/>
        <v>0031</v>
      </c>
      <c r="H32" t="str">
        <f t="shared" si="2"/>
        <v>226</v>
      </c>
      <c r="I32" s="6" t="s">
        <v>96</v>
      </c>
      <c r="J32" t="str">
        <f t="shared" si="0"/>
        <v>0031</v>
      </c>
      <c r="K32">
        <v>231</v>
      </c>
      <c r="L32" t="s">
        <v>76</v>
      </c>
      <c r="N32" t="e">
        <f>IF(#REF!=1,"",L32)</f>
        <v>#REF!</v>
      </c>
      <c r="O32" t="s">
        <v>1204</v>
      </c>
      <c r="P32">
        <v>31</v>
      </c>
    </row>
    <row r="33" spans="2:16" ht="13.5" customHeight="1">
      <c r="B33" s="6" t="s">
        <v>95</v>
      </c>
      <c r="C33" s="5">
        <v>32</v>
      </c>
      <c r="D33" t="str">
        <f t="shared" si="1"/>
        <v>0032</v>
      </c>
      <c r="H33" t="str">
        <f t="shared" si="2"/>
        <v>227</v>
      </c>
      <c r="I33" s="6" t="s">
        <v>95</v>
      </c>
      <c r="J33" t="str">
        <f t="shared" si="0"/>
        <v>0032</v>
      </c>
    </row>
    <row r="34" spans="2:16" ht="13.5" customHeight="1">
      <c r="B34" t="s">
        <v>1142</v>
      </c>
      <c r="C34" s="5">
        <v>33</v>
      </c>
      <c r="D34" t="str">
        <f t="shared" si="1"/>
        <v>0033</v>
      </c>
      <c r="H34" t="str">
        <f t="shared" si="2"/>
        <v>228</v>
      </c>
      <c r="I34" t="s">
        <v>1142</v>
      </c>
      <c r="J34" t="str">
        <f t="shared" si="0"/>
        <v>0033</v>
      </c>
    </row>
    <row r="35" spans="2:16" ht="13.5" customHeight="1">
      <c r="B35" t="s">
        <v>87</v>
      </c>
      <c r="C35" s="5">
        <v>34</v>
      </c>
      <c r="D35" t="str">
        <f t="shared" si="1"/>
        <v>0034</v>
      </c>
      <c r="H35" t="str">
        <f t="shared" si="2"/>
        <v>229</v>
      </c>
      <c r="I35" t="s">
        <v>87</v>
      </c>
      <c r="J35" t="str">
        <f t="shared" si="0"/>
        <v>0034</v>
      </c>
    </row>
    <row r="36" spans="2:16" ht="13.5" customHeight="1">
      <c r="B36" t="s">
        <v>82</v>
      </c>
      <c r="C36" s="5">
        <v>35</v>
      </c>
      <c r="D36" t="str">
        <f t="shared" si="1"/>
        <v>0035</v>
      </c>
      <c r="H36" t="str">
        <f t="shared" si="2"/>
        <v>230</v>
      </c>
      <c r="I36" t="s">
        <v>82</v>
      </c>
      <c r="J36" t="str">
        <f t="shared" si="0"/>
        <v>0035</v>
      </c>
    </row>
    <row r="37" spans="2:16" ht="13.5" customHeight="1">
      <c r="B37" t="s">
        <v>76</v>
      </c>
      <c r="C37" s="5">
        <v>36</v>
      </c>
      <c r="D37" t="str">
        <f t="shared" si="1"/>
        <v>0036</v>
      </c>
      <c r="H37" t="str">
        <f t="shared" si="2"/>
        <v>231</v>
      </c>
      <c r="I37" t="s">
        <v>76</v>
      </c>
      <c r="J37" t="str">
        <f t="shared" si="0"/>
        <v>0036</v>
      </c>
    </row>
    <row r="38" spans="2:16" ht="13.5" customHeight="1"/>
    <row r="39" spans="2:16" ht="13.5" customHeight="1"/>
    <row r="40" spans="2:16" ht="13.5" customHeight="1"/>
    <row r="41" spans="2:16" ht="13.5" customHeight="1"/>
    <row r="42" spans="2:16" ht="13.5" customHeight="1">
      <c r="B42" s="901" t="s">
        <v>1134</v>
      </c>
      <c r="C42" s="901"/>
    </row>
    <row r="43" spans="2:16" ht="13.5" customHeight="1">
      <c r="B43" s="4" t="s">
        <v>828</v>
      </c>
      <c r="C43" s="5">
        <v>1</v>
      </c>
      <c r="D43" t="str">
        <f>TEXT($C43,"0000")</f>
        <v>0001</v>
      </c>
      <c r="H43" t="str">
        <f>E$2&amp;P43</f>
        <v>11</v>
      </c>
      <c r="I43" s="4" t="s">
        <v>828</v>
      </c>
      <c r="J43" t="str">
        <f t="shared" ref="J43:J78" si="3">TEXT($C43,"0000")</f>
        <v>0001</v>
      </c>
      <c r="K43">
        <v>21</v>
      </c>
      <c r="L43" s="6" t="s">
        <v>197</v>
      </c>
      <c r="N43" t="str">
        <f>IF(운용리스!$BT$10=1,I43,L43)</f>
        <v>AUDI</v>
      </c>
      <c r="O43" t="str">
        <f>운용리스!$BT$10&amp;P43</f>
        <v>21</v>
      </c>
      <c r="P43">
        <v>1</v>
      </c>
    </row>
    <row r="44" spans="2:16" ht="13.5" customHeight="1">
      <c r="B44" s="6" t="s">
        <v>773</v>
      </c>
      <c r="C44" s="5">
        <v>2</v>
      </c>
      <c r="D44" t="str">
        <f t="shared" ref="D44:D78" si="4">TEXT(C44,"0000")</f>
        <v>0002</v>
      </c>
      <c r="H44" t="str">
        <f>E$2&amp;P44</f>
        <v>12</v>
      </c>
      <c r="I44" s="6" t="s">
        <v>773</v>
      </c>
      <c r="J44" t="str">
        <f t="shared" si="3"/>
        <v>0002</v>
      </c>
      <c r="K44">
        <v>22</v>
      </c>
      <c r="L44" s="6" t="s">
        <v>194</v>
      </c>
      <c r="N44" t="str">
        <f>IF(운용리스!BT$10=1,I44,L44)</f>
        <v>BENTLEY</v>
      </c>
      <c r="O44" t="str">
        <f>운용리스!$BT$10&amp;P44</f>
        <v>22</v>
      </c>
      <c r="P44">
        <v>2</v>
      </c>
    </row>
    <row r="45" spans="2:16" ht="13.5" customHeight="1">
      <c r="B45" s="6" t="s">
        <v>728</v>
      </c>
      <c r="C45" s="5">
        <v>3</v>
      </c>
      <c r="D45" t="str">
        <f t="shared" si="4"/>
        <v>0003</v>
      </c>
      <c r="H45" t="str">
        <f>E$2&amp;P45</f>
        <v>13</v>
      </c>
      <c r="I45" s="6" t="s">
        <v>728</v>
      </c>
      <c r="J45" t="str">
        <f t="shared" si="3"/>
        <v>0003</v>
      </c>
      <c r="K45">
        <v>23</v>
      </c>
      <c r="L45" s="6" t="s">
        <v>184</v>
      </c>
      <c r="N45" t="str">
        <f>IF(운용리스!BT$10=1,I45,L45)</f>
        <v>BMW</v>
      </c>
      <c r="O45" t="str">
        <f>운용리스!$BT$10&amp;P45</f>
        <v>23</v>
      </c>
      <c r="P45">
        <v>3</v>
      </c>
    </row>
    <row r="46" spans="2:16" ht="13.5" customHeight="1">
      <c r="B46" s="6" t="s">
        <v>646</v>
      </c>
      <c r="C46" s="5">
        <v>4</v>
      </c>
      <c r="D46" t="str">
        <f t="shared" si="4"/>
        <v>0004</v>
      </c>
      <c r="H46" t="str">
        <f>E$2&amp;P46</f>
        <v>14</v>
      </c>
      <c r="I46" s="6" t="s">
        <v>646</v>
      </c>
      <c r="J46" t="str">
        <f t="shared" si="3"/>
        <v>0004</v>
      </c>
      <c r="K46">
        <v>24</v>
      </c>
      <c r="L46" s="6" t="s">
        <v>183</v>
      </c>
      <c r="N46" t="str">
        <f>IF(운용리스!BT$10=1,I46,L46)</f>
        <v>CADILLAC</v>
      </c>
      <c r="O46" t="str">
        <f>운용리스!$BT$10&amp;P46</f>
        <v>24</v>
      </c>
      <c r="P46">
        <v>4</v>
      </c>
    </row>
    <row r="47" spans="2:16" ht="13.5" customHeight="1">
      <c r="B47" s="6" t="s">
        <v>294</v>
      </c>
      <c r="C47" s="5">
        <v>5</v>
      </c>
      <c r="D47" t="str">
        <f t="shared" si="4"/>
        <v>0005</v>
      </c>
      <c r="H47" t="str">
        <f>E$2&amp;P47</f>
        <v>15</v>
      </c>
      <c r="I47" s="6" t="s">
        <v>294</v>
      </c>
      <c r="J47" t="str">
        <f t="shared" si="3"/>
        <v>0005</v>
      </c>
      <c r="K47">
        <v>25</v>
      </c>
      <c r="L47" s="6" t="s">
        <v>182</v>
      </c>
      <c r="N47" t="str">
        <f>IF(운용리스!BT$10=1,I47,L47)</f>
        <v>CHRYSLER</v>
      </c>
      <c r="O47" t="str">
        <f>운용리스!$BT$10&amp;P47</f>
        <v>25</v>
      </c>
      <c r="P47">
        <v>5</v>
      </c>
    </row>
    <row r="48" spans="2:16" ht="13.5" customHeight="1">
      <c r="B48" s="6" t="s">
        <v>197</v>
      </c>
      <c r="C48" s="5">
        <v>6</v>
      </c>
      <c r="D48" t="str">
        <f t="shared" si="4"/>
        <v>0006</v>
      </c>
      <c r="H48" t="str">
        <f t="shared" ref="H48:H78" si="5">E$3&amp;P43</f>
        <v>21</v>
      </c>
      <c r="I48" s="6" t="s">
        <v>197</v>
      </c>
      <c r="J48" t="str">
        <f t="shared" si="3"/>
        <v>0006</v>
      </c>
      <c r="K48">
        <v>26</v>
      </c>
      <c r="L48" s="6" t="s">
        <v>181</v>
      </c>
      <c r="N48" t="str">
        <f>IF(운용리스!BT$10=1,"",IF(운용리스!BT$10=2,L48,""))</f>
        <v>Citroen</v>
      </c>
      <c r="O48" t="str">
        <f>운용리스!$BT$10&amp;P48</f>
        <v>26</v>
      </c>
      <c r="P48">
        <v>6</v>
      </c>
    </row>
    <row r="49" spans="2:16" ht="13.5" customHeight="1">
      <c r="B49" s="6" t="s">
        <v>194</v>
      </c>
      <c r="C49" s="5">
        <v>7</v>
      </c>
      <c r="D49" t="str">
        <f t="shared" si="4"/>
        <v>0007</v>
      </c>
      <c r="H49" t="str">
        <f t="shared" si="5"/>
        <v>22</v>
      </c>
      <c r="I49" s="6" t="s">
        <v>194</v>
      </c>
      <c r="J49" t="str">
        <f t="shared" si="3"/>
        <v>0007</v>
      </c>
      <c r="K49">
        <v>27</v>
      </c>
      <c r="L49" s="6" t="s">
        <v>180</v>
      </c>
      <c r="N49" t="str">
        <f>IF(운용리스!BT$10=1,"",IF(운용리스!BT$10=2,L49,""))</f>
        <v>Ferrari</v>
      </c>
      <c r="O49" t="str">
        <f>운용리스!$BT$10&amp;P49</f>
        <v>27</v>
      </c>
      <c r="P49">
        <v>7</v>
      </c>
    </row>
    <row r="50" spans="2:16" ht="13.5" customHeight="1">
      <c r="B50" s="6" t="s">
        <v>184</v>
      </c>
      <c r="C50" s="5">
        <v>8</v>
      </c>
      <c r="D50" t="str">
        <f t="shared" si="4"/>
        <v>0008</v>
      </c>
      <c r="H50" t="str">
        <f t="shared" si="5"/>
        <v>23</v>
      </c>
      <c r="I50" s="6" t="s">
        <v>184</v>
      </c>
      <c r="J50" t="str">
        <f t="shared" si="3"/>
        <v>0008</v>
      </c>
      <c r="K50">
        <v>28</v>
      </c>
      <c r="L50" s="6" t="s">
        <v>179</v>
      </c>
      <c r="N50" t="str">
        <f>IF(운용리스!BT$10=1,"",IF(운용리스!BT$10=2,L50,""))</f>
        <v>FIAT</v>
      </c>
      <c r="O50" t="str">
        <f>운용리스!$BT$10&amp;P50</f>
        <v>28</v>
      </c>
      <c r="P50">
        <v>8</v>
      </c>
    </row>
    <row r="51" spans="2:16" ht="13.5" customHeight="1">
      <c r="B51" s="6" t="s">
        <v>183</v>
      </c>
      <c r="C51" s="5">
        <v>9</v>
      </c>
      <c r="D51" t="str">
        <f t="shared" si="4"/>
        <v>0009</v>
      </c>
      <c r="H51" t="str">
        <f t="shared" si="5"/>
        <v>24</v>
      </c>
      <c r="I51" s="6" t="s">
        <v>183</v>
      </c>
      <c r="J51" t="str">
        <f t="shared" si="3"/>
        <v>0009</v>
      </c>
      <c r="K51">
        <v>29</v>
      </c>
      <c r="L51" s="6" t="s">
        <v>171</v>
      </c>
      <c r="N51" t="str">
        <f>IF(운용리스!BT$10=1,"",IF(운용리스!BT$10=2,L51,""))</f>
        <v>FORD</v>
      </c>
      <c r="O51" t="str">
        <f>운용리스!$BT$10&amp;P51</f>
        <v>29</v>
      </c>
      <c r="P51">
        <v>9</v>
      </c>
    </row>
    <row r="52" spans="2:16" ht="13.5" customHeight="1">
      <c r="B52" s="6" t="s">
        <v>182</v>
      </c>
      <c r="C52" s="5">
        <v>10</v>
      </c>
      <c r="D52" t="str">
        <f t="shared" si="4"/>
        <v>0010</v>
      </c>
      <c r="H52" t="str">
        <f t="shared" si="5"/>
        <v>25</v>
      </c>
      <c r="I52" s="6" t="s">
        <v>182</v>
      </c>
      <c r="J52" t="str">
        <f t="shared" si="3"/>
        <v>0010</v>
      </c>
      <c r="K52">
        <v>210</v>
      </c>
      <c r="L52" s="6" t="s">
        <v>1209</v>
      </c>
      <c r="N52" t="str">
        <f>IF(운용리스!BT$10=1,"",IF(운용리스!BT$10=2,L52,""))</f>
        <v>Aston martin</v>
      </c>
      <c r="O52" t="str">
        <f>운용리스!$BT$10&amp;P52</f>
        <v>210</v>
      </c>
      <c r="P52">
        <v>10</v>
      </c>
    </row>
    <row r="53" spans="2:16" ht="13.5" customHeight="1">
      <c r="B53" s="6" t="s">
        <v>181</v>
      </c>
      <c r="C53" s="5">
        <v>11</v>
      </c>
      <c r="D53" t="str">
        <f t="shared" si="4"/>
        <v>0011</v>
      </c>
      <c r="H53" t="str">
        <f t="shared" si="5"/>
        <v>26</v>
      </c>
      <c r="I53" s="6" t="s">
        <v>181</v>
      </c>
      <c r="J53" t="str">
        <f t="shared" si="3"/>
        <v>0011</v>
      </c>
      <c r="K53">
        <v>211</v>
      </c>
      <c r="L53" s="6" t="s">
        <v>169</v>
      </c>
      <c r="N53" t="str">
        <f>IF(운용리스!BT$10=1,"",IF(운용리스!BT$10=2,L53,""))</f>
        <v>HONDA</v>
      </c>
      <c r="O53" t="str">
        <f>운용리스!$BT$10&amp;P53</f>
        <v>211</v>
      </c>
      <c r="P53">
        <v>11</v>
      </c>
    </row>
    <row r="54" spans="2:16" ht="13.5" customHeight="1">
      <c r="B54" s="6" t="s">
        <v>180</v>
      </c>
      <c r="C54" s="5">
        <v>12</v>
      </c>
      <c r="D54" t="str">
        <f t="shared" si="4"/>
        <v>0012</v>
      </c>
      <c r="H54" t="str">
        <f t="shared" si="5"/>
        <v>27</v>
      </c>
      <c r="I54" s="6" t="s">
        <v>180</v>
      </c>
      <c r="J54" t="str">
        <f t="shared" si="3"/>
        <v>0012</v>
      </c>
      <c r="K54">
        <v>212</v>
      </c>
      <c r="L54" s="6" t="s">
        <v>168</v>
      </c>
      <c r="N54" t="str">
        <f>IF(운용리스!BT$10=1,"",IF(운용리스!BT$10=2,L54,""))</f>
        <v>INFINITI</v>
      </c>
      <c r="O54" t="str">
        <f>운용리스!$BT$10&amp;P54</f>
        <v>212</v>
      </c>
      <c r="P54">
        <v>12</v>
      </c>
    </row>
    <row r="55" spans="2:16" ht="13.5" customHeight="1">
      <c r="B55" s="6" t="s">
        <v>179</v>
      </c>
      <c r="C55" s="5">
        <v>13</v>
      </c>
      <c r="D55" t="str">
        <f t="shared" si="4"/>
        <v>0013</v>
      </c>
      <c r="H55" t="str">
        <f t="shared" si="5"/>
        <v>28</v>
      </c>
      <c r="I55" s="6" t="s">
        <v>179</v>
      </c>
      <c r="J55" t="str">
        <f t="shared" si="3"/>
        <v>0013</v>
      </c>
      <c r="K55">
        <v>213</v>
      </c>
      <c r="L55" s="6" t="s">
        <v>1243</v>
      </c>
      <c r="N55" t="str">
        <f>IF(운용리스!BT$10=1,"",IF(운용리스!BT$10=2,L55,""))</f>
        <v>JAGUAR&amp;LANDROVER</v>
      </c>
      <c r="O55" t="str">
        <f>운용리스!$BT$10&amp;P55</f>
        <v>213</v>
      </c>
      <c r="P55">
        <v>13</v>
      </c>
    </row>
    <row r="56" spans="2:16" ht="13.5" customHeight="1">
      <c r="B56" s="6" t="s">
        <v>171</v>
      </c>
      <c r="C56" s="5">
        <v>14</v>
      </c>
      <c r="D56" t="str">
        <f t="shared" si="4"/>
        <v>0014</v>
      </c>
      <c r="H56" t="str">
        <f t="shared" si="5"/>
        <v>29</v>
      </c>
      <c r="I56" s="6" t="s">
        <v>171</v>
      </c>
      <c r="J56" t="str">
        <f t="shared" si="3"/>
        <v>0014</v>
      </c>
      <c r="K56">
        <v>214</v>
      </c>
      <c r="L56" s="6" t="s">
        <v>159</v>
      </c>
      <c r="N56" t="str">
        <f>IF(운용리스!BT$10=1,"",IF(운용리스!BT$10=2,L56,""))</f>
        <v>JEEP</v>
      </c>
      <c r="O56" t="str">
        <f>운용리스!$BT$10&amp;P56</f>
        <v>214</v>
      </c>
      <c r="P56">
        <v>14</v>
      </c>
    </row>
    <row r="57" spans="2:16" ht="13.5" customHeight="1">
      <c r="B57" s="6" t="s">
        <v>1209</v>
      </c>
      <c r="C57" s="5">
        <v>15</v>
      </c>
      <c r="D57" t="str">
        <f t="shared" si="4"/>
        <v>0015</v>
      </c>
      <c r="H57" t="str">
        <f t="shared" si="5"/>
        <v>210</v>
      </c>
      <c r="I57" s="6" t="s">
        <v>1209</v>
      </c>
      <c r="J57" t="str">
        <f t="shared" si="3"/>
        <v>0015</v>
      </c>
      <c r="K57">
        <v>215</v>
      </c>
      <c r="L57" s="6" t="s">
        <v>157</v>
      </c>
      <c r="N57" t="str">
        <f>IF(운용리스!BT$10=1,"",IF(운용리스!BT$10=2,L57,""))</f>
        <v>Lamborghini</v>
      </c>
      <c r="O57" t="str">
        <f>운용리스!$BT$10&amp;P57</f>
        <v>215</v>
      </c>
      <c r="P57">
        <v>15</v>
      </c>
    </row>
    <row r="58" spans="2:16" ht="13.5" customHeight="1">
      <c r="B58" s="6" t="s">
        <v>169</v>
      </c>
      <c r="C58" s="5">
        <v>16</v>
      </c>
      <c r="D58" t="str">
        <f t="shared" si="4"/>
        <v>0016</v>
      </c>
      <c r="H58" t="str">
        <f t="shared" si="5"/>
        <v>211</v>
      </c>
      <c r="I58" s="6" t="s">
        <v>169</v>
      </c>
      <c r="J58" t="str">
        <f t="shared" si="3"/>
        <v>0016</v>
      </c>
      <c r="K58">
        <v>216</v>
      </c>
      <c r="L58" s="6" t="s">
        <v>152</v>
      </c>
      <c r="N58" t="str">
        <f>IF(운용리스!BT$10=1,"",IF(운용리스!BT$10=2,L58,""))</f>
        <v>LANDROVER</v>
      </c>
      <c r="O58" t="str">
        <f>운용리스!$BT$10&amp;P58</f>
        <v>216</v>
      </c>
      <c r="P58">
        <v>16</v>
      </c>
    </row>
    <row r="59" spans="2:16" ht="13.5" customHeight="1">
      <c r="B59" s="6" t="s">
        <v>168</v>
      </c>
      <c r="C59" s="5">
        <v>17</v>
      </c>
      <c r="D59" t="str">
        <f t="shared" si="4"/>
        <v>0017</v>
      </c>
      <c r="H59" t="str">
        <f t="shared" si="5"/>
        <v>212</v>
      </c>
      <c r="I59" s="6" t="s">
        <v>168</v>
      </c>
      <c r="J59" t="str">
        <f t="shared" si="3"/>
        <v>0017</v>
      </c>
      <c r="K59">
        <v>217</v>
      </c>
      <c r="L59" s="6" t="s">
        <v>146</v>
      </c>
      <c r="N59" t="str">
        <f>IF(운용리스!BT$10=1,"",IF(운용리스!BT$10=2,L59,""))</f>
        <v>LEXUS</v>
      </c>
      <c r="O59" t="str">
        <f>운용리스!$BT$10&amp;P59</f>
        <v>217</v>
      </c>
      <c r="P59">
        <v>17</v>
      </c>
    </row>
    <row r="60" spans="2:16" ht="13.5" customHeight="1">
      <c r="B60" s="6" t="s">
        <v>1243</v>
      </c>
      <c r="C60" s="5">
        <v>18</v>
      </c>
      <c r="D60" t="str">
        <f t="shared" si="4"/>
        <v>0018</v>
      </c>
      <c r="H60" t="str">
        <f t="shared" si="5"/>
        <v>213</v>
      </c>
      <c r="I60" s="6" t="s">
        <v>1243</v>
      </c>
      <c r="J60" t="str">
        <f t="shared" si="3"/>
        <v>0018</v>
      </c>
      <c r="K60">
        <v>218</v>
      </c>
      <c r="L60" s="6" t="s">
        <v>144</v>
      </c>
      <c r="N60" t="str">
        <f>IF(운용리스!BT$10=1,"",IF(운용리스!BT$10=2,L60,""))</f>
        <v>LINCOLN</v>
      </c>
      <c r="O60" t="str">
        <f>운용리스!$BT$10&amp;P60</f>
        <v>218</v>
      </c>
      <c r="P60">
        <v>18</v>
      </c>
    </row>
    <row r="61" spans="2:16" ht="13.5" customHeight="1">
      <c r="B61" s="6" t="s">
        <v>159</v>
      </c>
      <c r="C61" s="5">
        <v>19</v>
      </c>
      <c r="D61" t="str">
        <f t="shared" si="4"/>
        <v>0019</v>
      </c>
      <c r="H61" t="str">
        <f t="shared" si="5"/>
        <v>214</v>
      </c>
      <c r="I61" s="6" t="s">
        <v>159</v>
      </c>
      <c r="J61" t="str">
        <f t="shared" si="3"/>
        <v>0019</v>
      </c>
      <c r="K61">
        <v>219</v>
      </c>
      <c r="L61" s="6" t="s">
        <v>141</v>
      </c>
      <c r="N61" t="str">
        <f>IF(운용리스!BT$10=1,"",IF(운용리스!BT$10=2,L61,""))</f>
        <v>MASERATI</v>
      </c>
      <c r="O61" t="str">
        <f>운용리스!$BT$10&amp;P61</f>
        <v>219</v>
      </c>
      <c r="P61">
        <v>19</v>
      </c>
    </row>
    <row r="62" spans="2:16" ht="13.5" customHeight="1">
      <c r="B62" s="6" t="s">
        <v>157</v>
      </c>
      <c r="C62" s="5">
        <v>20</v>
      </c>
      <c r="D62" t="str">
        <f t="shared" si="4"/>
        <v>0020</v>
      </c>
      <c r="H62" t="str">
        <f t="shared" si="5"/>
        <v>215</v>
      </c>
      <c r="I62" s="6" t="s">
        <v>157</v>
      </c>
      <c r="J62" t="str">
        <f t="shared" si="3"/>
        <v>0020</v>
      </c>
      <c r="K62">
        <v>220</v>
      </c>
      <c r="L62" s="6" t="s">
        <v>1935</v>
      </c>
      <c r="N62" t="str">
        <f>IF(운용리스!BT$10=1,"",IF(운용리스!BT$10=2,L62,""))</f>
        <v>MercedesBenz</v>
      </c>
      <c r="O62" t="str">
        <f>운용리스!$BT$10&amp;P62</f>
        <v>220</v>
      </c>
      <c r="P62">
        <v>20</v>
      </c>
    </row>
    <row r="63" spans="2:16" ht="13.5" customHeight="1">
      <c r="B63" s="6" t="s">
        <v>152</v>
      </c>
      <c r="C63" s="5">
        <v>21</v>
      </c>
      <c r="D63" t="str">
        <f t="shared" si="4"/>
        <v>0021</v>
      </c>
      <c r="H63" t="str">
        <f t="shared" si="5"/>
        <v>216</v>
      </c>
      <c r="I63" s="6" t="s">
        <v>152</v>
      </c>
      <c r="J63" t="str">
        <f t="shared" si="3"/>
        <v>0021</v>
      </c>
      <c r="K63">
        <v>221</v>
      </c>
      <c r="L63" s="6" t="s">
        <v>112</v>
      </c>
      <c r="N63" t="str">
        <f>IF(운용리스!BT$10=1,"",IF(운용리스!BT$10=2,L63,""))</f>
        <v>MINI</v>
      </c>
      <c r="O63" t="str">
        <f>운용리스!$BT$10&amp;P63</f>
        <v>221</v>
      </c>
      <c r="P63">
        <v>21</v>
      </c>
    </row>
    <row r="64" spans="2:16" ht="13.5" customHeight="1">
      <c r="B64" s="6" t="s">
        <v>146</v>
      </c>
      <c r="C64" s="5">
        <v>22</v>
      </c>
      <c r="D64" t="str">
        <f t="shared" si="4"/>
        <v>0022</v>
      </c>
      <c r="H64" t="str">
        <f t="shared" si="5"/>
        <v>217</v>
      </c>
      <c r="I64" s="6" t="s">
        <v>146</v>
      </c>
      <c r="J64" t="str">
        <f t="shared" si="3"/>
        <v>0022</v>
      </c>
      <c r="K64">
        <v>222</v>
      </c>
      <c r="L64" s="6" t="s">
        <v>1207</v>
      </c>
      <c r="N64" t="str">
        <f>IF(운용리스!BT$10=1,"",IF(운용리스!BT$10=2,L64,""))</f>
        <v>Mclaren</v>
      </c>
      <c r="O64" t="str">
        <f>운용리스!$BT$10&amp;P64</f>
        <v>222</v>
      </c>
      <c r="P64">
        <v>22</v>
      </c>
    </row>
    <row r="65" spans="2:17" ht="13.5" customHeight="1">
      <c r="B65" s="6" t="s">
        <v>144</v>
      </c>
      <c r="C65" s="5">
        <v>23</v>
      </c>
      <c r="D65" t="str">
        <f t="shared" si="4"/>
        <v>0023</v>
      </c>
      <c r="H65" t="str">
        <f t="shared" si="5"/>
        <v>218</v>
      </c>
      <c r="I65" s="6" t="s">
        <v>144</v>
      </c>
      <c r="J65" t="str">
        <f t="shared" si="3"/>
        <v>0023</v>
      </c>
      <c r="K65">
        <v>223</v>
      </c>
      <c r="L65" s="6" t="s">
        <v>111</v>
      </c>
      <c r="N65" t="str">
        <f>IF(운용리스!BT$10=1,"",IF(운용리스!BT$10=2,L65,""))</f>
        <v>NISSAN</v>
      </c>
      <c r="O65" t="str">
        <f>운용리스!$BT$10&amp;P65</f>
        <v>223</v>
      </c>
      <c r="P65">
        <v>23</v>
      </c>
    </row>
    <row r="66" spans="2:17" ht="13.5" customHeight="1">
      <c r="B66" s="6" t="s">
        <v>141</v>
      </c>
      <c r="C66" s="5">
        <v>24</v>
      </c>
      <c r="D66" t="str">
        <f t="shared" si="4"/>
        <v>0024</v>
      </c>
      <c r="H66" t="str">
        <f t="shared" si="5"/>
        <v>219</v>
      </c>
      <c r="I66" s="6" t="s">
        <v>141</v>
      </c>
      <c r="J66" t="str">
        <f t="shared" si="3"/>
        <v>0024</v>
      </c>
      <c r="K66">
        <v>224</v>
      </c>
      <c r="L66" s="6" t="s">
        <v>110</v>
      </c>
      <c r="N66" t="str">
        <f>IF(운용리스!BT$10=1,"",IF(운용리스!BT$10=2,L66,""))</f>
        <v>PEUGEOT</v>
      </c>
      <c r="O66" t="str">
        <f>운용리스!$BT$10&amp;P66</f>
        <v>224</v>
      </c>
      <c r="P66">
        <v>24</v>
      </c>
    </row>
    <row r="67" spans="2:17" ht="13.5" customHeight="1">
      <c r="B67" s="6" t="s">
        <v>1935</v>
      </c>
      <c r="C67" s="5">
        <v>25</v>
      </c>
      <c r="D67" t="str">
        <f t="shared" si="4"/>
        <v>0025</v>
      </c>
      <c r="H67" t="str">
        <f t="shared" si="5"/>
        <v>220</v>
      </c>
      <c r="I67" s="6" t="s">
        <v>1935</v>
      </c>
      <c r="J67" t="str">
        <f t="shared" si="3"/>
        <v>0025</v>
      </c>
      <c r="K67">
        <v>225</v>
      </c>
      <c r="L67" s="6" t="s">
        <v>98</v>
      </c>
      <c r="N67" t="str">
        <f>IF(운용리스!BT$10=1,"",IF(운용리스!BT$10=2,L67,""))</f>
        <v>PORSCHE</v>
      </c>
      <c r="O67" t="str">
        <f>운용리스!$BT$10&amp;P67</f>
        <v>225</v>
      </c>
      <c r="P67">
        <v>25</v>
      </c>
    </row>
    <row r="68" spans="2:17" ht="13.5" customHeight="1">
      <c r="B68" s="6" t="s">
        <v>112</v>
      </c>
      <c r="C68" s="5">
        <v>26</v>
      </c>
      <c r="D68" t="str">
        <f t="shared" si="4"/>
        <v>0026</v>
      </c>
      <c r="H68" t="str">
        <f t="shared" si="5"/>
        <v>221</v>
      </c>
      <c r="I68" s="6" t="s">
        <v>112</v>
      </c>
      <c r="J68" t="str">
        <f t="shared" si="3"/>
        <v>0026</v>
      </c>
      <c r="K68">
        <v>226</v>
      </c>
      <c r="L68" s="6" t="s">
        <v>96</v>
      </c>
      <c r="N68" t="str">
        <f>IF(운용리스!BT$10=1,"",IF(운용리스!BT$10=2,L68,""))</f>
        <v>ROLLSROYCE</v>
      </c>
      <c r="O68" t="str">
        <f>운용리스!$BT$10&amp;P68</f>
        <v>226</v>
      </c>
      <c r="P68">
        <v>26</v>
      </c>
    </row>
    <row r="69" spans="2:17" ht="13.5" customHeight="1">
      <c r="B69" s="6" t="s">
        <v>1207</v>
      </c>
      <c r="C69" s="5">
        <v>27</v>
      </c>
      <c r="D69" t="str">
        <f t="shared" si="4"/>
        <v>0027</v>
      </c>
      <c r="H69" t="str">
        <f t="shared" si="5"/>
        <v>222</v>
      </c>
      <c r="I69" s="6" t="s">
        <v>1207</v>
      </c>
      <c r="J69" t="str">
        <f t="shared" si="3"/>
        <v>0027</v>
      </c>
      <c r="K69">
        <v>227</v>
      </c>
      <c r="L69" s="6" t="s">
        <v>95</v>
      </c>
      <c r="N69" t="str">
        <f>IF(운용리스!BT$10=1,"",IF(운용리스!BT$10=2,L69,""))</f>
        <v>SMART</v>
      </c>
      <c r="O69" t="str">
        <f>운용리스!$BT$10&amp;P69</f>
        <v>227</v>
      </c>
      <c r="P69">
        <v>27</v>
      </c>
    </row>
    <row r="70" spans="2:17" ht="13.5" customHeight="1">
      <c r="B70" s="6" t="s">
        <v>111</v>
      </c>
      <c r="C70" s="5">
        <v>28</v>
      </c>
      <c r="D70" t="str">
        <f t="shared" si="4"/>
        <v>0028</v>
      </c>
      <c r="H70" t="str">
        <f t="shared" si="5"/>
        <v>223</v>
      </c>
      <c r="I70" s="6" t="s">
        <v>111</v>
      </c>
      <c r="J70" t="str">
        <f t="shared" si="3"/>
        <v>0028</v>
      </c>
      <c r="K70">
        <v>228</v>
      </c>
      <c r="L70" t="s">
        <v>1142</v>
      </c>
      <c r="N70" t="str">
        <f>IF(운용리스!BT$10=1,"",IF(운용리스!BT$10=2,L70,""))</f>
        <v>SUBARU</v>
      </c>
      <c r="O70" t="str">
        <f>운용리스!$BT$10&amp;P70</f>
        <v>228</v>
      </c>
      <c r="P70">
        <v>28</v>
      </c>
    </row>
    <row r="71" spans="2:17" ht="13.5" customHeight="1">
      <c r="B71" s="6" t="s">
        <v>110</v>
      </c>
      <c r="C71" s="5">
        <v>29</v>
      </c>
      <c r="D71" t="str">
        <f t="shared" si="4"/>
        <v>0029</v>
      </c>
      <c r="H71" t="str">
        <f t="shared" si="5"/>
        <v>224</v>
      </c>
      <c r="I71" s="6" t="s">
        <v>110</v>
      </c>
      <c r="J71" t="str">
        <f t="shared" si="3"/>
        <v>0029</v>
      </c>
      <c r="K71">
        <v>229</v>
      </c>
      <c r="L71" t="s">
        <v>87</v>
      </c>
      <c r="N71" t="str">
        <f>IF(운용리스!BT$10=1,"",IF(운용리스!BT$10=2,L71,""))</f>
        <v>TOYOTA</v>
      </c>
      <c r="O71" t="str">
        <f>운용리스!$BT$10&amp;P71</f>
        <v>229</v>
      </c>
      <c r="P71">
        <v>29</v>
      </c>
    </row>
    <row r="72" spans="2:17" ht="13.5" customHeight="1">
      <c r="B72" s="6" t="s">
        <v>98</v>
      </c>
      <c r="C72" s="5">
        <v>30</v>
      </c>
      <c r="D72" t="str">
        <f t="shared" si="4"/>
        <v>0030</v>
      </c>
      <c r="H72" t="str">
        <f t="shared" si="5"/>
        <v>225</v>
      </c>
      <c r="I72" s="6" t="s">
        <v>98</v>
      </c>
      <c r="J72" t="str">
        <f t="shared" si="3"/>
        <v>0030</v>
      </c>
      <c r="K72">
        <v>230</v>
      </c>
      <c r="L72" t="s">
        <v>82</v>
      </c>
      <c r="N72" t="str">
        <f>IF(운용리스!BT$10=1,"",IF(운용리스!BT$10=2,L72,""))</f>
        <v>VOLKSWAGEN</v>
      </c>
      <c r="O72" t="str">
        <f>운용리스!$BT$10&amp;P72</f>
        <v>230</v>
      </c>
      <c r="P72">
        <v>30</v>
      </c>
    </row>
    <row r="73" spans="2:17" ht="13.5" customHeight="1">
      <c r="B73" s="6" t="s">
        <v>96</v>
      </c>
      <c r="C73" s="5">
        <v>31</v>
      </c>
      <c r="D73" t="str">
        <f t="shared" si="4"/>
        <v>0031</v>
      </c>
      <c r="H73" t="str">
        <f t="shared" si="5"/>
        <v>226</v>
      </c>
      <c r="I73" s="6" t="s">
        <v>96</v>
      </c>
      <c r="J73" t="str">
        <f t="shared" si="3"/>
        <v>0031</v>
      </c>
      <c r="K73">
        <v>231</v>
      </c>
      <c r="L73" t="s">
        <v>76</v>
      </c>
      <c r="N73" t="str">
        <f>IF(운용리스!BT$10=1,"",IF(운용리스!BT$10=2,L73,""))</f>
        <v>VOLVO</v>
      </c>
      <c r="O73" t="str">
        <f>운용리스!$BT$10&amp;P73</f>
        <v>231</v>
      </c>
      <c r="P73">
        <v>31</v>
      </c>
    </row>
    <row r="74" spans="2:17" ht="13.5" customHeight="1">
      <c r="B74" s="6" t="s">
        <v>95</v>
      </c>
      <c r="C74" s="5">
        <v>32</v>
      </c>
      <c r="D74" t="str">
        <f t="shared" si="4"/>
        <v>0032</v>
      </c>
      <c r="H74" t="str">
        <f t="shared" si="5"/>
        <v>227</v>
      </c>
      <c r="I74" s="6" t="s">
        <v>95</v>
      </c>
      <c r="J74" t="str">
        <f t="shared" si="3"/>
        <v>0032</v>
      </c>
    </row>
    <row r="75" spans="2:17" ht="13.5" customHeight="1">
      <c r="B75" t="s">
        <v>1142</v>
      </c>
      <c r="C75" s="5">
        <v>33</v>
      </c>
      <c r="D75" t="str">
        <f t="shared" si="4"/>
        <v>0033</v>
      </c>
      <c r="H75" t="str">
        <f t="shared" si="5"/>
        <v>228</v>
      </c>
      <c r="I75" t="s">
        <v>1142</v>
      </c>
      <c r="J75" t="str">
        <f t="shared" si="3"/>
        <v>0033</v>
      </c>
    </row>
    <row r="76" spans="2:17" ht="13.5" customHeight="1">
      <c r="B76" t="s">
        <v>87</v>
      </c>
      <c r="C76" s="5">
        <v>34</v>
      </c>
      <c r="D76" t="str">
        <f t="shared" si="4"/>
        <v>0034</v>
      </c>
      <c r="H76" t="str">
        <f t="shared" si="5"/>
        <v>229</v>
      </c>
      <c r="I76" t="s">
        <v>87</v>
      </c>
      <c r="J76" t="str">
        <f t="shared" si="3"/>
        <v>0034</v>
      </c>
    </row>
    <row r="77" spans="2:17" ht="13.5" customHeight="1">
      <c r="B77" t="s">
        <v>82</v>
      </c>
      <c r="C77" s="5">
        <v>35</v>
      </c>
      <c r="D77" t="str">
        <f t="shared" si="4"/>
        <v>0035</v>
      </c>
      <c r="H77" t="str">
        <f t="shared" si="5"/>
        <v>230</v>
      </c>
      <c r="I77" t="s">
        <v>82</v>
      </c>
      <c r="J77" t="str">
        <f t="shared" si="3"/>
        <v>0035</v>
      </c>
    </row>
    <row r="78" spans="2:17" ht="13.5" customHeight="1">
      <c r="B78" t="s">
        <v>76</v>
      </c>
      <c r="C78" s="5">
        <v>36</v>
      </c>
      <c r="D78" t="str">
        <f t="shared" si="4"/>
        <v>0036</v>
      </c>
      <c r="E78" s="900"/>
      <c r="F78" s="900"/>
      <c r="H78" t="str">
        <f t="shared" si="5"/>
        <v>231</v>
      </c>
      <c r="I78" t="s">
        <v>76</v>
      </c>
      <c r="J78" t="str">
        <f t="shared" si="3"/>
        <v>0036</v>
      </c>
    </row>
    <row r="79" spans="2:17" ht="13.5" customHeight="1"/>
    <row r="80" spans="2:17" ht="13.5" customHeight="1">
      <c r="G80" s="903"/>
      <c r="H80" s="904"/>
      <c r="I80" s="904"/>
      <c r="J80" s="904"/>
      <c r="K80" s="905"/>
      <c r="M80" s="903"/>
      <c r="N80" s="904"/>
      <c r="O80" s="904"/>
      <c r="P80" s="904"/>
      <c r="Q80" s="905"/>
    </row>
    <row r="81" spans="7:17" ht="13.5" customHeight="1">
      <c r="G81" s="906"/>
      <c r="H81" s="907"/>
      <c r="I81" s="907"/>
      <c r="J81" s="907"/>
      <c r="K81" s="908"/>
      <c r="M81" s="906"/>
      <c r="N81" s="907"/>
      <c r="O81" s="907"/>
      <c r="P81" s="907"/>
      <c r="Q81" s="908"/>
    </row>
    <row r="82" spans="7:17" ht="13.5" customHeight="1"/>
    <row r="83" spans="7:17" ht="13.5" customHeight="1">
      <c r="G83" s="909"/>
      <c r="H83" s="910"/>
      <c r="I83" s="909"/>
      <c r="J83" s="910"/>
      <c r="K83" s="911"/>
      <c r="M83" s="909"/>
      <c r="N83" s="910"/>
      <c r="O83" s="909"/>
      <c r="P83" s="910"/>
      <c r="Q83" s="911"/>
    </row>
    <row r="84" spans="7:17" ht="13.5" customHeight="1">
      <c r="G84" s="909"/>
      <c r="H84" s="7"/>
      <c r="I84" s="7"/>
      <c r="J84" s="7"/>
      <c r="K84" s="8"/>
      <c r="M84" s="909"/>
      <c r="N84" s="7"/>
      <c r="O84" s="7"/>
      <c r="P84" s="7"/>
      <c r="Q84" s="8"/>
    </row>
    <row r="85" spans="7:17" ht="13.5" customHeight="1">
      <c r="G85" s="9"/>
      <c r="H85" s="10"/>
      <c r="I85" s="11"/>
      <c r="J85" s="10"/>
      <c r="K85" s="11"/>
      <c r="M85" s="9"/>
      <c r="N85" s="10"/>
      <c r="O85" s="10"/>
      <c r="P85" s="10"/>
      <c r="Q85" s="10"/>
    </row>
    <row r="86" spans="7:17" ht="13.5" customHeight="1">
      <c r="G86" s="9"/>
      <c r="H86" s="10"/>
      <c r="I86" s="11"/>
      <c r="J86" s="10"/>
      <c r="K86" s="11"/>
      <c r="M86" s="9"/>
      <c r="N86" s="10"/>
      <c r="O86" s="10"/>
      <c r="P86" s="10"/>
      <c r="Q86" s="10"/>
    </row>
    <row r="87" spans="7:17" ht="13.5" customHeight="1">
      <c r="G87" s="9"/>
      <c r="H87" s="10"/>
      <c r="I87" s="11"/>
      <c r="J87" s="10"/>
      <c r="K87" s="11"/>
      <c r="M87" s="9"/>
      <c r="N87" s="10"/>
      <c r="O87" s="10"/>
      <c r="P87" s="10"/>
      <c r="Q87" s="11"/>
    </row>
    <row r="88" spans="7:17" ht="13.5" customHeight="1">
      <c r="G88" s="9"/>
      <c r="H88" s="10"/>
      <c r="I88" s="10"/>
      <c r="J88" s="10"/>
      <c r="K88" s="11"/>
      <c r="M88" s="9"/>
      <c r="N88" s="10"/>
      <c r="O88" s="10"/>
      <c r="P88" s="10"/>
      <c r="Q88" s="11"/>
    </row>
    <row r="89" spans="7:17" ht="13.5" customHeight="1"/>
    <row r="90" spans="7:17" ht="13.5" customHeight="1">
      <c r="G90" s="903"/>
      <c r="H90" s="904"/>
      <c r="I90" s="904"/>
      <c r="J90" s="904"/>
      <c r="K90" s="905"/>
      <c r="M90" s="903"/>
      <c r="N90" s="904"/>
      <c r="O90" s="904"/>
      <c r="P90" s="904"/>
      <c r="Q90" s="905"/>
    </row>
    <row r="91" spans="7:17" ht="13.5" customHeight="1">
      <c r="G91" s="906"/>
      <c r="H91" s="907"/>
      <c r="I91" s="907"/>
      <c r="J91" s="907"/>
      <c r="K91" s="908"/>
      <c r="M91" s="906"/>
      <c r="N91" s="907"/>
      <c r="O91" s="907"/>
      <c r="P91" s="907"/>
      <c r="Q91" s="908"/>
    </row>
    <row r="92" spans="7:17" ht="13.5" customHeight="1"/>
    <row r="93" spans="7:17" ht="13.5" customHeight="1">
      <c r="G93" s="909"/>
      <c r="H93" s="910"/>
      <c r="I93" s="909"/>
      <c r="J93" s="910"/>
      <c r="K93" s="911"/>
      <c r="M93" s="909"/>
      <c r="N93" s="910"/>
      <c r="O93" s="909"/>
      <c r="P93" s="910"/>
      <c r="Q93" s="911"/>
    </row>
    <row r="94" spans="7:17" ht="13.5" customHeight="1">
      <c r="G94" s="909"/>
      <c r="H94" s="7"/>
      <c r="I94" s="7"/>
      <c r="J94" s="7"/>
      <c r="K94" s="8"/>
      <c r="M94" s="909"/>
      <c r="N94" s="7"/>
      <c r="O94" s="7"/>
      <c r="P94" s="7"/>
      <c r="Q94" s="8"/>
    </row>
    <row r="95" spans="7:17" ht="13.5" customHeight="1">
      <c r="G95" s="9"/>
      <c r="H95" s="12"/>
      <c r="I95" s="13"/>
      <c r="J95" s="12"/>
      <c r="K95" s="13"/>
      <c r="M95" s="9"/>
      <c r="N95" s="14"/>
      <c r="O95" s="14"/>
      <c r="P95" s="14"/>
      <c r="Q95" s="15"/>
    </row>
    <row r="96" spans="7:17" ht="13.5" customHeight="1">
      <c r="G96" s="9"/>
      <c r="H96" s="12"/>
      <c r="I96" s="13"/>
      <c r="J96" s="12"/>
      <c r="K96" s="13"/>
      <c r="M96" s="9"/>
      <c r="N96" s="14"/>
      <c r="O96" s="14"/>
      <c r="P96" s="14"/>
      <c r="Q96" s="15"/>
    </row>
    <row r="97" spans="7:17" ht="13.5" customHeight="1">
      <c r="G97" s="9"/>
      <c r="H97" s="12"/>
      <c r="I97" s="13"/>
      <c r="J97" s="12"/>
      <c r="K97" s="13"/>
      <c r="M97" s="9"/>
      <c r="N97" s="16"/>
      <c r="O97" s="17"/>
      <c r="P97" s="16"/>
      <c r="Q97" s="18"/>
    </row>
    <row r="98" spans="7:17" ht="13.5" customHeight="1">
      <c r="G98" s="9"/>
      <c r="H98" s="12"/>
      <c r="I98" s="12"/>
      <c r="J98" s="12"/>
      <c r="K98" s="13"/>
      <c r="M98" s="9"/>
      <c r="N98" s="12"/>
      <c r="O98" s="12"/>
      <c r="P98" s="12"/>
      <c r="Q98" s="13"/>
    </row>
    <row r="99" spans="7:17" ht="13.5" customHeight="1">
      <c r="M99" s="19"/>
    </row>
    <row r="100" spans="7:17" ht="13.5" customHeight="1"/>
    <row r="101" spans="7:17" ht="13.5" customHeight="1">
      <c r="G101" s="900"/>
      <c r="H101" s="900"/>
      <c r="I101" s="900"/>
    </row>
    <row r="102" spans="7:17" ht="13.5" customHeight="1">
      <c r="G102" s="900"/>
      <c r="H102" s="900"/>
      <c r="I102" s="900"/>
    </row>
    <row r="103" spans="7:17" ht="13.5" customHeight="1">
      <c r="G103" s="20"/>
    </row>
    <row r="104" spans="7:17" ht="13.5" customHeight="1"/>
    <row r="105" spans="7:17" ht="13.5" customHeight="1"/>
    <row r="106" spans="7:17" ht="13.5" customHeight="1"/>
    <row r="107" spans="7:17" ht="13.5" customHeight="1"/>
    <row r="108" spans="7:17" ht="13.5" customHeight="1"/>
    <row r="109" spans="7:17" ht="13.5" customHeight="1"/>
    <row r="110" spans="7:17" ht="13.5" customHeight="1"/>
    <row r="111" spans="7:17" ht="13.5" customHeight="1"/>
    <row r="112" spans="7:17" ht="13.5" customHeight="1"/>
    <row r="113" spans="2:16" ht="13.5" customHeight="1"/>
    <row r="114" spans="2:16" ht="13.5" customHeight="1"/>
    <row r="115" spans="2:16" ht="13.5" customHeight="1"/>
    <row r="116" spans="2:16" ht="13.5" customHeight="1"/>
    <row r="117" spans="2:16" ht="13.5" customHeight="1">
      <c r="B117" s="901" t="s">
        <v>1134</v>
      </c>
      <c r="C117" s="901"/>
      <c r="H117" s="902" t="s">
        <v>1134</v>
      </c>
      <c r="I117" s="902"/>
      <c r="J117" s="902"/>
    </row>
    <row r="118" spans="2:16" ht="13.5" customHeight="1">
      <c r="B118" s="4" t="s">
        <v>828</v>
      </c>
      <c r="C118" s="5">
        <v>1</v>
      </c>
      <c r="D118" t="str">
        <f>TEXT($C118,"0000")</f>
        <v>0001</v>
      </c>
      <c r="H118" t="str">
        <f>E$2&amp;P118</f>
        <v>11</v>
      </c>
      <c r="I118" s="4" t="s">
        <v>828</v>
      </c>
      <c r="J118" t="str">
        <f t="shared" ref="J118:J153" si="6">TEXT($C118,"0000")</f>
        <v>0001</v>
      </c>
      <c r="K118">
        <v>21</v>
      </c>
      <c r="L118" s="6" t="s">
        <v>197</v>
      </c>
      <c r="N118" t="e">
        <f>IF(#REF!=1,I118,L118)</f>
        <v>#REF!</v>
      </c>
      <c r="O118" t="s">
        <v>1174</v>
      </c>
      <c r="P118">
        <v>1</v>
      </c>
    </row>
    <row r="119" spans="2:16" ht="13.5" customHeight="1">
      <c r="B119" s="6" t="s">
        <v>773</v>
      </c>
      <c r="C119" s="5">
        <v>2</v>
      </c>
      <c r="D119" t="str">
        <f t="shared" ref="D119:D153" si="7">TEXT(C119,"0000")</f>
        <v>0002</v>
      </c>
      <c r="H119" t="str">
        <f>E$2&amp;P119</f>
        <v>12</v>
      </c>
      <c r="I119" s="6" t="s">
        <v>773</v>
      </c>
      <c r="J119" t="str">
        <f t="shared" si="6"/>
        <v>0002</v>
      </c>
      <c r="K119">
        <v>22</v>
      </c>
      <c r="L119" s="6" t="s">
        <v>194</v>
      </c>
      <c r="N119" t="e">
        <f>IF(#REF!=1,I119,L119)</f>
        <v>#REF!</v>
      </c>
      <c r="O119" t="s">
        <v>1175</v>
      </c>
      <c r="P119">
        <v>2</v>
      </c>
    </row>
    <row r="120" spans="2:16" ht="13.5" customHeight="1">
      <c r="B120" s="6" t="s">
        <v>728</v>
      </c>
      <c r="C120" s="5">
        <v>3</v>
      </c>
      <c r="D120" t="str">
        <f t="shared" si="7"/>
        <v>0003</v>
      </c>
      <c r="H120" t="str">
        <f>E$2&amp;P120</f>
        <v>13</v>
      </c>
      <c r="I120" s="6" t="s">
        <v>728</v>
      </c>
      <c r="J120" t="str">
        <f t="shared" si="6"/>
        <v>0003</v>
      </c>
      <c r="K120">
        <v>23</v>
      </c>
      <c r="L120" s="6" t="s">
        <v>184</v>
      </c>
      <c r="N120" t="e">
        <f>IF(#REF!=1,I120,L120)</f>
        <v>#REF!</v>
      </c>
      <c r="O120" t="s">
        <v>1176</v>
      </c>
      <c r="P120">
        <v>3</v>
      </c>
    </row>
    <row r="121" spans="2:16" ht="13.5" customHeight="1">
      <c r="B121" s="6" t="s">
        <v>646</v>
      </c>
      <c r="C121" s="5">
        <v>4</v>
      </c>
      <c r="D121" t="str">
        <f t="shared" si="7"/>
        <v>0004</v>
      </c>
      <c r="H121" t="str">
        <f>E$2&amp;P121</f>
        <v>14</v>
      </c>
      <c r="I121" s="6" t="s">
        <v>646</v>
      </c>
      <c r="J121" t="str">
        <f t="shared" si="6"/>
        <v>0004</v>
      </c>
      <c r="K121">
        <v>24</v>
      </c>
      <c r="L121" s="6" t="s">
        <v>183</v>
      </c>
      <c r="N121" t="e">
        <f>IF(#REF!=1,I121,L121)</f>
        <v>#REF!</v>
      </c>
      <c r="O121" t="s">
        <v>1177</v>
      </c>
      <c r="P121">
        <v>4</v>
      </c>
    </row>
    <row r="122" spans="2:16" ht="13.5" customHeight="1">
      <c r="B122" s="6" t="s">
        <v>294</v>
      </c>
      <c r="C122" s="5">
        <v>5</v>
      </c>
      <c r="D122" t="str">
        <f t="shared" si="7"/>
        <v>0005</v>
      </c>
      <c r="H122" t="str">
        <f>E$2&amp;P122</f>
        <v>15</v>
      </c>
      <c r="I122" s="6" t="s">
        <v>294</v>
      </c>
      <c r="J122" t="str">
        <f t="shared" si="6"/>
        <v>0005</v>
      </c>
      <c r="K122">
        <v>25</v>
      </c>
      <c r="L122" s="6" t="s">
        <v>182</v>
      </c>
      <c r="N122" t="e">
        <f>IF(#REF!=1,I122,L122)</f>
        <v>#REF!</v>
      </c>
      <c r="O122" t="s">
        <v>1178</v>
      </c>
      <c r="P122">
        <v>5</v>
      </c>
    </row>
    <row r="123" spans="2:16" ht="13.5" customHeight="1">
      <c r="B123" s="6" t="s">
        <v>197</v>
      </c>
      <c r="C123" s="5">
        <v>6</v>
      </c>
      <c r="D123" t="str">
        <f t="shared" si="7"/>
        <v>0006</v>
      </c>
      <c r="H123" t="str">
        <f t="shared" ref="H123:H153" si="8">E$3&amp;P118</f>
        <v>21</v>
      </c>
      <c r="I123" s="6" t="s">
        <v>197</v>
      </c>
      <c r="J123" t="str">
        <f t="shared" si="6"/>
        <v>0006</v>
      </c>
      <c r="K123">
        <v>26</v>
      </c>
      <c r="L123" s="6" t="s">
        <v>181</v>
      </c>
      <c r="N123" t="e">
        <f>IF(#REF!=1,"",IF(#REF!=2,L123,""))</f>
        <v>#REF!</v>
      </c>
      <c r="O123" t="s">
        <v>1179</v>
      </c>
      <c r="P123">
        <v>6</v>
      </c>
    </row>
    <row r="124" spans="2:16" ht="13.5" customHeight="1">
      <c r="B124" s="6" t="s">
        <v>194</v>
      </c>
      <c r="C124" s="5">
        <v>7</v>
      </c>
      <c r="D124" t="str">
        <f t="shared" si="7"/>
        <v>0007</v>
      </c>
      <c r="H124" t="str">
        <f t="shared" si="8"/>
        <v>22</v>
      </c>
      <c r="I124" s="6" t="s">
        <v>194</v>
      </c>
      <c r="J124" t="str">
        <f t="shared" si="6"/>
        <v>0007</v>
      </c>
      <c r="K124">
        <v>27</v>
      </c>
      <c r="L124" s="6" t="s">
        <v>180</v>
      </c>
      <c r="N124" t="e">
        <f>IF(#REF!=1,"",IF(#REF!=2,L124,""))</f>
        <v>#REF!</v>
      </c>
      <c r="O124" t="s">
        <v>1180</v>
      </c>
      <c r="P124">
        <v>7</v>
      </c>
    </row>
    <row r="125" spans="2:16" ht="13.5" customHeight="1">
      <c r="B125" s="6" t="s">
        <v>184</v>
      </c>
      <c r="C125" s="5">
        <v>8</v>
      </c>
      <c r="D125" t="str">
        <f t="shared" si="7"/>
        <v>0008</v>
      </c>
      <c r="H125" t="str">
        <f t="shared" si="8"/>
        <v>23</v>
      </c>
      <c r="I125" s="6" t="s">
        <v>184</v>
      </c>
      <c r="J125" t="str">
        <f t="shared" si="6"/>
        <v>0008</v>
      </c>
      <c r="K125">
        <v>28</v>
      </c>
      <c r="L125" s="6" t="s">
        <v>179</v>
      </c>
      <c r="N125" t="e">
        <f>IF(#REF!=1,"",IF(#REF!=2,L125,""))</f>
        <v>#REF!</v>
      </c>
      <c r="O125" t="s">
        <v>1181</v>
      </c>
      <c r="P125">
        <v>8</v>
      </c>
    </row>
    <row r="126" spans="2:16" ht="13.5" customHeight="1">
      <c r="B126" s="6" t="s">
        <v>183</v>
      </c>
      <c r="C126" s="5">
        <v>9</v>
      </c>
      <c r="D126" t="str">
        <f t="shared" si="7"/>
        <v>0009</v>
      </c>
      <c r="H126" t="str">
        <f t="shared" si="8"/>
        <v>24</v>
      </c>
      <c r="I126" s="6" t="s">
        <v>183</v>
      </c>
      <c r="J126" t="str">
        <f t="shared" si="6"/>
        <v>0009</v>
      </c>
      <c r="K126">
        <v>29</v>
      </c>
      <c r="L126" s="6" t="s">
        <v>171</v>
      </c>
      <c r="N126" t="e">
        <f>IF(#REF!=1,"",IF(#REF!=2,L126,""))</f>
        <v>#REF!</v>
      </c>
      <c r="O126" t="s">
        <v>1182</v>
      </c>
      <c r="P126">
        <v>9</v>
      </c>
    </row>
    <row r="127" spans="2:16" ht="13.5" customHeight="1">
      <c r="B127" s="6" t="s">
        <v>182</v>
      </c>
      <c r="C127" s="5">
        <v>10</v>
      </c>
      <c r="D127" t="str">
        <f t="shared" si="7"/>
        <v>0010</v>
      </c>
      <c r="H127" t="str">
        <f t="shared" si="8"/>
        <v>25</v>
      </c>
      <c r="I127" s="6" t="s">
        <v>182</v>
      </c>
      <c r="J127" t="str">
        <f t="shared" si="6"/>
        <v>0010</v>
      </c>
      <c r="K127">
        <v>210</v>
      </c>
      <c r="L127" s="6" t="s">
        <v>1209</v>
      </c>
      <c r="N127" t="e">
        <f>IF(#REF!=1,"",IF(#REF!=2,L127,""))</f>
        <v>#REF!</v>
      </c>
      <c r="O127" t="s">
        <v>1183</v>
      </c>
      <c r="P127">
        <v>10</v>
      </c>
    </row>
    <row r="128" spans="2:16" ht="13.5" customHeight="1">
      <c r="B128" s="6" t="s">
        <v>181</v>
      </c>
      <c r="C128" s="5">
        <v>11</v>
      </c>
      <c r="D128" t="str">
        <f t="shared" si="7"/>
        <v>0011</v>
      </c>
      <c r="H128" t="str">
        <f t="shared" si="8"/>
        <v>26</v>
      </c>
      <c r="I128" s="6" t="s">
        <v>181</v>
      </c>
      <c r="J128" t="str">
        <f t="shared" si="6"/>
        <v>0011</v>
      </c>
      <c r="K128">
        <v>211</v>
      </c>
      <c r="L128" s="6" t="s">
        <v>169</v>
      </c>
      <c r="N128" t="e">
        <f>IF(#REF!=1,"",IF(#REF!=2,L128,""))</f>
        <v>#REF!</v>
      </c>
      <c r="O128" t="s">
        <v>1184</v>
      </c>
      <c r="P128">
        <v>11</v>
      </c>
    </row>
    <row r="129" spans="2:16" ht="13.5" customHeight="1">
      <c r="B129" s="6" t="s">
        <v>180</v>
      </c>
      <c r="C129" s="5">
        <v>12</v>
      </c>
      <c r="D129" t="str">
        <f t="shared" si="7"/>
        <v>0012</v>
      </c>
      <c r="H129" t="str">
        <f t="shared" si="8"/>
        <v>27</v>
      </c>
      <c r="I129" s="6" t="s">
        <v>180</v>
      </c>
      <c r="J129" t="str">
        <f t="shared" si="6"/>
        <v>0012</v>
      </c>
      <c r="K129">
        <v>212</v>
      </c>
      <c r="L129" s="6" t="s">
        <v>168</v>
      </c>
      <c r="N129" t="e">
        <f>IF(#REF!=1,"",IF(#REF!=2,L129,""))</f>
        <v>#REF!</v>
      </c>
      <c r="O129" t="s">
        <v>1185</v>
      </c>
      <c r="P129">
        <v>12</v>
      </c>
    </row>
    <row r="130" spans="2:16" ht="13.5" customHeight="1">
      <c r="B130" s="6" t="s">
        <v>179</v>
      </c>
      <c r="C130" s="5">
        <v>13</v>
      </c>
      <c r="D130" t="str">
        <f t="shared" si="7"/>
        <v>0013</v>
      </c>
      <c r="H130" t="str">
        <f t="shared" si="8"/>
        <v>28</v>
      </c>
      <c r="I130" s="6" t="s">
        <v>179</v>
      </c>
      <c r="J130" t="str">
        <f t="shared" si="6"/>
        <v>0013</v>
      </c>
      <c r="K130">
        <v>213</v>
      </c>
      <c r="L130" s="6" t="s">
        <v>1243</v>
      </c>
      <c r="N130" t="e">
        <f>IF(#REF!=1,"",IF(#REF!=2,L130,""))</f>
        <v>#REF!</v>
      </c>
      <c r="O130" t="s">
        <v>1186</v>
      </c>
      <c r="P130">
        <v>13</v>
      </c>
    </row>
    <row r="131" spans="2:16" ht="13.5" customHeight="1">
      <c r="B131" s="6" t="s">
        <v>171</v>
      </c>
      <c r="C131" s="5">
        <v>14</v>
      </c>
      <c r="D131" t="str">
        <f t="shared" si="7"/>
        <v>0014</v>
      </c>
      <c r="H131" t="str">
        <f t="shared" si="8"/>
        <v>29</v>
      </c>
      <c r="I131" s="6" t="s">
        <v>171</v>
      </c>
      <c r="J131" t="str">
        <f t="shared" si="6"/>
        <v>0014</v>
      </c>
      <c r="K131">
        <v>214</v>
      </c>
      <c r="L131" s="6" t="s">
        <v>159</v>
      </c>
      <c r="N131" t="e">
        <f>IF(#REF!=1,"",IF(#REF!=2,L131,""))</f>
        <v>#REF!</v>
      </c>
      <c r="O131" t="s">
        <v>1187</v>
      </c>
      <c r="P131">
        <v>14</v>
      </c>
    </row>
    <row r="132" spans="2:16" ht="13.5" customHeight="1">
      <c r="B132" s="6" t="s">
        <v>1209</v>
      </c>
      <c r="C132" s="5">
        <v>15</v>
      </c>
      <c r="D132" t="str">
        <f t="shared" si="7"/>
        <v>0015</v>
      </c>
      <c r="H132" t="str">
        <f t="shared" si="8"/>
        <v>210</v>
      </c>
      <c r="I132" s="6" t="s">
        <v>1209</v>
      </c>
      <c r="J132" t="str">
        <f t="shared" si="6"/>
        <v>0015</v>
      </c>
      <c r="K132">
        <v>215</v>
      </c>
      <c r="L132" s="6" t="s">
        <v>157</v>
      </c>
      <c r="N132" t="e">
        <f>IF(#REF!=1,"",IF(#REF!=2,L132,""))</f>
        <v>#REF!</v>
      </c>
      <c r="O132" t="s">
        <v>1188</v>
      </c>
      <c r="P132">
        <v>15</v>
      </c>
    </row>
    <row r="133" spans="2:16" ht="13.5" customHeight="1">
      <c r="B133" s="6" t="s">
        <v>169</v>
      </c>
      <c r="C133" s="5">
        <v>16</v>
      </c>
      <c r="D133" t="str">
        <f t="shared" si="7"/>
        <v>0016</v>
      </c>
      <c r="H133" t="str">
        <f t="shared" si="8"/>
        <v>211</v>
      </c>
      <c r="I133" s="6" t="s">
        <v>169</v>
      </c>
      <c r="J133" t="str">
        <f t="shared" si="6"/>
        <v>0016</v>
      </c>
      <c r="K133">
        <v>216</v>
      </c>
      <c r="L133" s="6" t="s">
        <v>152</v>
      </c>
      <c r="N133" t="e">
        <f>IF(#REF!=1,"",IF(#REF!=2,L133,""))</f>
        <v>#REF!</v>
      </c>
      <c r="O133" t="s">
        <v>1189</v>
      </c>
      <c r="P133">
        <v>16</v>
      </c>
    </row>
    <row r="134" spans="2:16" ht="13.5" customHeight="1">
      <c r="B134" s="6" t="s">
        <v>168</v>
      </c>
      <c r="C134" s="5">
        <v>17</v>
      </c>
      <c r="D134" t="str">
        <f t="shared" si="7"/>
        <v>0017</v>
      </c>
      <c r="H134" t="str">
        <f t="shared" si="8"/>
        <v>212</v>
      </c>
      <c r="I134" s="6" t="s">
        <v>168</v>
      </c>
      <c r="J134" t="str">
        <f t="shared" si="6"/>
        <v>0017</v>
      </c>
      <c r="K134">
        <v>217</v>
      </c>
      <c r="L134" s="6" t="s">
        <v>146</v>
      </c>
      <c r="N134" t="e">
        <f>IF(#REF!=1,"",IF(#REF!=2,L134,""))</f>
        <v>#REF!</v>
      </c>
      <c r="O134" t="s">
        <v>1190</v>
      </c>
      <c r="P134">
        <v>17</v>
      </c>
    </row>
    <row r="135" spans="2:16" ht="13.5" customHeight="1">
      <c r="B135" s="6" t="s">
        <v>1243</v>
      </c>
      <c r="C135" s="5">
        <v>18</v>
      </c>
      <c r="D135" t="str">
        <f t="shared" si="7"/>
        <v>0018</v>
      </c>
      <c r="H135" t="str">
        <f t="shared" si="8"/>
        <v>213</v>
      </c>
      <c r="I135" s="6" t="s">
        <v>1243</v>
      </c>
      <c r="J135" t="str">
        <f t="shared" si="6"/>
        <v>0018</v>
      </c>
      <c r="K135">
        <v>218</v>
      </c>
      <c r="L135" s="6" t="s">
        <v>144</v>
      </c>
      <c r="N135" t="e">
        <f>IF(#REF!=1,"",IF(#REF!=2,L135,""))</f>
        <v>#REF!</v>
      </c>
      <c r="O135" t="s">
        <v>1191</v>
      </c>
      <c r="P135">
        <v>18</v>
      </c>
    </row>
    <row r="136" spans="2:16" ht="13.5" customHeight="1">
      <c r="B136" s="6" t="s">
        <v>159</v>
      </c>
      <c r="C136" s="5">
        <v>19</v>
      </c>
      <c r="D136" t="str">
        <f t="shared" si="7"/>
        <v>0019</v>
      </c>
      <c r="H136" t="str">
        <f t="shared" si="8"/>
        <v>214</v>
      </c>
      <c r="I136" s="6" t="s">
        <v>159</v>
      </c>
      <c r="J136" t="str">
        <f t="shared" si="6"/>
        <v>0019</v>
      </c>
      <c r="K136">
        <v>219</v>
      </c>
      <c r="L136" s="6" t="s">
        <v>141</v>
      </c>
      <c r="N136" t="e">
        <f>IF(#REF!=1,"",IF(#REF!=2,L136,""))</f>
        <v>#REF!</v>
      </c>
      <c r="O136" t="s">
        <v>1192</v>
      </c>
      <c r="P136">
        <v>19</v>
      </c>
    </row>
    <row r="137" spans="2:16" ht="13.5" customHeight="1">
      <c r="B137" s="6" t="s">
        <v>157</v>
      </c>
      <c r="C137" s="5">
        <v>20</v>
      </c>
      <c r="D137" t="str">
        <f t="shared" si="7"/>
        <v>0020</v>
      </c>
      <c r="H137" t="str">
        <f t="shared" si="8"/>
        <v>215</v>
      </c>
      <c r="I137" s="6" t="s">
        <v>157</v>
      </c>
      <c r="J137" t="str">
        <f t="shared" si="6"/>
        <v>0020</v>
      </c>
      <c r="K137">
        <v>220</v>
      </c>
      <c r="L137" s="6" t="s">
        <v>1935</v>
      </c>
      <c r="N137" t="e">
        <f>IF(#REF!=1,"",IF(#REF!=2,L137,""))</f>
        <v>#REF!</v>
      </c>
      <c r="O137" t="s">
        <v>1193</v>
      </c>
      <c r="P137">
        <v>20</v>
      </c>
    </row>
    <row r="138" spans="2:16" ht="13.5" customHeight="1">
      <c r="B138" s="6" t="s">
        <v>152</v>
      </c>
      <c r="C138" s="5">
        <v>21</v>
      </c>
      <c r="D138" t="str">
        <f t="shared" si="7"/>
        <v>0021</v>
      </c>
      <c r="H138" t="str">
        <f t="shared" si="8"/>
        <v>216</v>
      </c>
      <c r="I138" s="6" t="s">
        <v>152</v>
      </c>
      <c r="J138" t="str">
        <f t="shared" si="6"/>
        <v>0021</v>
      </c>
      <c r="K138">
        <v>221</v>
      </c>
      <c r="L138" s="6" t="s">
        <v>112</v>
      </c>
      <c r="N138" t="e">
        <f>IF(#REF!=1,"",IF(#REF!=2,L138,""))</f>
        <v>#REF!</v>
      </c>
      <c r="O138" t="s">
        <v>1194</v>
      </c>
      <c r="P138">
        <v>21</v>
      </c>
    </row>
    <row r="139" spans="2:16" ht="13.5" customHeight="1">
      <c r="B139" s="6" t="s">
        <v>146</v>
      </c>
      <c r="C139" s="5">
        <v>22</v>
      </c>
      <c r="D139" t="str">
        <f t="shared" si="7"/>
        <v>0022</v>
      </c>
      <c r="H139" t="str">
        <f t="shared" si="8"/>
        <v>217</v>
      </c>
      <c r="I139" s="6" t="s">
        <v>146</v>
      </c>
      <c r="J139" t="str">
        <f t="shared" si="6"/>
        <v>0022</v>
      </c>
      <c r="K139">
        <v>222</v>
      </c>
      <c r="L139" s="6" t="s">
        <v>1207</v>
      </c>
      <c r="N139" t="e">
        <f>IF(#REF!=1,"",IF(#REF!=2,L139,""))</f>
        <v>#REF!</v>
      </c>
      <c r="O139" t="s">
        <v>1195</v>
      </c>
      <c r="P139">
        <v>22</v>
      </c>
    </row>
    <row r="140" spans="2:16" ht="13.5" customHeight="1">
      <c r="B140" s="6" t="s">
        <v>144</v>
      </c>
      <c r="C140" s="5">
        <v>23</v>
      </c>
      <c r="D140" t="str">
        <f t="shared" si="7"/>
        <v>0023</v>
      </c>
      <c r="H140" t="str">
        <f t="shared" si="8"/>
        <v>218</v>
      </c>
      <c r="I140" s="6" t="s">
        <v>144</v>
      </c>
      <c r="J140" t="str">
        <f t="shared" si="6"/>
        <v>0023</v>
      </c>
      <c r="K140">
        <v>223</v>
      </c>
      <c r="L140" s="6" t="s">
        <v>111</v>
      </c>
      <c r="N140" t="e">
        <f>IF(#REF!=1,"",IF(#REF!=2,L140,""))</f>
        <v>#REF!</v>
      </c>
      <c r="O140" t="s">
        <v>1196</v>
      </c>
      <c r="P140">
        <v>23</v>
      </c>
    </row>
    <row r="141" spans="2:16" ht="13.5" customHeight="1">
      <c r="B141" s="6" t="s">
        <v>141</v>
      </c>
      <c r="C141" s="5">
        <v>24</v>
      </c>
      <c r="D141" t="str">
        <f t="shared" si="7"/>
        <v>0024</v>
      </c>
      <c r="H141" t="str">
        <f t="shared" si="8"/>
        <v>219</v>
      </c>
      <c r="I141" s="6" t="s">
        <v>141</v>
      </c>
      <c r="J141" t="str">
        <f t="shared" si="6"/>
        <v>0024</v>
      </c>
      <c r="K141">
        <v>224</v>
      </c>
      <c r="L141" s="6" t="s">
        <v>110</v>
      </c>
      <c r="N141" t="e">
        <f>IF(#REF!=1,"",IF(#REF!=2,L141,""))</f>
        <v>#REF!</v>
      </c>
      <c r="O141" t="s">
        <v>1197</v>
      </c>
      <c r="P141">
        <v>24</v>
      </c>
    </row>
    <row r="142" spans="2:16" ht="13.5" customHeight="1">
      <c r="B142" s="6" t="s">
        <v>1935</v>
      </c>
      <c r="C142" s="5">
        <v>25</v>
      </c>
      <c r="D142" t="str">
        <f t="shared" si="7"/>
        <v>0025</v>
      </c>
      <c r="H142" t="str">
        <f t="shared" si="8"/>
        <v>220</v>
      </c>
      <c r="I142" s="6" t="s">
        <v>1935</v>
      </c>
      <c r="J142" t="str">
        <f t="shared" si="6"/>
        <v>0025</v>
      </c>
      <c r="K142">
        <v>225</v>
      </c>
      <c r="L142" s="6" t="s">
        <v>98</v>
      </c>
      <c r="N142" t="e">
        <f>IF(#REF!=1,"",IF(#REF!=2,L142,""))</f>
        <v>#REF!</v>
      </c>
      <c r="O142" t="s">
        <v>1198</v>
      </c>
      <c r="P142">
        <v>25</v>
      </c>
    </row>
    <row r="143" spans="2:16" ht="13.5" customHeight="1">
      <c r="B143" s="6" t="s">
        <v>112</v>
      </c>
      <c r="C143" s="5">
        <v>26</v>
      </c>
      <c r="D143" t="str">
        <f t="shared" si="7"/>
        <v>0026</v>
      </c>
      <c r="H143" t="str">
        <f t="shared" si="8"/>
        <v>221</v>
      </c>
      <c r="I143" s="6" t="s">
        <v>112</v>
      </c>
      <c r="J143" t="str">
        <f t="shared" si="6"/>
        <v>0026</v>
      </c>
      <c r="K143">
        <v>226</v>
      </c>
      <c r="L143" s="6" t="s">
        <v>96</v>
      </c>
      <c r="N143" t="e">
        <f>IF(#REF!=1,"",IF(#REF!=2,L143,""))</f>
        <v>#REF!</v>
      </c>
      <c r="O143" t="s">
        <v>1199</v>
      </c>
      <c r="P143">
        <v>26</v>
      </c>
    </row>
    <row r="144" spans="2:16" ht="13.5" customHeight="1">
      <c r="B144" s="6" t="s">
        <v>1207</v>
      </c>
      <c r="C144" s="5">
        <v>27</v>
      </c>
      <c r="D144" t="str">
        <f t="shared" si="7"/>
        <v>0027</v>
      </c>
      <c r="H144" t="str">
        <f t="shared" si="8"/>
        <v>222</v>
      </c>
      <c r="I144" s="6" t="s">
        <v>1207</v>
      </c>
      <c r="J144" t="str">
        <f t="shared" si="6"/>
        <v>0027</v>
      </c>
      <c r="K144">
        <v>227</v>
      </c>
      <c r="L144" s="6" t="s">
        <v>95</v>
      </c>
      <c r="N144" t="e">
        <f>IF(#REF!=1,"",IF(#REF!=2,L144,""))</f>
        <v>#REF!</v>
      </c>
      <c r="O144" t="s">
        <v>1200</v>
      </c>
      <c r="P144">
        <v>27</v>
      </c>
    </row>
    <row r="145" spans="2:16" ht="13.5" customHeight="1">
      <c r="B145" s="6" t="s">
        <v>111</v>
      </c>
      <c r="C145" s="5">
        <v>28</v>
      </c>
      <c r="D145" t="str">
        <f t="shared" si="7"/>
        <v>0028</v>
      </c>
      <c r="H145" t="str">
        <f t="shared" si="8"/>
        <v>223</v>
      </c>
      <c r="I145" s="6" t="s">
        <v>111</v>
      </c>
      <c r="J145" t="str">
        <f t="shared" si="6"/>
        <v>0028</v>
      </c>
      <c r="K145">
        <v>228</v>
      </c>
      <c r="L145" t="s">
        <v>1142</v>
      </c>
      <c r="N145" t="e">
        <f>IF(#REF!=1,"",IF(#REF!=2,L145,""))</f>
        <v>#REF!</v>
      </c>
      <c r="O145" t="s">
        <v>1201</v>
      </c>
      <c r="P145">
        <v>28</v>
      </c>
    </row>
    <row r="146" spans="2:16" ht="13.5" customHeight="1">
      <c r="B146" s="6" t="s">
        <v>110</v>
      </c>
      <c r="C146" s="5">
        <v>29</v>
      </c>
      <c r="D146" t="str">
        <f t="shared" si="7"/>
        <v>0029</v>
      </c>
      <c r="H146" t="str">
        <f t="shared" si="8"/>
        <v>224</v>
      </c>
      <c r="I146" s="6" t="s">
        <v>110</v>
      </c>
      <c r="J146" t="str">
        <f t="shared" si="6"/>
        <v>0029</v>
      </c>
      <c r="K146">
        <v>229</v>
      </c>
      <c r="L146" t="s">
        <v>87</v>
      </c>
      <c r="N146" t="e">
        <f>IF(#REF!=1,"",IF(#REF!=2,L146,""))</f>
        <v>#REF!</v>
      </c>
      <c r="O146" t="s">
        <v>1202</v>
      </c>
      <c r="P146">
        <v>29</v>
      </c>
    </row>
    <row r="147" spans="2:16" ht="13.5" customHeight="1">
      <c r="B147" s="6" t="s">
        <v>98</v>
      </c>
      <c r="C147" s="5">
        <v>30</v>
      </c>
      <c r="D147" t="str">
        <f t="shared" si="7"/>
        <v>0030</v>
      </c>
      <c r="H147" t="str">
        <f t="shared" si="8"/>
        <v>225</v>
      </c>
      <c r="I147" s="6" t="s">
        <v>98</v>
      </c>
      <c r="J147" t="str">
        <f t="shared" si="6"/>
        <v>0030</v>
      </c>
      <c r="K147">
        <v>230</v>
      </c>
      <c r="L147" t="s">
        <v>82</v>
      </c>
      <c r="N147" t="e">
        <f>IF(#REF!=1,"",IF(#REF!=2,L147,""))</f>
        <v>#REF!</v>
      </c>
      <c r="O147" t="s">
        <v>1203</v>
      </c>
      <c r="P147">
        <v>30</v>
      </c>
    </row>
    <row r="148" spans="2:16" ht="13.5" customHeight="1">
      <c r="B148" s="6" t="s">
        <v>96</v>
      </c>
      <c r="C148" s="5">
        <v>31</v>
      </c>
      <c r="D148" t="str">
        <f t="shared" si="7"/>
        <v>0031</v>
      </c>
      <c r="H148" t="str">
        <f t="shared" si="8"/>
        <v>226</v>
      </c>
      <c r="I148" s="6" t="s">
        <v>96</v>
      </c>
      <c r="J148" t="str">
        <f t="shared" si="6"/>
        <v>0031</v>
      </c>
      <c r="K148">
        <v>231</v>
      </c>
      <c r="L148" t="s">
        <v>76</v>
      </c>
      <c r="N148" t="e">
        <f>IF(#REF!=1,"",IF(#REF!=2,L148,""))</f>
        <v>#REF!</v>
      </c>
      <c r="O148" t="s">
        <v>1204</v>
      </c>
      <c r="P148">
        <v>31</v>
      </c>
    </row>
    <row r="149" spans="2:16" ht="13.5" customHeight="1">
      <c r="B149" s="6" t="s">
        <v>95</v>
      </c>
      <c r="C149" s="5">
        <v>32</v>
      </c>
      <c r="D149" t="str">
        <f t="shared" si="7"/>
        <v>0032</v>
      </c>
      <c r="H149" t="str">
        <f t="shared" si="8"/>
        <v>227</v>
      </c>
      <c r="I149" s="6" t="s">
        <v>95</v>
      </c>
      <c r="J149" t="str">
        <f t="shared" si="6"/>
        <v>0032</v>
      </c>
    </row>
    <row r="150" spans="2:16" ht="13.5" customHeight="1">
      <c r="B150" t="s">
        <v>1142</v>
      </c>
      <c r="C150" s="5">
        <v>33</v>
      </c>
      <c r="D150" t="str">
        <f t="shared" si="7"/>
        <v>0033</v>
      </c>
      <c r="H150" t="str">
        <f t="shared" si="8"/>
        <v>228</v>
      </c>
      <c r="I150" t="s">
        <v>1142</v>
      </c>
      <c r="J150" t="str">
        <f t="shared" si="6"/>
        <v>0033</v>
      </c>
    </row>
    <row r="151" spans="2:16" ht="13.5" customHeight="1">
      <c r="B151" t="s">
        <v>87</v>
      </c>
      <c r="C151" s="5">
        <v>34</v>
      </c>
      <c r="D151" t="str">
        <f t="shared" si="7"/>
        <v>0034</v>
      </c>
      <c r="H151" t="str">
        <f t="shared" si="8"/>
        <v>229</v>
      </c>
      <c r="I151" t="s">
        <v>87</v>
      </c>
      <c r="J151" t="str">
        <f t="shared" si="6"/>
        <v>0034</v>
      </c>
    </row>
    <row r="152" spans="2:16" ht="13.5" customHeight="1">
      <c r="B152" t="s">
        <v>82</v>
      </c>
      <c r="C152" s="5">
        <v>35</v>
      </c>
      <c r="D152" t="str">
        <f t="shared" si="7"/>
        <v>0035</v>
      </c>
      <c r="H152" t="str">
        <f t="shared" si="8"/>
        <v>230</v>
      </c>
      <c r="I152" t="s">
        <v>82</v>
      </c>
      <c r="J152" t="str">
        <f t="shared" si="6"/>
        <v>0035</v>
      </c>
    </row>
    <row r="153" spans="2:16" ht="13.5" customHeight="1">
      <c r="B153" t="s">
        <v>76</v>
      </c>
      <c r="C153" s="5">
        <v>36</v>
      </c>
      <c r="D153" t="str">
        <f t="shared" si="7"/>
        <v>0036</v>
      </c>
      <c r="H153" t="str">
        <f t="shared" si="8"/>
        <v>231</v>
      </c>
      <c r="I153" t="s">
        <v>76</v>
      </c>
      <c r="J153" t="str">
        <f t="shared" si="6"/>
        <v>0036</v>
      </c>
    </row>
    <row r="154" spans="2:16" ht="13.5" customHeight="1"/>
    <row r="155" spans="2:16" ht="13.5" customHeight="1"/>
    <row r="156" spans="2:16" ht="13.5" customHeight="1"/>
    <row r="157" spans="2:16" ht="8.25" customHeight="1"/>
    <row r="158" spans="2:16" ht="13.5" customHeight="1"/>
  </sheetData>
  <mergeCells count="23">
    <mergeCell ref="P83:Q83"/>
    <mergeCell ref="B1:C1"/>
    <mergeCell ref="H1:J1"/>
    <mergeCell ref="B42:C42"/>
    <mergeCell ref="E78:F78"/>
    <mergeCell ref="G80:K81"/>
    <mergeCell ref="M80:Q81"/>
    <mergeCell ref="G83:G84"/>
    <mergeCell ref="H83:I83"/>
    <mergeCell ref="J83:K83"/>
    <mergeCell ref="M83:M84"/>
    <mergeCell ref="N83:O83"/>
    <mergeCell ref="G101:I102"/>
    <mergeCell ref="B117:C117"/>
    <mergeCell ref="H117:J117"/>
    <mergeCell ref="G90:K91"/>
    <mergeCell ref="M90:Q91"/>
    <mergeCell ref="G93:G94"/>
    <mergeCell ref="H93:I93"/>
    <mergeCell ref="J93:K93"/>
    <mergeCell ref="M93:M94"/>
    <mergeCell ref="N93:O93"/>
    <mergeCell ref="P93:Q9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workbookViewId="0">
      <selection activeCell="P3" sqref="P3"/>
    </sheetView>
  </sheetViews>
  <sheetFormatPr defaultRowHeight="16.5"/>
  <cols>
    <col min="2" max="3" width="9" customWidth="1"/>
    <col min="4" max="6" width="9.5" customWidth="1"/>
    <col min="7" max="28" width="9.5" bestFit="1" customWidth="1"/>
  </cols>
  <sheetData>
    <row r="3" spans="1:12">
      <c r="A3" t="s">
        <v>3538</v>
      </c>
      <c r="B3">
        <v>12</v>
      </c>
      <c r="C3">
        <v>24</v>
      </c>
      <c r="D3">
        <v>36</v>
      </c>
      <c r="E3">
        <v>48</v>
      </c>
      <c r="F3">
        <v>60</v>
      </c>
      <c r="H3">
        <v>24</v>
      </c>
      <c r="I3">
        <v>36</v>
      </c>
      <c r="J3">
        <v>48</v>
      </c>
      <c r="K3">
        <v>60</v>
      </c>
    </row>
    <row r="4" spans="1:12">
      <c r="A4" t="s">
        <v>3650</v>
      </c>
      <c r="B4">
        <v>85</v>
      </c>
      <c r="C4">
        <v>77</v>
      </c>
      <c r="D4">
        <v>68</v>
      </c>
      <c r="E4">
        <v>60</v>
      </c>
      <c r="F4">
        <v>54</v>
      </c>
      <c r="G4" t="s">
        <v>1957</v>
      </c>
      <c r="H4">
        <v>62</v>
      </c>
      <c r="I4">
        <v>53</v>
      </c>
      <c r="J4">
        <v>45</v>
      </c>
      <c r="K4">
        <v>39</v>
      </c>
      <c r="L4" t="s">
        <v>3650</v>
      </c>
    </row>
    <row r="5" spans="1:12">
      <c r="A5" t="s">
        <v>3651</v>
      </c>
      <c r="B5">
        <v>84</v>
      </c>
      <c r="C5">
        <v>76</v>
      </c>
      <c r="D5">
        <v>67</v>
      </c>
      <c r="E5">
        <v>59</v>
      </c>
      <c r="F5">
        <v>53</v>
      </c>
      <c r="G5" t="s">
        <v>1958</v>
      </c>
      <c r="H5">
        <v>60</v>
      </c>
      <c r="I5">
        <v>51</v>
      </c>
      <c r="J5">
        <v>43</v>
      </c>
      <c r="K5">
        <v>37</v>
      </c>
      <c r="L5" t="s">
        <v>3651</v>
      </c>
    </row>
    <row r="6" spans="1:12">
      <c r="A6" t="s">
        <v>3652</v>
      </c>
      <c r="B6">
        <v>83</v>
      </c>
      <c r="C6">
        <v>75</v>
      </c>
      <c r="D6">
        <v>66</v>
      </c>
      <c r="E6">
        <v>58</v>
      </c>
      <c r="F6">
        <v>52</v>
      </c>
      <c r="G6" t="s">
        <v>3238</v>
      </c>
      <c r="H6">
        <v>59</v>
      </c>
      <c r="I6">
        <v>50</v>
      </c>
      <c r="J6">
        <v>42</v>
      </c>
      <c r="K6">
        <v>36</v>
      </c>
      <c r="L6" t="s">
        <v>3652</v>
      </c>
    </row>
    <row r="7" spans="1:12">
      <c r="A7" t="s">
        <v>3653</v>
      </c>
      <c r="B7">
        <v>82</v>
      </c>
      <c r="C7">
        <v>74</v>
      </c>
      <c r="D7">
        <v>65</v>
      </c>
      <c r="E7">
        <v>57</v>
      </c>
      <c r="F7">
        <v>51</v>
      </c>
      <c r="G7" t="s">
        <v>1982</v>
      </c>
      <c r="H7">
        <v>57.999999999999993</v>
      </c>
      <c r="I7">
        <v>49</v>
      </c>
      <c r="J7">
        <v>41</v>
      </c>
      <c r="K7">
        <v>35</v>
      </c>
      <c r="L7" t="s">
        <v>3653</v>
      </c>
    </row>
    <row r="8" spans="1:12">
      <c r="A8" t="s">
        <v>3654</v>
      </c>
      <c r="B8">
        <v>81</v>
      </c>
      <c r="C8">
        <v>73</v>
      </c>
      <c r="D8">
        <v>64</v>
      </c>
      <c r="E8">
        <v>56</v>
      </c>
      <c r="F8">
        <v>50</v>
      </c>
      <c r="G8" t="s">
        <v>1983</v>
      </c>
      <c r="H8">
        <v>56.999999999999993</v>
      </c>
      <c r="I8">
        <v>48</v>
      </c>
      <c r="J8">
        <v>40</v>
      </c>
      <c r="K8">
        <v>34</v>
      </c>
      <c r="L8" t="s">
        <v>3654</v>
      </c>
    </row>
    <row r="9" spans="1:12">
      <c r="A9" t="s">
        <v>3655</v>
      </c>
      <c r="B9">
        <v>80</v>
      </c>
      <c r="C9">
        <v>72</v>
      </c>
      <c r="D9">
        <v>63</v>
      </c>
      <c r="E9">
        <v>55</v>
      </c>
      <c r="F9">
        <v>49</v>
      </c>
      <c r="G9" t="s">
        <v>1984</v>
      </c>
      <c r="H9">
        <v>56.000000000000007</v>
      </c>
      <c r="I9">
        <v>47</v>
      </c>
      <c r="J9">
        <v>39</v>
      </c>
      <c r="K9">
        <v>33</v>
      </c>
      <c r="L9" t="s">
        <v>3655</v>
      </c>
    </row>
    <row r="10" spans="1:12">
      <c r="A10" t="s">
        <v>3656</v>
      </c>
      <c r="B10">
        <v>79</v>
      </c>
      <c r="C10">
        <v>71</v>
      </c>
      <c r="D10">
        <v>62</v>
      </c>
      <c r="E10">
        <v>54</v>
      </c>
      <c r="F10">
        <v>48</v>
      </c>
      <c r="G10" t="s">
        <v>1985</v>
      </c>
      <c r="H10">
        <v>55.000000000000007</v>
      </c>
      <c r="I10">
        <v>46</v>
      </c>
      <c r="J10">
        <v>38</v>
      </c>
      <c r="K10">
        <v>32</v>
      </c>
      <c r="L10" t="s">
        <v>3656</v>
      </c>
    </row>
    <row r="11" spans="1:12">
      <c r="A11" t="s">
        <v>3657</v>
      </c>
      <c r="B11">
        <v>78</v>
      </c>
      <c r="C11">
        <v>70</v>
      </c>
      <c r="D11">
        <v>61</v>
      </c>
      <c r="E11">
        <v>53</v>
      </c>
      <c r="F11">
        <v>47</v>
      </c>
      <c r="G11" t="s">
        <v>1986</v>
      </c>
      <c r="H11">
        <v>54</v>
      </c>
      <c r="I11">
        <v>45</v>
      </c>
      <c r="J11">
        <v>37</v>
      </c>
      <c r="K11">
        <v>31</v>
      </c>
      <c r="L11" t="s">
        <v>3657</v>
      </c>
    </row>
    <row r="12" spans="1:12">
      <c r="A12" t="s">
        <v>3658</v>
      </c>
      <c r="B12">
        <v>77</v>
      </c>
      <c r="C12">
        <v>69</v>
      </c>
      <c r="D12">
        <v>60</v>
      </c>
      <c r="E12">
        <v>52</v>
      </c>
      <c r="F12">
        <v>46</v>
      </c>
      <c r="G12" t="s">
        <v>1987</v>
      </c>
      <c r="H12">
        <v>53</v>
      </c>
      <c r="I12">
        <v>44</v>
      </c>
      <c r="J12">
        <v>36</v>
      </c>
      <c r="K12">
        <v>30</v>
      </c>
      <c r="L12" t="s">
        <v>3658</v>
      </c>
    </row>
    <row r="13" spans="1:12">
      <c r="A13" t="s">
        <v>3659</v>
      </c>
      <c r="B13">
        <v>76</v>
      </c>
      <c r="C13">
        <v>68</v>
      </c>
      <c r="D13">
        <v>59</v>
      </c>
      <c r="E13">
        <v>51</v>
      </c>
      <c r="F13">
        <v>45</v>
      </c>
      <c r="G13" t="s">
        <v>1988</v>
      </c>
      <c r="L13" t="s">
        <v>3659</v>
      </c>
    </row>
    <row r="14" spans="1:12">
      <c r="A14" t="s">
        <v>3660</v>
      </c>
      <c r="B14">
        <v>75</v>
      </c>
      <c r="C14">
        <v>67</v>
      </c>
      <c r="D14">
        <v>58</v>
      </c>
      <c r="E14">
        <v>50</v>
      </c>
      <c r="F14">
        <v>44</v>
      </c>
      <c r="G14" t="s">
        <v>1989</v>
      </c>
      <c r="L14" t="s">
        <v>3660</v>
      </c>
    </row>
    <row r="15" spans="1:12">
      <c r="A15" t="s">
        <v>3661</v>
      </c>
      <c r="B15">
        <v>74</v>
      </c>
      <c r="C15">
        <v>66</v>
      </c>
      <c r="D15">
        <v>57</v>
      </c>
      <c r="E15">
        <v>49</v>
      </c>
      <c r="F15">
        <v>43</v>
      </c>
      <c r="G15" t="s">
        <v>1990</v>
      </c>
      <c r="L15" t="s">
        <v>3661</v>
      </c>
    </row>
    <row r="16" spans="1:12">
      <c r="A16" t="s">
        <v>3662</v>
      </c>
      <c r="B16">
        <v>73</v>
      </c>
      <c r="C16">
        <v>65</v>
      </c>
      <c r="D16">
        <v>56</v>
      </c>
      <c r="E16">
        <v>48</v>
      </c>
      <c r="F16">
        <v>42</v>
      </c>
      <c r="G16" t="s">
        <v>1991</v>
      </c>
      <c r="L16" t="s">
        <v>3662</v>
      </c>
    </row>
    <row r="17" spans="1:13">
      <c r="A17" t="s">
        <v>3663</v>
      </c>
      <c r="B17">
        <v>72</v>
      </c>
      <c r="C17">
        <v>64</v>
      </c>
      <c r="D17">
        <v>55</v>
      </c>
      <c r="E17">
        <v>47</v>
      </c>
      <c r="F17">
        <v>41</v>
      </c>
      <c r="G17" t="s">
        <v>1969</v>
      </c>
      <c r="L17" t="s">
        <v>3663</v>
      </c>
    </row>
    <row r="18" spans="1:13">
      <c r="A18" t="s">
        <v>3664</v>
      </c>
      <c r="B18">
        <v>71</v>
      </c>
      <c r="C18">
        <v>63</v>
      </c>
      <c r="D18">
        <v>54</v>
      </c>
      <c r="E18">
        <v>46</v>
      </c>
      <c r="F18">
        <v>40</v>
      </c>
      <c r="G18" t="s">
        <v>1992</v>
      </c>
      <c r="L18" t="s">
        <v>3664</v>
      </c>
    </row>
    <row r="19" spans="1:13">
      <c r="A19" t="s">
        <v>3665</v>
      </c>
      <c r="B19">
        <v>70</v>
      </c>
      <c r="C19">
        <v>62</v>
      </c>
      <c r="D19">
        <v>53</v>
      </c>
      <c r="E19">
        <v>45</v>
      </c>
      <c r="F19">
        <v>39</v>
      </c>
      <c r="G19" t="s">
        <v>1993</v>
      </c>
      <c r="H19">
        <v>62</v>
      </c>
      <c r="I19">
        <v>53</v>
      </c>
      <c r="J19">
        <v>45</v>
      </c>
      <c r="K19">
        <v>39</v>
      </c>
      <c r="L19" t="s">
        <v>3665</v>
      </c>
      <c r="M19" t="s">
        <v>1957</v>
      </c>
    </row>
    <row r="20" spans="1:13">
      <c r="A20" t="s">
        <v>3666</v>
      </c>
      <c r="B20">
        <v>69</v>
      </c>
      <c r="C20">
        <v>61</v>
      </c>
      <c r="D20">
        <v>52</v>
      </c>
      <c r="E20">
        <v>44</v>
      </c>
      <c r="F20">
        <v>38</v>
      </c>
      <c r="G20" t="s">
        <v>1994</v>
      </c>
      <c r="L20" t="s">
        <v>3666</v>
      </c>
    </row>
    <row r="21" spans="1:13">
      <c r="A21" t="s">
        <v>3667</v>
      </c>
      <c r="B21">
        <v>68</v>
      </c>
      <c r="C21">
        <v>60</v>
      </c>
      <c r="D21">
        <v>51</v>
      </c>
      <c r="E21">
        <v>43</v>
      </c>
      <c r="F21">
        <v>37</v>
      </c>
      <c r="G21" t="s">
        <v>1995</v>
      </c>
      <c r="H21">
        <v>60</v>
      </c>
      <c r="I21">
        <v>51</v>
      </c>
      <c r="J21">
        <v>43</v>
      </c>
      <c r="K21">
        <v>37</v>
      </c>
      <c r="L21" t="s">
        <v>3667</v>
      </c>
      <c r="M21" t="s">
        <v>1958</v>
      </c>
    </row>
    <row r="22" spans="1:13">
      <c r="A22" t="s">
        <v>3668</v>
      </c>
      <c r="B22">
        <v>67</v>
      </c>
      <c r="C22">
        <v>59</v>
      </c>
      <c r="D22">
        <v>50</v>
      </c>
      <c r="E22">
        <v>42</v>
      </c>
      <c r="F22">
        <v>36</v>
      </c>
      <c r="G22" t="s">
        <v>1996</v>
      </c>
      <c r="H22">
        <v>59</v>
      </c>
      <c r="I22">
        <v>50</v>
      </c>
      <c r="J22">
        <v>42</v>
      </c>
      <c r="K22">
        <v>36</v>
      </c>
      <c r="L22" t="s">
        <v>3668</v>
      </c>
      <c r="M22" t="s">
        <v>1959</v>
      </c>
    </row>
    <row r="23" spans="1:13">
      <c r="A23" t="s">
        <v>3669</v>
      </c>
      <c r="B23">
        <v>66</v>
      </c>
      <c r="C23">
        <v>58</v>
      </c>
      <c r="D23">
        <v>49</v>
      </c>
      <c r="E23">
        <v>41</v>
      </c>
      <c r="F23">
        <v>35</v>
      </c>
      <c r="G23" t="s">
        <v>3059</v>
      </c>
      <c r="H23">
        <v>57.999999999999993</v>
      </c>
      <c r="I23">
        <v>49</v>
      </c>
      <c r="J23">
        <v>41</v>
      </c>
      <c r="K23">
        <v>35</v>
      </c>
      <c r="L23" t="s">
        <v>3669</v>
      </c>
      <c r="M23" t="s">
        <v>1982</v>
      </c>
    </row>
    <row r="24" spans="1:13">
      <c r="A24" t="s">
        <v>3670</v>
      </c>
      <c r="B24">
        <v>65</v>
      </c>
      <c r="C24">
        <v>57</v>
      </c>
      <c r="D24">
        <v>48</v>
      </c>
      <c r="E24">
        <v>40</v>
      </c>
      <c r="F24">
        <v>34</v>
      </c>
      <c r="G24" t="s">
        <v>3069</v>
      </c>
      <c r="H24">
        <v>56.999999999999993</v>
      </c>
      <c r="I24">
        <v>48</v>
      </c>
      <c r="J24">
        <v>40</v>
      </c>
      <c r="K24">
        <v>34</v>
      </c>
      <c r="L24" t="s">
        <v>3670</v>
      </c>
      <c r="M24" t="s">
        <v>1983</v>
      </c>
    </row>
    <row r="25" spans="1:13">
      <c r="A25" t="s">
        <v>3671</v>
      </c>
      <c r="B25">
        <v>64</v>
      </c>
      <c r="C25">
        <v>56</v>
      </c>
      <c r="D25">
        <v>47</v>
      </c>
      <c r="E25">
        <v>39</v>
      </c>
      <c r="F25">
        <v>33</v>
      </c>
      <c r="H25">
        <v>56.000000000000007</v>
      </c>
      <c r="I25">
        <v>47</v>
      </c>
      <c r="J25">
        <v>39</v>
      </c>
      <c r="K25">
        <v>33</v>
      </c>
      <c r="L25" t="s">
        <v>3671</v>
      </c>
      <c r="M25" t="s">
        <v>1984</v>
      </c>
    </row>
    <row r="26" spans="1:13">
      <c r="A26" t="s">
        <v>3672</v>
      </c>
      <c r="B26">
        <v>63</v>
      </c>
      <c r="C26">
        <v>55</v>
      </c>
      <c r="D26">
        <v>46</v>
      </c>
      <c r="E26">
        <v>38</v>
      </c>
      <c r="F26">
        <v>32</v>
      </c>
      <c r="H26">
        <v>55.000000000000007</v>
      </c>
      <c r="I26">
        <v>46</v>
      </c>
      <c r="J26">
        <v>38</v>
      </c>
      <c r="K26">
        <v>32</v>
      </c>
      <c r="L26" t="s">
        <v>3672</v>
      </c>
      <c r="M26" t="s">
        <v>1985</v>
      </c>
    </row>
    <row r="27" spans="1:13">
      <c r="A27" t="s">
        <v>3673</v>
      </c>
      <c r="B27">
        <v>62</v>
      </c>
      <c r="C27">
        <v>54</v>
      </c>
      <c r="D27">
        <v>45</v>
      </c>
      <c r="E27">
        <v>37</v>
      </c>
      <c r="F27">
        <v>31</v>
      </c>
      <c r="H27">
        <v>54</v>
      </c>
      <c r="I27">
        <v>45</v>
      </c>
      <c r="J27">
        <v>37</v>
      </c>
      <c r="K27">
        <v>31</v>
      </c>
      <c r="L27" t="s">
        <v>3673</v>
      </c>
      <c r="M27" t="s">
        <v>1986</v>
      </c>
    </row>
    <row r="28" spans="1:13">
      <c r="A28" t="s">
        <v>3674</v>
      </c>
      <c r="B28">
        <v>61</v>
      </c>
      <c r="C28">
        <v>53</v>
      </c>
      <c r="D28">
        <v>44</v>
      </c>
      <c r="E28">
        <v>36</v>
      </c>
      <c r="F28">
        <v>30</v>
      </c>
      <c r="H28">
        <v>53</v>
      </c>
      <c r="I28">
        <v>44</v>
      </c>
      <c r="J28">
        <v>36</v>
      </c>
      <c r="K28">
        <v>30</v>
      </c>
      <c r="L28" t="s">
        <v>3674</v>
      </c>
      <c r="M28" t="s">
        <v>1987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운용리스</vt:lpstr>
      <vt:lpstr>차량가</vt:lpstr>
      <vt:lpstr>Sheet3</vt:lpstr>
      <vt:lpstr>금리테이블</vt:lpstr>
      <vt:lpstr>잔가군</vt:lpstr>
      <vt:lpstr>1</vt:lpstr>
      <vt:lpstr>Sheet1</vt:lpstr>
      <vt:lpstr>운용리스!Print_Area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권기렬(대리)</dc:creator>
  <cp:lastModifiedBy>kyoungsup</cp:lastModifiedBy>
  <cp:lastPrinted>2020-12-01T07:54:18Z</cp:lastPrinted>
  <dcterms:created xsi:type="dcterms:W3CDTF">2017-03-21T00:05:28Z</dcterms:created>
  <dcterms:modified xsi:type="dcterms:W3CDTF">2024-07-26T16:20:32Z</dcterms:modified>
</cp:coreProperties>
</file>